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showInkAnnotation="0" autoCompressPictures="0"/>
  <mc:AlternateContent xmlns:mc="http://schemas.openxmlformats.org/markup-compatibility/2006">
    <mc:Choice Requires="x15">
      <x15ac:absPath xmlns:x15ac="http://schemas.microsoft.com/office/spreadsheetml/2010/11/ac" url="/Users/tove/Documents/Kurser/Skoleårets planlægning/2022-2023/Lærernes/Vers.3/"/>
    </mc:Choice>
  </mc:AlternateContent>
  <xr:revisionPtr revIDLastSave="0" documentId="8_{FA5A3969-90F2-EC45-A2CD-A5FA32FA352F}" xr6:coauthVersionLast="47" xr6:coauthVersionMax="47" xr10:uidLastSave="{00000000-0000-0000-0000-000000000000}"/>
  <bookViews>
    <workbookView xWindow="0" yWindow="460" windowWidth="28100" windowHeight="17540" tabRatio="500" xr2:uid="{00000000-000D-0000-FFFF-FFFF00000000}"/>
  </bookViews>
  <sheets>
    <sheet name="Vejledning" sheetId="21" r:id="rId1"/>
    <sheet name="Vejledning PDF" sheetId="75" r:id="rId2"/>
    <sheet name="Maaned" sheetId="22" state="hidden" r:id="rId3"/>
    <sheet name="Stamoplysninger" sheetId="62" r:id="rId4"/>
    <sheet name="Skemaoplysninger" sheetId="43" r:id="rId5"/>
    <sheet name="August" sheetId="41" r:id="rId6"/>
    <sheet name="September" sheetId="63" r:id="rId7"/>
    <sheet name="Oktober" sheetId="64" r:id="rId8"/>
    <sheet name="November" sheetId="65" r:id="rId9"/>
    <sheet name="December" sheetId="66" r:id="rId10"/>
    <sheet name="Januar" sheetId="67" r:id="rId11"/>
    <sheet name="Februar" sheetId="68" r:id="rId12"/>
    <sheet name="Marts" sheetId="69" r:id="rId13"/>
    <sheet name="April" sheetId="70" r:id="rId14"/>
    <sheet name="Maj" sheetId="71" r:id="rId15"/>
    <sheet name="Juni" sheetId="72" r:id="rId16"/>
    <sheet name="Juli" sheetId="73" r:id="rId17"/>
    <sheet name="Arbejdstidsoversigt" sheetId="1" r:id="rId18"/>
    <sheet name="Opgaver" sheetId="44" r:id="rId19"/>
    <sheet name="Opgørelse" sheetId="50" r:id="rId20"/>
    <sheet name="Skema 1 til print" sheetId="46" r:id="rId21"/>
    <sheet name="Skema 2 til print" sheetId="47" r:id="rId22"/>
    <sheet name="Skema 3 til print" sheetId="49" r:id="rId23"/>
    <sheet name="Skema 4 til print" sheetId="48" r:id="rId24"/>
    <sheet name="Undervisningstillæg" sheetId="61" r:id="rId25"/>
    <sheet name="Ulempe-weekendtillæg" sheetId="74" r:id="rId26"/>
    <sheet name="Aar" sheetId="23" r:id="rId27"/>
    <sheet name="1.halvaar" sheetId="24" r:id="rId28"/>
    <sheet name="2.halvaar" sheetId="25" r:id="rId29"/>
    <sheet name="Vejledning til arb.tidsoversigt" sheetId="20" state="hidden" r:id="rId30"/>
    <sheet name="Opgaveoversigt" sheetId="2" state="hidden" r:id="rId31"/>
    <sheet name="Aften-weekendtillæg" sheetId="5" state="hidden" r:id="rId32"/>
    <sheet name="TOMT ÅR" sheetId="37" r:id="rId33"/>
    <sheet name="TOMT 1. HALVÅR" sheetId="38" r:id="rId34"/>
    <sheet name="TOMT 2. HALVÅR" sheetId="39" r:id="rId35"/>
  </sheets>
  <externalReferences>
    <externalReference r:id="rId36"/>
  </externalReferences>
  <definedNames>
    <definedName name="_xlnm._FilterDatabase" localSheetId="2" hidden="1">Maaned!$A$1:$CJ$47</definedName>
    <definedName name="april" localSheetId="2">Maaned!$BH$5:$BH$34</definedName>
    <definedName name="april" localSheetId="25">[1]Maaned!$AR$5:$AR$34</definedName>
    <definedName name="April">April!$C$9:$C$38</definedName>
    <definedName name="AUG" localSheetId="13">April!$D$9:$D$38</definedName>
    <definedName name="AUG" localSheetId="9">December!$D$9:$D$39</definedName>
    <definedName name="AUG" localSheetId="11">Februar!$D$9:$D$36</definedName>
    <definedName name="AUG" localSheetId="10">Januar!$D$9:$D$39</definedName>
    <definedName name="AUG" localSheetId="16">Juli!$D$9:$D$39</definedName>
    <definedName name="AUG" localSheetId="15">Juni!$D$9:$D$38</definedName>
    <definedName name="AUG" localSheetId="14">Maj!$D$9:$D$39</definedName>
    <definedName name="AUG" localSheetId="12">Marts!$D$9:$D$39</definedName>
    <definedName name="AUG" localSheetId="8">November!$D$9:$D$38</definedName>
    <definedName name="AUG" localSheetId="7">Oktober!$D$9:$D$39</definedName>
    <definedName name="AUG" localSheetId="6">September!$D$9:$D$38</definedName>
    <definedName name="AUG">August!$D$10:$D$40</definedName>
    <definedName name="august" localSheetId="13">April!$D$9:$D$38</definedName>
    <definedName name="august" localSheetId="5">August!$D$10:$D$40</definedName>
    <definedName name="august" localSheetId="9">December!$D$9:$D$39</definedName>
    <definedName name="august" localSheetId="11">Februar!$D$9:$D$36</definedName>
    <definedName name="august" localSheetId="10">Januar!$D$9:$D$39</definedName>
    <definedName name="august" localSheetId="16">Juli!$D$9:$D$39</definedName>
    <definedName name="august" localSheetId="15">Juni!$D$9:$D$38</definedName>
    <definedName name="august" localSheetId="14">Maj!$D$9:$D$39</definedName>
    <definedName name="august" localSheetId="12">Marts!$D$9:$D$39</definedName>
    <definedName name="august" localSheetId="2">Maaned!$D$5:$D$35</definedName>
    <definedName name="august" localSheetId="8">November!$D$9:$D$38</definedName>
    <definedName name="august" localSheetId="7">Oktober!$D$9:$D$39</definedName>
    <definedName name="august" localSheetId="6">September!$D$9:$D$38</definedName>
    <definedName name="AUGUST">August!$C$10:$C$40</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 localSheetId="2">Maaned!$AF$5:$AF$35</definedName>
    <definedName name="December">December!$C$9:$C$39</definedName>
    <definedName name="februar" localSheetId="2">Maaned!$AT$5:$AT$32</definedName>
    <definedName name="Februar">Februar!$C$9:$C$36</definedName>
    <definedName name="fridageGrå" localSheetId="25">'Ulempe-weekendtillæg'!fridageGrå</definedName>
    <definedName name="fridageGrå" localSheetId="26">Aar!fridageGrå</definedName>
    <definedName name="fridageGrå">[0]!fridageGrå</definedName>
    <definedName name="januar" localSheetId="2">Maaned!$AM$5:$AM$35</definedName>
    <definedName name="Januar">Januar!$C$9:$C$39</definedName>
    <definedName name="juli" localSheetId="2">Maaned!$CC$5:$CC$35</definedName>
    <definedName name="Juli">Juli!$C$9:$C$39</definedName>
    <definedName name="juni" localSheetId="2">Maaned!$BV$5:$BV$34</definedName>
    <definedName name="Juni">Juni!$C$9:$C$38</definedName>
    <definedName name="maj" localSheetId="2">Maaned!$BO$5:$BO$35</definedName>
    <definedName name="Maj">Maj!$C$9:$C$39</definedName>
    <definedName name="marts" localSheetId="2">Maaned!$BA$5:$BA$35</definedName>
    <definedName name="Marts">Marts!$C$9:$C$39</definedName>
    <definedName name="november" localSheetId="2">Maaned!$Y$5:$Y$34</definedName>
    <definedName name="November">November!$C$9:$C$38</definedName>
    <definedName name="oktober" localSheetId="2">Maaned!$R$5:$R$35</definedName>
    <definedName name="Oktober">Oktober!$C$9:$C$39</definedName>
    <definedName name="september" localSheetId="2">Maaned!$K$5:$K$34</definedName>
    <definedName name="SEPTEMBER">September!$C$9:$C$38</definedName>
    <definedName name="skolenavn" localSheetId="25">#REF!</definedName>
    <definedName name="skolenavn">#REF!</definedName>
    <definedName name="_xlnm.Print_Area" localSheetId="27">'1.halvaar'!$A$1:$AD$41</definedName>
    <definedName name="_xlnm.Print_Area" localSheetId="28">'2.halvaar'!$A$1:$AD$40</definedName>
    <definedName name="_xlnm.Print_Area" localSheetId="13">April!$A$5:$R$39</definedName>
    <definedName name="_xlnm.Print_Area" localSheetId="17">Arbejdstidsoversigt!$A$33:$J$81</definedName>
    <definedName name="_xlnm.Print_Area" localSheetId="5">August!$A$6:$R$41</definedName>
    <definedName name="_xlnm.Print_Area" localSheetId="9">December!$A$5:$R$40</definedName>
    <definedName name="_xlnm.Print_Area" localSheetId="11">Februar!$A$5:$R$37</definedName>
    <definedName name="_xlnm.Print_Area" localSheetId="10">Januar!$A$5:$R$40</definedName>
    <definedName name="_xlnm.Print_Area" localSheetId="16">Juli!$A$5:$R$40</definedName>
    <definedName name="_xlnm.Print_Area" localSheetId="15">Juni!$A$5:$R$39</definedName>
    <definedName name="_xlnm.Print_Area" localSheetId="14">Maj!$A$5:$R$40</definedName>
    <definedName name="_xlnm.Print_Area" localSheetId="12">Marts!$A$5:$R$40</definedName>
    <definedName name="_xlnm.Print_Area" localSheetId="2">Maaned!$B$1:$CK$47</definedName>
    <definedName name="_xlnm.Print_Area" localSheetId="8">November!$A$5:$R$39</definedName>
    <definedName name="_xlnm.Print_Area" localSheetId="7">Oktober!$A$5:$R$40</definedName>
    <definedName name="_xlnm.Print_Area" localSheetId="18">Opgaver!$A$3:$K$74</definedName>
    <definedName name="_xlnm.Print_Area" localSheetId="19">Opgørelse!$A$1:$H$19</definedName>
    <definedName name="_xlnm.Print_Area" localSheetId="6">September!$A$5:$R$39</definedName>
    <definedName name="_xlnm.Print_Area" localSheetId="4">Skemaoplysninger!$A$3:$AM$67</definedName>
    <definedName name="_xlnm.Print_Area" localSheetId="3">Stamoplysninger!$A$5:$H$31</definedName>
    <definedName name="_xlnm.Print_Area" localSheetId="25">'Ulempe-weekendtillæg'!$A$1:$D$32</definedName>
    <definedName name="_xlnm.Print_Area" localSheetId="24">Undervisningstillæg!$A$1:$J$37</definedName>
    <definedName name="_xlnm.Print_Area" localSheetId="0">Vejledning!$B$1:$B$91</definedName>
    <definedName name="_xlnm.Print_Area" localSheetId="26">Aar!$A$1:$AV$37</definedName>
    <definedName name="Ugenr" localSheetId="25">'Ulempe-weekendtillæg'!Ugenr</definedName>
    <definedName name="Ugenr">[0]!Ugenr</definedName>
    <definedName name="Årstal" localSheetId="2">1996</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Q40" i="25" l="1"/>
  <c r="O39" i="25"/>
  <c r="O38" i="25"/>
  <c r="U40" i="25"/>
  <c r="U39" i="25"/>
  <c r="T38" i="25"/>
  <c r="U37" i="25"/>
  <c r="H39" i="25"/>
  <c r="H37" i="25"/>
  <c r="H38" i="25"/>
  <c r="M42" i="67" l="1"/>
  <c r="AN28" i="43"/>
  <c r="AD28" i="43"/>
  <c r="J28" i="43"/>
  <c r="CG11" i="41"/>
  <c r="CG12" i="41"/>
  <c r="CG13" i="41"/>
  <c r="CG14" i="41"/>
  <c r="CG15" i="41"/>
  <c r="CG16" i="41"/>
  <c r="CG17" i="41"/>
  <c r="CG18" i="41"/>
  <c r="CG19" i="41"/>
  <c r="CG21" i="41"/>
  <c r="CG22" i="41"/>
  <c r="CG23" i="41"/>
  <c r="CG24" i="41"/>
  <c r="CG25" i="41"/>
  <c r="CG26" i="41"/>
  <c r="CG28" i="41"/>
  <c r="CG29" i="41"/>
  <c r="CG30" i="41"/>
  <c r="CG31" i="41"/>
  <c r="CG32" i="41"/>
  <c r="CG33" i="41"/>
  <c r="CG35" i="41"/>
  <c r="CG36" i="41"/>
  <c r="CG37" i="41"/>
  <c r="CG38" i="41"/>
  <c r="CG39" i="41"/>
  <c r="CG40" i="41"/>
  <c r="CG10" i="41"/>
  <c r="J53" i="68"/>
  <c r="J55" i="72"/>
  <c r="J55" i="70"/>
  <c r="J55" i="65"/>
  <c r="J55" i="63"/>
  <c r="J56" i="73"/>
  <c r="J56" i="71"/>
  <c r="J56" i="69"/>
  <c r="J56" i="67"/>
  <c r="J56" i="66"/>
  <c r="J56" i="64"/>
  <c r="J57" i="41"/>
  <c r="R39" i="72"/>
  <c r="A74" i="67" l="1"/>
  <c r="A71" i="65"/>
  <c r="M72" i="73"/>
  <c r="N71" i="73"/>
  <c r="M71" i="73"/>
  <c r="N69" i="73"/>
  <c r="M69" i="73"/>
  <c r="N67" i="73"/>
  <c r="M67" i="73"/>
  <c r="N66" i="73"/>
  <c r="M66" i="73"/>
  <c r="N65" i="73"/>
  <c r="M65" i="73"/>
  <c r="N64" i="73"/>
  <c r="M64" i="73"/>
  <c r="N63" i="73"/>
  <c r="M63" i="73"/>
  <c r="N62" i="73"/>
  <c r="M62" i="73"/>
  <c r="N60" i="73"/>
  <c r="M60" i="73"/>
  <c r="M71" i="72"/>
  <c r="N70" i="72"/>
  <c r="M70" i="72"/>
  <c r="N68" i="72"/>
  <c r="M68" i="72"/>
  <c r="N66" i="72"/>
  <c r="M66" i="72"/>
  <c r="N65" i="72"/>
  <c r="M65" i="72"/>
  <c r="N64" i="72"/>
  <c r="M64" i="72"/>
  <c r="N63" i="72"/>
  <c r="M63" i="72"/>
  <c r="N62" i="72"/>
  <c r="M62" i="72"/>
  <c r="N61" i="72"/>
  <c r="M61" i="72"/>
  <c r="N59" i="72"/>
  <c r="M72" i="71"/>
  <c r="N71" i="71"/>
  <c r="M71" i="71"/>
  <c r="N69" i="71"/>
  <c r="M69" i="71"/>
  <c r="N67" i="71"/>
  <c r="M67" i="71"/>
  <c r="N66" i="71"/>
  <c r="M66" i="71"/>
  <c r="N65" i="71"/>
  <c r="M65" i="71"/>
  <c r="N64" i="71"/>
  <c r="M64" i="71"/>
  <c r="N63" i="71"/>
  <c r="M63" i="71"/>
  <c r="N62" i="71"/>
  <c r="M62" i="71"/>
  <c r="M71" i="70"/>
  <c r="N70" i="70"/>
  <c r="M70" i="70"/>
  <c r="N68" i="70"/>
  <c r="M68" i="70"/>
  <c r="N66" i="70"/>
  <c r="M66" i="70"/>
  <c r="N65" i="70"/>
  <c r="M65" i="70"/>
  <c r="N64" i="70"/>
  <c r="M64" i="70"/>
  <c r="N63" i="70"/>
  <c r="M63" i="70"/>
  <c r="N62" i="70"/>
  <c r="M62" i="70"/>
  <c r="N61" i="70"/>
  <c r="M61" i="70"/>
  <c r="N59" i="70"/>
  <c r="M72" i="69"/>
  <c r="N71" i="69"/>
  <c r="M71" i="69"/>
  <c r="N69" i="69"/>
  <c r="M69" i="69"/>
  <c r="N67" i="69"/>
  <c r="M67" i="69"/>
  <c r="N66" i="69"/>
  <c r="M66" i="69"/>
  <c r="N65" i="69"/>
  <c r="M65" i="69"/>
  <c r="N64" i="69"/>
  <c r="M64" i="69"/>
  <c r="N63" i="69"/>
  <c r="M63" i="69"/>
  <c r="N62" i="69"/>
  <c r="M62" i="69"/>
  <c r="M69" i="68"/>
  <c r="N68" i="68"/>
  <c r="M68" i="68"/>
  <c r="N66" i="68"/>
  <c r="M66" i="68"/>
  <c r="M65" i="68"/>
  <c r="N64" i="68"/>
  <c r="M64" i="68"/>
  <c r="N63" i="68"/>
  <c r="M63" i="68"/>
  <c r="N62" i="68"/>
  <c r="M62" i="68"/>
  <c r="N61" i="68"/>
  <c r="M61" i="68"/>
  <c r="N60" i="68"/>
  <c r="M60" i="68"/>
  <c r="N59" i="68"/>
  <c r="M59" i="68"/>
  <c r="N57" i="68"/>
  <c r="M72" i="67"/>
  <c r="N71" i="67"/>
  <c r="M71" i="67"/>
  <c r="N69" i="67"/>
  <c r="M69" i="67"/>
  <c r="N67" i="67"/>
  <c r="M67" i="67"/>
  <c r="N66" i="67"/>
  <c r="M66" i="67"/>
  <c r="N65" i="67"/>
  <c r="M65" i="67"/>
  <c r="N64" i="67"/>
  <c r="M64" i="67"/>
  <c r="N63" i="67"/>
  <c r="M63" i="67"/>
  <c r="N62" i="67"/>
  <c r="M62" i="67"/>
  <c r="N60" i="67"/>
  <c r="M60" i="67"/>
  <c r="M72" i="66"/>
  <c r="N71" i="66"/>
  <c r="M71" i="66"/>
  <c r="N69" i="66"/>
  <c r="M69" i="66"/>
  <c r="N67" i="66"/>
  <c r="M67" i="66"/>
  <c r="N66" i="66"/>
  <c r="M66" i="66"/>
  <c r="N65" i="66"/>
  <c r="M65" i="66"/>
  <c r="N64" i="66"/>
  <c r="M64" i="66"/>
  <c r="N63" i="66"/>
  <c r="M63" i="66"/>
  <c r="N62" i="66"/>
  <c r="M62" i="66"/>
  <c r="N60" i="66"/>
  <c r="M71" i="65"/>
  <c r="N70" i="65"/>
  <c r="M70" i="65"/>
  <c r="N68" i="65"/>
  <c r="M68" i="65"/>
  <c r="N66" i="65"/>
  <c r="M66" i="65"/>
  <c r="N65" i="65"/>
  <c r="M65" i="65"/>
  <c r="N64" i="65"/>
  <c r="M64" i="65"/>
  <c r="N63" i="65"/>
  <c r="M63" i="65"/>
  <c r="N62" i="65"/>
  <c r="M62" i="65"/>
  <c r="N61" i="65"/>
  <c r="M61" i="65"/>
  <c r="N59" i="65"/>
  <c r="M72" i="64"/>
  <c r="N71" i="64"/>
  <c r="M71" i="64"/>
  <c r="M70" i="64"/>
  <c r="N69" i="64"/>
  <c r="M69" i="64"/>
  <c r="N67" i="64"/>
  <c r="M67" i="64"/>
  <c r="M66" i="64"/>
  <c r="N65" i="64"/>
  <c r="M65" i="64"/>
  <c r="N64" i="64"/>
  <c r="N63" i="64"/>
  <c r="M63" i="64"/>
  <c r="N62" i="64"/>
  <c r="M62" i="64"/>
  <c r="M71" i="63"/>
  <c r="N70" i="63"/>
  <c r="M70" i="63"/>
  <c r="N68" i="63"/>
  <c r="M68" i="63"/>
  <c r="N66" i="63"/>
  <c r="M66" i="63"/>
  <c r="N65" i="63"/>
  <c r="M65" i="63"/>
  <c r="N64" i="63"/>
  <c r="M64" i="63"/>
  <c r="N63" i="63"/>
  <c r="M63" i="63"/>
  <c r="N62" i="63"/>
  <c r="M62" i="63"/>
  <c r="N61" i="63"/>
  <c r="M61" i="63"/>
  <c r="M66" i="41"/>
  <c r="N66" i="41"/>
  <c r="N65" i="41"/>
  <c r="M65" i="41"/>
  <c r="M63" i="41"/>
  <c r="M57" i="63"/>
  <c r="N57" i="72"/>
  <c r="M57" i="72"/>
  <c r="N57" i="70"/>
  <c r="M57" i="70"/>
  <c r="N55" i="68"/>
  <c r="M55" i="68"/>
  <c r="N57" i="65"/>
  <c r="M57" i="65"/>
  <c r="N57" i="63"/>
  <c r="M58" i="73"/>
  <c r="N58" i="73"/>
  <c r="N58" i="71"/>
  <c r="M58" i="71"/>
  <c r="N58" i="69"/>
  <c r="M58" i="69"/>
  <c r="N58" i="67"/>
  <c r="M58" i="67"/>
  <c r="N58" i="66"/>
  <c r="M58" i="66"/>
  <c r="M58" i="64"/>
  <c r="N58" i="64"/>
  <c r="N59" i="41"/>
  <c r="M59" i="41"/>
  <c r="N56" i="63"/>
  <c r="N67" i="63" s="1"/>
  <c r="M56" i="63"/>
  <c r="M67" i="63" s="1"/>
  <c r="N58" i="41"/>
  <c r="N72" i="41" s="1"/>
  <c r="M58" i="41"/>
  <c r="M69" i="41" s="1"/>
  <c r="N57" i="71"/>
  <c r="N60" i="71" s="1"/>
  <c r="N56" i="70"/>
  <c r="T60" i="73"/>
  <c r="S60" i="73"/>
  <c r="T59" i="72"/>
  <c r="S59" i="72"/>
  <c r="T60" i="71"/>
  <c r="S60" i="71"/>
  <c r="T59" i="70"/>
  <c r="S59" i="70"/>
  <c r="T60" i="69"/>
  <c r="S60" i="69"/>
  <c r="T57" i="68"/>
  <c r="S57" i="68"/>
  <c r="T60" i="67"/>
  <c r="S60" i="67"/>
  <c r="T60" i="66"/>
  <c r="S60" i="66"/>
  <c r="T59" i="65"/>
  <c r="S59" i="65"/>
  <c r="T60" i="64"/>
  <c r="S60" i="64"/>
  <c r="T59" i="63"/>
  <c r="S59" i="63"/>
  <c r="X40" i="73"/>
  <c r="W40" i="73"/>
  <c r="V40" i="73"/>
  <c r="X40" i="71"/>
  <c r="W40" i="71"/>
  <c r="V40" i="71"/>
  <c r="X40" i="69"/>
  <c r="W40" i="69"/>
  <c r="V40" i="69"/>
  <c r="X40" i="67"/>
  <c r="W40" i="67"/>
  <c r="V40" i="67"/>
  <c r="N57" i="66"/>
  <c r="N68" i="66" s="1"/>
  <c r="M57" i="66"/>
  <c r="M70" i="66" s="1"/>
  <c r="X40" i="66"/>
  <c r="W40" i="66"/>
  <c r="V40" i="66"/>
  <c r="N54" i="68"/>
  <c r="M54" i="68"/>
  <c r="M67" i="68" s="1"/>
  <c r="N56" i="72"/>
  <c r="N67" i="72" s="1"/>
  <c r="M56" i="72"/>
  <c r="M67" i="72" s="1"/>
  <c r="M56" i="70"/>
  <c r="M69" i="70" s="1"/>
  <c r="N56" i="65"/>
  <c r="N67" i="65" s="1"/>
  <c r="M56" i="65"/>
  <c r="M67" i="65" s="1"/>
  <c r="N57" i="73"/>
  <c r="N68" i="73" s="1"/>
  <c r="M57" i="73"/>
  <c r="M68" i="73" s="1"/>
  <c r="M57" i="71"/>
  <c r="M70" i="71" s="1"/>
  <c r="N57" i="69"/>
  <c r="N70" i="69" s="1"/>
  <c r="M57" i="69"/>
  <c r="M70" i="69" s="1"/>
  <c r="N57" i="67"/>
  <c r="N70" i="67" s="1"/>
  <c r="M57" i="67"/>
  <c r="M68" i="67" s="1"/>
  <c r="N57" i="64"/>
  <c r="N68" i="64" s="1"/>
  <c r="M57" i="64"/>
  <c r="M68" i="64" s="1"/>
  <c r="A51" i="64"/>
  <c r="A49" i="64"/>
  <c r="A47" i="64"/>
  <c r="A47" i="63"/>
  <c r="M67" i="41"/>
  <c r="N68" i="41"/>
  <c r="N67" i="41"/>
  <c r="A75" i="41"/>
  <c r="M68" i="41"/>
  <c r="M71" i="41"/>
  <c r="M73" i="41"/>
  <c r="A73" i="41"/>
  <c r="A72" i="41"/>
  <c r="M70" i="41"/>
  <c r="N59" i="63" l="1"/>
  <c r="N60" i="64"/>
  <c r="M60" i="71"/>
  <c r="N60" i="69"/>
  <c r="M61" i="41"/>
  <c r="M59" i="72"/>
  <c r="M59" i="70"/>
  <c r="I47" i="70" s="1"/>
  <c r="M60" i="69"/>
  <c r="I48" i="69" s="1"/>
  <c r="M57" i="68"/>
  <c r="I45" i="68" s="1"/>
  <c r="M60" i="66"/>
  <c r="I48" i="66" s="1"/>
  <c r="M59" i="65"/>
  <c r="M59" i="63"/>
  <c r="M60" i="64"/>
  <c r="I48" i="64" s="1"/>
  <c r="M70" i="73"/>
  <c r="I48" i="73" s="1"/>
  <c r="N70" i="73"/>
  <c r="I50" i="73"/>
  <c r="M69" i="72"/>
  <c r="I47" i="72" s="1"/>
  <c r="N69" i="72"/>
  <c r="I50" i="71"/>
  <c r="N70" i="71"/>
  <c r="N68" i="71"/>
  <c r="M68" i="71"/>
  <c r="M67" i="70"/>
  <c r="N67" i="70"/>
  <c r="N69" i="70"/>
  <c r="M68" i="69"/>
  <c r="N68" i="69"/>
  <c r="I50" i="69"/>
  <c r="N65" i="68"/>
  <c r="N67" i="68"/>
  <c r="N68" i="67"/>
  <c r="M70" i="67"/>
  <c r="I48" i="67" s="1"/>
  <c r="M59" i="66"/>
  <c r="N70" i="66"/>
  <c r="I50" i="66"/>
  <c r="M68" i="66"/>
  <c r="M69" i="65"/>
  <c r="I47" i="65" s="1"/>
  <c r="N69" i="65"/>
  <c r="N58" i="65"/>
  <c r="N70" i="64"/>
  <c r="M69" i="63"/>
  <c r="N69" i="63"/>
  <c r="N71" i="41"/>
  <c r="N69" i="41"/>
  <c r="N63" i="41"/>
  <c r="N59" i="66"/>
  <c r="N58" i="63"/>
  <c r="M58" i="63"/>
  <c r="I50" i="67"/>
  <c r="N59" i="67"/>
  <c r="N58" i="70"/>
  <c r="N59" i="73"/>
  <c r="M59" i="73"/>
  <c r="N58" i="72"/>
  <c r="M58" i="72"/>
  <c r="M59" i="71"/>
  <c r="N59" i="71"/>
  <c r="M58" i="70"/>
  <c r="M59" i="69"/>
  <c r="N59" i="69"/>
  <c r="N56" i="68"/>
  <c r="M56" i="68"/>
  <c r="M59" i="67"/>
  <c r="M58" i="65"/>
  <c r="M59" i="64"/>
  <c r="N59" i="64"/>
  <c r="I48" i="71"/>
  <c r="N61" i="41"/>
  <c r="N70" i="41"/>
  <c r="N60" i="41"/>
  <c r="M72" i="41"/>
  <c r="I47" i="63" l="1"/>
  <c r="Q59" i="71"/>
  <c r="S61" i="71" s="1"/>
  <c r="I49" i="41"/>
  <c r="Q59" i="66"/>
  <c r="S61" i="66" s="1"/>
  <c r="Q59" i="73"/>
  <c r="S61" i="73" s="1"/>
  <c r="N64" i="41"/>
  <c r="M64" i="41"/>
  <c r="Q58" i="63"/>
  <c r="S60" i="63" s="1"/>
  <c r="O58" i="63"/>
  <c r="O59" i="67"/>
  <c r="O59" i="66"/>
  <c r="Q58" i="70"/>
  <c r="S60" i="70" s="1"/>
  <c r="O58" i="65"/>
  <c r="Q59" i="67"/>
  <c r="S61" i="67" s="1"/>
  <c r="O59" i="73"/>
  <c r="Q58" i="72"/>
  <c r="S60" i="72" s="1"/>
  <c r="O58" i="72"/>
  <c r="O59" i="71"/>
  <c r="O58" i="70"/>
  <c r="O59" i="69"/>
  <c r="Q59" i="69"/>
  <c r="S61" i="69" s="1"/>
  <c r="O56" i="68"/>
  <c r="Q56" i="68"/>
  <c r="S58" i="68" s="1"/>
  <c r="Q58" i="65"/>
  <c r="S60" i="65" s="1"/>
  <c r="O59" i="64"/>
  <c r="Q59" i="64"/>
  <c r="S61" i="64" s="1"/>
  <c r="J26" i="1" l="1"/>
  <c r="P59" i="73"/>
  <c r="N61" i="73"/>
  <c r="M61" i="73"/>
  <c r="V44" i="73" s="1"/>
  <c r="P59" i="71"/>
  <c r="N61" i="71"/>
  <c r="M61" i="71"/>
  <c r="V44" i="71" s="1"/>
  <c r="P58" i="72"/>
  <c r="N60" i="72"/>
  <c r="M60" i="72"/>
  <c r="V43" i="72" s="1"/>
  <c r="P58" i="70"/>
  <c r="N60" i="70"/>
  <c r="M60" i="70"/>
  <c r="V43" i="70" s="1"/>
  <c r="P59" i="69"/>
  <c r="N61" i="69"/>
  <c r="M61" i="69"/>
  <c r="V44" i="69" s="1"/>
  <c r="P56" i="68"/>
  <c r="N58" i="68"/>
  <c r="M58" i="68"/>
  <c r="V41" i="68" s="1"/>
  <c r="P59" i="67"/>
  <c r="N61" i="67"/>
  <c r="M61" i="67"/>
  <c r="V44" i="67" s="1"/>
  <c r="P59" i="66"/>
  <c r="N61" i="66"/>
  <c r="M61" i="66"/>
  <c r="V44" i="66" s="1"/>
  <c r="P58" i="65"/>
  <c r="N60" i="65"/>
  <c r="M60" i="65"/>
  <c r="V43" i="65" s="1"/>
  <c r="N61" i="64"/>
  <c r="M61" i="64"/>
  <c r="M60" i="63"/>
  <c r="V43" i="63" s="1"/>
  <c r="N60" i="63"/>
  <c r="P59" i="64"/>
  <c r="M64" i="64"/>
  <c r="N66" i="64"/>
  <c r="P58" i="63"/>
  <c r="V44" i="64" l="1"/>
  <c r="H40" i="25" l="1"/>
  <c r="A36" i="25"/>
  <c r="AB4" i="25"/>
  <c r="AC4" i="25"/>
  <c r="AB5" i="25"/>
  <c r="AC5" i="25"/>
  <c r="AB6" i="25"/>
  <c r="AC6" i="25"/>
  <c r="AB7" i="25"/>
  <c r="AC7" i="25"/>
  <c r="AB8" i="25"/>
  <c r="AC8" i="25"/>
  <c r="AB9" i="25"/>
  <c r="AC9" i="25"/>
  <c r="AB10" i="25"/>
  <c r="AC10" i="25"/>
  <c r="AB11" i="25"/>
  <c r="AC11" i="25"/>
  <c r="AB12" i="25"/>
  <c r="AC12" i="25"/>
  <c r="AB13" i="25"/>
  <c r="AC13" i="25"/>
  <c r="AB14" i="25"/>
  <c r="AC14" i="25"/>
  <c r="AB15" i="25"/>
  <c r="AC15" i="25"/>
  <c r="AB16" i="25"/>
  <c r="AC16" i="25"/>
  <c r="AB17" i="25"/>
  <c r="AC17" i="25"/>
  <c r="AB18" i="25"/>
  <c r="AC18" i="25"/>
  <c r="AB19" i="25"/>
  <c r="AC19" i="25"/>
  <c r="AB20" i="25"/>
  <c r="AC20" i="25"/>
  <c r="AB21" i="25"/>
  <c r="AC21" i="25"/>
  <c r="AB22" i="25"/>
  <c r="AC22" i="25"/>
  <c r="AB23" i="25"/>
  <c r="AC23" i="25"/>
  <c r="AB24" i="25"/>
  <c r="AC24" i="25"/>
  <c r="AB25" i="25"/>
  <c r="AC25" i="25"/>
  <c r="AB26" i="25"/>
  <c r="AC26" i="25"/>
  <c r="AB27" i="25"/>
  <c r="AC27" i="25"/>
  <c r="AB28" i="25"/>
  <c r="AC28" i="25"/>
  <c r="AB29" i="25"/>
  <c r="AC29" i="25"/>
  <c r="AB30" i="25"/>
  <c r="AC30" i="25"/>
  <c r="AB31" i="25"/>
  <c r="AC31" i="25"/>
  <c r="AB32" i="25"/>
  <c r="AC32" i="25"/>
  <c r="AB33" i="25"/>
  <c r="AC33" i="25"/>
  <c r="AC3" i="25"/>
  <c r="AB3" i="25"/>
  <c r="W4" i="25"/>
  <c r="X4" i="25"/>
  <c r="W5" i="25"/>
  <c r="X5" i="25"/>
  <c r="W6" i="25"/>
  <c r="X6" i="25"/>
  <c r="W7" i="25"/>
  <c r="X7" i="25"/>
  <c r="W8" i="25"/>
  <c r="X8" i="25"/>
  <c r="W9" i="25"/>
  <c r="X9" i="25"/>
  <c r="W10" i="25"/>
  <c r="X10" i="25"/>
  <c r="W11" i="25"/>
  <c r="X11" i="25"/>
  <c r="W12" i="25"/>
  <c r="X12" i="25"/>
  <c r="W13" i="25"/>
  <c r="X13" i="25"/>
  <c r="W14" i="25"/>
  <c r="X14" i="25"/>
  <c r="W15" i="25"/>
  <c r="X15" i="25"/>
  <c r="W16" i="25"/>
  <c r="X16" i="25"/>
  <c r="W17" i="25"/>
  <c r="X17" i="25"/>
  <c r="W18" i="25"/>
  <c r="X18" i="25"/>
  <c r="W19" i="25"/>
  <c r="X19" i="25"/>
  <c r="W20" i="25"/>
  <c r="X20" i="25"/>
  <c r="W21" i="25"/>
  <c r="X21" i="25"/>
  <c r="W22" i="25"/>
  <c r="X22" i="25"/>
  <c r="W23" i="25"/>
  <c r="X23" i="25"/>
  <c r="W24" i="25"/>
  <c r="X24" i="25"/>
  <c r="W25" i="25"/>
  <c r="X25" i="25"/>
  <c r="W26" i="25"/>
  <c r="X26" i="25"/>
  <c r="W27" i="25"/>
  <c r="X27" i="25"/>
  <c r="W28" i="25"/>
  <c r="X28" i="25"/>
  <c r="W29" i="25"/>
  <c r="X29" i="25"/>
  <c r="W30" i="25"/>
  <c r="X30" i="25"/>
  <c r="W31" i="25"/>
  <c r="X31" i="25"/>
  <c r="W32" i="25"/>
  <c r="X32" i="25"/>
  <c r="X3" i="25"/>
  <c r="W3" i="25"/>
  <c r="R4" i="25"/>
  <c r="S4" i="25"/>
  <c r="R5" i="25"/>
  <c r="S5" i="25"/>
  <c r="R6" i="25"/>
  <c r="S6" i="25"/>
  <c r="R7" i="25"/>
  <c r="S7" i="25"/>
  <c r="R8" i="25"/>
  <c r="S8" i="25"/>
  <c r="R9" i="25"/>
  <c r="S9" i="25"/>
  <c r="R10" i="25"/>
  <c r="S10" i="25"/>
  <c r="R11" i="25"/>
  <c r="S11" i="25"/>
  <c r="R12" i="25"/>
  <c r="S12" i="25"/>
  <c r="R13" i="25"/>
  <c r="S13" i="25"/>
  <c r="R14" i="25"/>
  <c r="S14" i="25"/>
  <c r="R15" i="25"/>
  <c r="S15" i="25"/>
  <c r="R16" i="25"/>
  <c r="S16" i="25"/>
  <c r="R17" i="25"/>
  <c r="S17" i="25"/>
  <c r="R18" i="25"/>
  <c r="S18" i="25"/>
  <c r="R19" i="25"/>
  <c r="S19" i="25"/>
  <c r="R20" i="25"/>
  <c r="S20" i="25"/>
  <c r="R21" i="25"/>
  <c r="S21" i="25"/>
  <c r="R22" i="25"/>
  <c r="S22" i="25"/>
  <c r="R23" i="25"/>
  <c r="S23" i="25"/>
  <c r="R24" i="25"/>
  <c r="S24" i="25"/>
  <c r="R25" i="25"/>
  <c r="S25" i="25"/>
  <c r="R26" i="25"/>
  <c r="S26" i="25"/>
  <c r="R27" i="25"/>
  <c r="S27" i="25"/>
  <c r="R28" i="25"/>
  <c r="S28" i="25"/>
  <c r="R29" i="25"/>
  <c r="S29" i="25"/>
  <c r="R30" i="25"/>
  <c r="S30" i="25"/>
  <c r="R31" i="25"/>
  <c r="S31" i="25"/>
  <c r="R32" i="25"/>
  <c r="S32" i="25"/>
  <c r="R33" i="25"/>
  <c r="S33" i="25"/>
  <c r="S3" i="25"/>
  <c r="R3" i="25"/>
  <c r="M4" i="25"/>
  <c r="N4" i="25"/>
  <c r="M5" i="25"/>
  <c r="N5" i="25"/>
  <c r="M6" i="25"/>
  <c r="N6" i="25"/>
  <c r="M7" i="25"/>
  <c r="N7" i="25"/>
  <c r="M8" i="25"/>
  <c r="N8" i="25"/>
  <c r="M9" i="25"/>
  <c r="N9" i="25"/>
  <c r="M10" i="25"/>
  <c r="N10" i="25"/>
  <c r="M11" i="25"/>
  <c r="N11" i="25"/>
  <c r="M12" i="25"/>
  <c r="N12" i="25"/>
  <c r="M13" i="25"/>
  <c r="N13" i="25"/>
  <c r="M14" i="25"/>
  <c r="N14" i="25"/>
  <c r="M15" i="25"/>
  <c r="N15" i="25"/>
  <c r="M16" i="25"/>
  <c r="N16" i="25"/>
  <c r="M17" i="25"/>
  <c r="N17" i="25"/>
  <c r="M18" i="25"/>
  <c r="N18" i="25"/>
  <c r="M19" i="25"/>
  <c r="N19" i="25"/>
  <c r="M20" i="25"/>
  <c r="N20" i="25"/>
  <c r="M21" i="25"/>
  <c r="N21" i="25"/>
  <c r="M22" i="25"/>
  <c r="N22" i="25"/>
  <c r="M23" i="25"/>
  <c r="N23" i="25"/>
  <c r="M24" i="25"/>
  <c r="N24" i="25"/>
  <c r="M25" i="25"/>
  <c r="N25" i="25"/>
  <c r="M26" i="25"/>
  <c r="N26" i="25"/>
  <c r="M27" i="25"/>
  <c r="N27" i="25"/>
  <c r="M28" i="25"/>
  <c r="N28" i="25"/>
  <c r="M29" i="25"/>
  <c r="N29" i="25"/>
  <c r="M30" i="25"/>
  <c r="N30" i="25"/>
  <c r="M31" i="25"/>
  <c r="N31" i="25"/>
  <c r="M32" i="25"/>
  <c r="N32" i="25"/>
  <c r="N3" i="25"/>
  <c r="M3" i="25"/>
  <c r="H4" i="25"/>
  <c r="I4" i="25"/>
  <c r="H5" i="25"/>
  <c r="I5" i="25"/>
  <c r="H6" i="25"/>
  <c r="I6" i="25"/>
  <c r="H7" i="25"/>
  <c r="I7" i="25"/>
  <c r="H8" i="25"/>
  <c r="I8" i="25"/>
  <c r="H9" i="25"/>
  <c r="I9" i="25"/>
  <c r="H10" i="25"/>
  <c r="I10" i="25"/>
  <c r="H11" i="25"/>
  <c r="I11" i="25"/>
  <c r="H12" i="25"/>
  <c r="I12" i="25"/>
  <c r="H13" i="25"/>
  <c r="I13" i="25"/>
  <c r="H14" i="25"/>
  <c r="I14" i="25"/>
  <c r="H15" i="25"/>
  <c r="I15" i="25"/>
  <c r="H16" i="25"/>
  <c r="I16" i="25"/>
  <c r="H17" i="25"/>
  <c r="I17" i="25"/>
  <c r="H18" i="25"/>
  <c r="I18" i="25"/>
  <c r="H19" i="25"/>
  <c r="I19" i="25"/>
  <c r="H20" i="25"/>
  <c r="I20" i="25"/>
  <c r="H21" i="25"/>
  <c r="I21" i="25"/>
  <c r="H22" i="25"/>
  <c r="I22" i="25"/>
  <c r="H23" i="25"/>
  <c r="I23" i="25"/>
  <c r="H24" i="25"/>
  <c r="I24" i="25"/>
  <c r="H25" i="25"/>
  <c r="I25" i="25"/>
  <c r="H26" i="25"/>
  <c r="I26" i="25"/>
  <c r="H27" i="25"/>
  <c r="I27" i="25"/>
  <c r="H28" i="25"/>
  <c r="I28" i="25"/>
  <c r="H29" i="25"/>
  <c r="I29" i="25"/>
  <c r="H30" i="25"/>
  <c r="I30" i="25"/>
  <c r="H31" i="25"/>
  <c r="I31" i="25"/>
  <c r="H32" i="25"/>
  <c r="I32" i="25"/>
  <c r="H33" i="25"/>
  <c r="I33" i="25"/>
  <c r="I3" i="25"/>
  <c r="H3" i="25"/>
  <c r="C4" i="25"/>
  <c r="D4" i="25"/>
  <c r="C5" i="25"/>
  <c r="D5" i="25"/>
  <c r="C6" i="25"/>
  <c r="D6" i="25"/>
  <c r="C7" i="25"/>
  <c r="D7" i="25"/>
  <c r="C8" i="25"/>
  <c r="D8" i="25"/>
  <c r="C9" i="25"/>
  <c r="D9" i="25"/>
  <c r="C10" i="25"/>
  <c r="D10" i="25"/>
  <c r="C11" i="25"/>
  <c r="D11" i="25"/>
  <c r="C12" i="25"/>
  <c r="D12" i="25"/>
  <c r="C13" i="25"/>
  <c r="D13" i="25"/>
  <c r="C14" i="25"/>
  <c r="D14" i="25"/>
  <c r="C15" i="25"/>
  <c r="D15" i="25"/>
  <c r="C16" i="25"/>
  <c r="D16" i="25"/>
  <c r="C17" i="25"/>
  <c r="D17" i="25"/>
  <c r="C18" i="25"/>
  <c r="D18" i="25"/>
  <c r="C19" i="25"/>
  <c r="D19" i="25"/>
  <c r="C20" i="25"/>
  <c r="D20" i="25"/>
  <c r="C21" i="25"/>
  <c r="D21" i="25"/>
  <c r="C22" i="25"/>
  <c r="D22" i="25"/>
  <c r="C23" i="25"/>
  <c r="D23" i="25"/>
  <c r="C24" i="25"/>
  <c r="D24" i="25"/>
  <c r="C25" i="25"/>
  <c r="D25" i="25"/>
  <c r="C26" i="25"/>
  <c r="D26" i="25"/>
  <c r="C27" i="25"/>
  <c r="D27" i="25"/>
  <c r="C28" i="25"/>
  <c r="D28" i="25"/>
  <c r="C29" i="25"/>
  <c r="D29" i="25"/>
  <c r="C30" i="25"/>
  <c r="D30" i="25"/>
  <c r="D3" i="25"/>
  <c r="C3" i="25"/>
  <c r="AB4" i="24"/>
  <c r="AC4" i="24"/>
  <c r="AB5" i="24"/>
  <c r="AC5" i="24"/>
  <c r="AB6" i="24"/>
  <c r="AC6" i="24"/>
  <c r="AB7" i="24"/>
  <c r="AC7" i="24"/>
  <c r="AB8" i="24"/>
  <c r="AC8" i="24"/>
  <c r="AB9" i="24"/>
  <c r="AC9" i="24"/>
  <c r="AB10" i="24"/>
  <c r="AC10" i="24"/>
  <c r="AB11" i="24"/>
  <c r="AC11" i="24"/>
  <c r="AB12" i="24"/>
  <c r="AC12" i="24"/>
  <c r="AB13" i="24"/>
  <c r="AC13" i="24"/>
  <c r="AB14" i="24"/>
  <c r="AC14" i="24"/>
  <c r="AB15" i="24"/>
  <c r="AC15" i="24"/>
  <c r="AB16" i="24"/>
  <c r="AC16" i="24"/>
  <c r="AB17" i="24"/>
  <c r="AC17" i="24"/>
  <c r="AB18" i="24"/>
  <c r="AC18" i="24"/>
  <c r="AB19" i="24"/>
  <c r="AC19" i="24"/>
  <c r="AB20" i="24"/>
  <c r="AC20" i="24"/>
  <c r="AB21" i="24"/>
  <c r="AC21" i="24"/>
  <c r="AB22" i="24"/>
  <c r="AC22" i="24"/>
  <c r="AB23" i="24"/>
  <c r="AC23" i="24"/>
  <c r="AB24" i="24"/>
  <c r="AC24" i="24"/>
  <c r="AB25" i="24"/>
  <c r="AC25" i="24"/>
  <c r="AB26" i="24"/>
  <c r="AC26" i="24"/>
  <c r="AB27" i="24"/>
  <c r="AC27" i="24"/>
  <c r="AB28" i="24"/>
  <c r="AC28" i="24"/>
  <c r="AB29" i="24"/>
  <c r="AC29" i="24"/>
  <c r="AB30" i="24"/>
  <c r="AC30" i="24"/>
  <c r="AB31" i="24"/>
  <c r="AC31" i="24"/>
  <c r="AB32" i="24"/>
  <c r="AC32" i="24"/>
  <c r="AB33" i="24"/>
  <c r="AC33" i="24"/>
  <c r="AC3" i="24"/>
  <c r="AB3" i="24"/>
  <c r="W4" i="24"/>
  <c r="X4" i="24"/>
  <c r="W5" i="24"/>
  <c r="X5" i="24"/>
  <c r="W6" i="24"/>
  <c r="X6" i="24"/>
  <c r="W7" i="24"/>
  <c r="X7" i="24"/>
  <c r="W8" i="24"/>
  <c r="X8" i="24"/>
  <c r="W9" i="24"/>
  <c r="X9" i="24"/>
  <c r="W10" i="24"/>
  <c r="X10" i="24"/>
  <c r="W11" i="24"/>
  <c r="X11" i="24"/>
  <c r="W12" i="24"/>
  <c r="X12" i="24"/>
  <c r="W13" i="24"/>
  <c r="X13" i="24"/>
  <c r="W14" i="24"/>
  <c r="X14" i="24"/>
  <c r="W15" i="24"/>
  <c r="X15" i="24"/>
  <c r="W16" i="24"/>
  <c r="X16" i="24"/>
  <c r="W17" i="24"/>
  <c r="X17" i="24"/>
  <c r="W18" i="24"/>
  <c r="X18" i="24"/>
  <c r="W19" i="24"/>
  <c r="X19" i="24"/>
  <c r="W20" i="24"/>
  <c r="X20" i="24"/>
  <c r="W21" i="24"/>
  <c r="X21" i="24"/>
  <c r="W22" i="24"/>
  <c r="X22" i="24"/>
  <c r="W23" i="24"/>
  <c r="X23" i="24"/>
  <c r="W24" i="24"/>
  <c r="X24" i="24"/>
  <c r="W25" i="24"/>
  <c r="X25" i="24"/>
  <c r="W26" i="24"/>
  <c r="X26" i="24"/>
  <c r="W27" i="24"/>
  <c r="X27" i="24"/>
  <c r="W28" i="24"/>
  <c r="X28" i="24"/>
  <c r="W29" i="24"/>
  <c r="X29" i="24"/>
  <c r="W30" i="24"/>
  <c r="X30" i="24"/>
  <c r="W31" i="24"/>
  <c r="X31" i="24"/>
  <c r="W32" i="24"/>
  <c r="X32" i="24"/>
  <c r="W33" i="24"/>
  <c r="X33" i="24"/>
  <c r="X3" i="24"/>
  <c r="W3" i="24"/>
  <c r="S4" i="24"/>
  <c r="S5" i="24"/>
  <c r="S6" i="24"/>
  <c r="S7" i="24"/>
  <c r="S8" i="24"/>
  <c r="S9" i="24"/>
  <c r="S10" i="24"/>
  <c r="S11" i="24"/>
  <c r="S12" i="24"/>
  <c r="S13" i="24"/>
  <c r="S14" i="24"/>
  <c r="S15" i="24"/>
  <c r="S16" i="24"/>
  <c r="S17" i="24"/>
  <c r="S18" i="24"/>
  <c r="S19" i="24"/>
  <c r="S20" i="24"/>
  <c r="S21" i="24"/>
  <c r="S22" i="24"/>
  <c r="S23" i="24"/>
  <c r="S24" i="24"/>
  <c r="S25" i="24"/>
  <c r="S26" i="24"/>
  <c r="S27" i="24"/>
  <c r="S28" i="24"/>
  <c r="S29" i="24"/>
  <c r="S30" i="24"/>
  <c r="S31" i="24"/>
  <c r="S32" i="24"/>
  <c r="S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N4" i="24"/>
  <c r="M5" i="24"/>
  <c r="N5" i="24"/>
  <c r="M6" i="24"/>
  <c r="N6" i="24"/>
  <c r="M7" i="24"/>
  <c r="N7" i="24"/>
  <c r="M8" i="24"/>
  <c r="N8" i="24"/>
  <c r="M9" i="24"/>
  <c r="N9" i="24"/>
  <c r="M10" i="24"/>
  <c r="N10" i="24"/>
  <c r="M11" i="24"/>
  <c r="N11" i="24"/>
  <c r="M12" i="24"/>
  <c r="N12" i="24"/>
  <c r="M13" i="24"/>
  <c r="N13" i="24"/>
  <c r="M14" i="24"/>
  <c r="N14" i="24"/>
  <c r="M15" i="24"/>
  <c r="N15" i="24"/>
  <c r="M16" i="24"/>
  <c r="N16" i="24"/>
  <c r="M17" i="24"/>
  <c r="N17" i="24"/>
  <c r="M18" i="24"/>
  <c r="N18" i="24"/>
  <c r="M19" i="24"/>
  <c r="N19" i="24"/>
  <c r="M20" i="24"/>
  <c r="N20" i="24"/>
  <c r="M21" i="24"/>
  <c r="N21" i="24"/>
  <c r="M22" i="24"/>
  <c r="N22" i="24"/>
  <c r="M23" i="24"/>
  <c r="N23" i="24"/>
  <c r="M24" i="24"/>
  <c r="N24" i="24"/>
  <c r="M25" i="24"/>
  <c r="N25" i="24"/>
  <c r="M26" i="24"/>
  <c r="N26" i="24"/>
  <c r="M27" i="24"/>
  <c r="N27" i="24"/>
  <c r="M28" i="24"/>
  <c r="N28" i="24"/>
  <c r="M29" i="24"/>
  <c r="N29" i="24"/>
  <c r="M30" i="24"/>
  <c r="N30" i="24"/>
  <c r="M31" i="24"/>
  <c r="N31" i="24"/>
  <c r="M32" i="24"/>
  <c r="N32" i="24"/>
  <c r="M33" i="24"/>
  <c r="N33" i="24"/>
  <c r="N3" i="24"/>
  <c r="M3" i="24"/>
  <c r="I4" i="24"/>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W37" i="68"/>
  <c r="X37" i="68"/>
  <c r="V37" i="68"/>
  <c r="I47" i="68" s="1"/>
  <c r="X39" i="72"/>
  <c r="W39" i="72"/>
  <c r="V39" i="72"/>
  <c r="I49" i="72" s="1"/>
  <c r="X39" i="70"/>
  <c r="W39" i="70"/>
  <c r="V39" i="70"/>
  <c r="I49" i="70" s="1"/>
  <c r="X39" i="65"/>
  <c r="W39" i="65"/>
  <c r="V39" i="65"/>
  <c r="I49" i="65" s="1"/>
  <c r="V40" i="64"/>
  <c r="I50" i="64" s="1"/>
  <c r="X40" i="64"/>
  <c r="W40" i="64"/>
  <c r="X39" i="63"/>
  <c r="W39" i="63"/>
  <c r="V39" i="63"/>
  <c r="I49" i="63" s="1"/>
  <c r="R41" i="41"/>
  <c r="X41" i="41"/>
  <c r="W41" i="41"/>
  <c r="V41" i="4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3"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66" i="41"/>
  <c r="D63" i="63"/>
  <c r="D64" i="64"/>
  <c r="D63" i="65"/>
  <c r="D64" i="66"/>
  <c r="D64" i="67"/>
  <c r="D61" i="68"/>
  <c r="D64" i="69"/>
  <c r="D63" i="70"/>
  <c r="D64" i="71"/>
  <c r="D64" i="73"/>
  <c r="D63" i="72"/>
  <c r="A73" i="70"/>
  <c r="A74" i="66"/>
  <c r="A70" i="65"/>
  <c r="I51" i="41" l="1"/>
  <c r="AF40" i="69"/>
  <c r="AV37" i="23"/>
  <c r="U39" i="24" s="1"/>
  <c r="AF40" i="73"/>
  <c r="AF39" i="72"/>
  <c r="AF40" i="71"/>
  <c r="AF39" i="70"/>
  <c r="AF37" i="68"/>
  <c r="AF40" i="67"/>
  <c r="AF40" i="66"/>
  <c r="AF39" i="65"/>
  <c r="AF40" i="64"/>
  <c r="AU4" i="23" l="1"/>
  <c r="AU5" i="23"/>
  <c r="AU6" i="23"/>
  <c r="AU7" i="23"/>
  <c r="AU8" i="23"/>
  <c r="AU9" i="23"/>
  <c r="AU10"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 i="23"/>
  <c r="AQ4" i="23"/>
  <c r="AQ5" i="23"/>
  <c r="AQ6" i="23"/>
  <c r="AQ7" i="23"/>
  <c r="AQ8" i="23"/>
  <c r="AQ9" i="23"/>
  <c r="AQ10" i="23"/>
  <c r="AQ11" i="23"/>
  <c r="AQ12" i="23"/>
  <c r="AQ13" i="23"/>
  <c r="AQ14" i="23"/>
  <c r="AQ15" i="23"/>
  <c r="AQ16" i="23"/>
  <c r="AQ17" i="23"/>
  <c r="AQ18" i="23"/>
  <c r="AQ19" i="23"/>
  <c r="AQ20" i="23"/>
  <c r="AQ21" i="23"/>
  <c r="AQ22" i="23"/>
  <c r="AQ23" i="23"/>
  <c r="AQ24" i="23"/>
  <c r="AQ25" i="23"/>
  <c r="AQ26" i="23"/>
  <c r="AQ27" i="23"/>
  <c r="AQ28" i="23"/>
  <c r="AQ29" i="23"/>
  <c r="AQ30" i="23"/>
  <c r="AQ31" i="23"/>
  <c r="AQ32" i="23"/>
  <c r="AQ3" i="23"/>
  <c r="AM3" i="23"/>
  <c r="AM4" i="23"/>
  <c r="AM5" i="23"/>
  <c r="AM6" i="23"/>
  <c r="AM7" i="23"/>
  <c r="AM8" i="23"/>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E4" i="23"/>
  <c r="AE5" i="23"/>
  <c r="AE6" i="23"/>
  <c r="AE7" i="23"/>
  <c r="AE8" i="23"/>
  <c r="AE9" i="23"/>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G15" i="50" l="1"/>
  <c r="G14" i="50"/>
  <c r="G13" i="50"/>
  <c r="G12" i="50"/>
  <c r="G11" i="50"/>
  <c r="G10" i="50"/>
  <c r="G9" i="50"/>
  <c r="G8" i="50"/>
  <c r="G7" i="50"/>
  <c r="G6" i="50"/>
  <c r="J35" i="61"/>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Y13" i="73"/>
  <c r="Z12" i="73"/>
  <c r="Y12" i="73"/>
  <c r="Y11" i="73"/>
  <c r="Z10" i="73"/>
  <c r="Y10" i="73"/>
  <c r="Y9" i="73"/>
  <c r="J34" i="61"/>
  <c r="Z38" i="72"/>
  <c r="Y38" i="72"/>
  <c r="Z37" i="72"/>
  <c r="Y37" i="72"/>
  <c r="Z36" i="72"/>
  <c r="Y36" i="72"/>
  <c r="Z35" i="72"/>
  <c r="Y35" i="72"/>
  <c r="Z34" i="72"/>
  <c r="Y34" i="72"/>
  <c r="Z33" i="72"/>
  <c r="Y33" i="72"/>
  <c r="Z32" i="72"/>
  <c r="Y32" i="72"/>
  <c r="Z31" i="72"/>
  <c r="Y31" i="72"/>
  <c r="Z30" i="72"/>
  <c r="Y30" i="72"/>
  <c r="Z29" i="72"/>
  <c r="Y29" i="72"/>
  <c r="Z28" i="72"/>
  <c r="Y28" i="72"/>
  <c r="Z27" i="72"/>
  <c r="Y27" i="72"/>
  <c r="Z26" i="72"/>
  <c r="Y26" i="72"/>
  <c r="Z25" i="72"/>
  <c r="Y25" i="72"/>
  <c r="Z24" i="72"/>
  <c r="Y24" i="72"/>
  <c r="Z23" i="72"/>
  <c r="Y23" i="72"/>
  <c r="Z22" i="72"/>
  <c r="Y22" i="72"/>
  <c r="Z21" i="72"/>
  <c r="Z20" i="72"/>
  <c r="Y20" i="72"/>
  <c r="Z19" i="72"/>
  <c r="Z18" i="72"/>
  <c r="Z17" i="72"/>
  <c r="Y17" i="72"/>
  <c r="Z16" i="72"/>
  <c r="Y16" i="72"/>
  <c r="Z15" i="72"/>
  <c r="Y15" i="72"/>
  <c r="Z14" i="72"/>
  <c r="Y14" i="72"/>
  <c r="Z13" i="72"/>
  <c r="Y13" i="72"/>
  <c r="Z12" i="72"/>
  <c r="Y12" i="72"/>
  <c r="Z11" i="72"/>
  <c r="Y11" i="72"/>
  <c r="Z10" i="72"/>
  <c r="Y10" i="72"/>
  <c r="Z9" i="72"/>
  <c r="Y9" i="72"/>
  <c r="J33" i="6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Y16" i="71"/>
  <c r="Z15" i="71"/>
  <c r="Y15" i="71"/>
  <c r="Z14" i="71"/>
  <c r="Y14" i="71"/>
  <c r="Z13" i="71"/>
  <c r="Y13" i="71"/>
  <c r="Z12" i="71"/>
  <c r="Y12" i="71"/>
  <c r="Z11" i="71"/>
  <c r="Y11" i="71"/>
  <c r="Z10" i="71"/>
  <c r="Y10" i="71"/>
  <c r="Y9" i="71"/>
  <c r="J32" i="61"/>
  <c r="Z38" i="70"/>
  <c r="Y38" i="70"/>
  <c r="Z37" i="70"/>
  <c r="Y37" i="70"/>
  <c r="Z36" i="70"/>
  <c r="Y36" i="70"/>
  <c r="Z35" i="70"/>
  <c r="Y35" i="70"/>
  <c r="Z34" i="70"/>
  <c r="Y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Y19" i="70"/>
  <c r="Z18" i="70"/>
  <c r="Y18" i="70"/>
  <c r="Z17" i="70"/>
  <c r="Y17" i="70"/>
  <c r="Z16" i="70"/>
  <c r="Y16" i="70"/>
  <c r="Z15" i="70"/>
  <c r="Y15" i="70"/>
  <c r="Z14" i="70"/>
  <c r="Y14" i="70"/>
  <c r="Z13" i="70"/>
  <c r="Y13" i="70"/>
  <c r="Z12" i="70"/>
  <c r="Y12" i="70"/>
  <c r="Z11" i="70"/>
  <c r="Y11" i="70"/>
  <c r="Z10" i="70"/>
  <c r="Y10" i="70"/>
  <c r="Z9" i="70"/>
  <c r="Y9" i="70"/>
  <c r="J30" i="61"/>
  <c r="Z36" i="68"/>
  <c r="Y36" i="68"/>
  <c r="Z35" i="68"/>
  <c r="Y35" i="68"/>
  <c r="Z34" i="68"/>
  <c r="Y34" i="68"/>
  <c r="Z33" i="68"/>
  <c r="Y33" i="68"/>
  <c r="Z32" i="68"/>
  <c r="Y32" i="68"/>
  <c r="Z31" i="68"/>
  <c r="Y31" i="68"/>
  <c r="Z30" i="68"/>
  <c r="Y30" i="68"/>
  <c r="Z29" i="68"/>
  <c r="Y29" i="68"/>
  <c r="Z28" i="68"/>
  <c r="Y28" i="68"/>
  <c r="Z27" i="68"/>
  <c r="Y27" i="68"/>
  <c r="Z26" i="68"/>
  <c r="Y26" i="68"/>
  <c r="Z25" i="68"/>
  <c r="Y25" i="68"/>
  <c r="Z24" i="68"/>
  <c r="Y24" i="68"/>
  <c r="Z23" i="68"/>
  <c r="Y23" i="68"/>
  <c r="Z22" i="68"/>
  <c r="Y22" i="68"/>
  <c r="Z21" i="68"/>
  <c r="Y21" i="68"/>
  <c r="Z20" i="68"/>
  <c r="Y20" i="68"/>
  <c r="Z19" i="68"/>
  <c r="Y19" i="68"/>
  <c r="Z18" i="68"/>
  <c r="Y18" i="68"/>
  <c r="Z17" i="68"/>
  <c r="Y17" i="68"/>
  <c r="Z16" i="68"/>
  <c r="Z15" i="68"/>
  <c r="Y15" i="68"/>
  <c r="Z14" i="68"/>
  <c r="Y14" i="68"/>
  <c r="Z13" i="68"/>
  <c r="Z12" i="68"/>
  <c r="Z11" i="68"/>
  <c r="Y11" i="68"/>
  <c r="Z10" i="68"/>
  <c r="Y10" i="68"/>
  <c r="Z9" i="68"/>
  <c r="Y9" i="68"/>
  <c r="J31" i="61"/>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Y22" i="69"/>
  <c r="Z21" i="69"/>
  <c r="Y21" i="69"/>
  <c r="Z20" i="69"/>
  <c r="Y20" i="69"/>
  <c r="Z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Y18" i="67"/>
  <c r="Z18" i="67"/>
  <c r="Y19" i="67"/>
  <c r="Z19" i="67"/>
  <c r="Y20" i="67"/>
  <c r="Z20" i="67"/>
  <c r="Y21" i="67"/>
  <c r="Z21" i="67"/>
  <c r="Z22" i="67"/>
  <c r="Z23" i="67"/>
  <c r="Y24" i="67"/>
  <c r="Z24" i="67"/>
  <c r="Y25" i="67"/>
  <c r="Z25" i="67"/>
  <c r="Z26" i="67"/>
  <c r="Y27"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J29" i="61"/>
  <c r="J28" i="61"/>
  <c r="Z39" i="66"/>
  <c r="Y39" i="66"/>
  <c r="Z38" i="66"/>
  <c r="Y38" i="66"/>
  <c r="Z37" i="66"/>
  <c r="Y37" i="66"/>
  <c r="Z36" i="66"/>
  <c r="Y36" i="66"/>
  <c r="Z35" i="66"/>
  <c r="Y35" i="66"/>
  <c r="Z34" i="66"/>
  <c r="Y34" i="66"/>
  <c r="Z33" i="66"/>
  <c r="Y33" i="66"/>
  <c r="Z32" i="66"/>
  <c r="Y32" i="66"/>
  <c r="Z31" i="66"/>
  <c r="Y31" i="66"/>
  <c r="Z30" i="66"/>
  <c r="Y30" i="66"/>
  <c r="Z29" i="66"/>
  <c r="Y29" i="66"/>
  <c r="Z28" i="66"/>
  <c r="Y28" i="66"/>
  <c r="Z27" i="66"/>
  <c r="Y27" i="66"/>
  <c r="Z26" i="66"/>
  <c r="Y26" i="66"/>
  <c r="Z25" i="66"/>
  <c r="Y25" i="66"/>
  <c r="Z24" i="66"/>
  <c r="Y24" i="66"/>
  <c r="Z23" i="66"/>
  <c r="Y23" i="66"/>
  <c r="Z22" i="66"/>
  <c r="Z21" i="66"/>
  <c r="Y21" i="66"/>
  <c r="Z20" i="66"/>
  <c r="Y20" i="66"/>
  <c r="Z19" i="66"/>
  <c r="Z18" i="66"/>
  <c r="Z17" i="66"/>
  <c r="Y17" i="66"/>
  <c r="Z16" i="66"/>
  <c r="Y16" i="66"/>
  <c r="Z15" i="66"/>
  <c r="Y15" i="66"/>
  <c r="Z14" i="66"/>
  <c r="Y14" i="66"/>
  <c r="Z13" i="66"/>
  <c r="Y13" i="66"/>
  <c r="Z12" i="66"/>
  <c r="Y12" i="66"/>
  <c r="Z11" i="66"/>
  <c r="Z10" i="66"/>
  <c r="Y10" i="66"/>
  <c r="Z9" i="66"/>
  <c r="Y9" i="66"/>
  <c r="J27" i="61"/>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Y17" i="65"/>
  <c r="Z16" i="65"/>
  <c r="Y16" i="65"/>
  <c r="Z15" i="65"/>
  <c r="Y15" i="65"/>
  <c r="Z14" i="65"/>
  <c r="Y14" i="65"/>
  <c r="Z13" i="65"/>
  <c r="Y13" i="65"/>
  <c r="Z12" i="65"/>
  <c r="Y12" i="65"/>
  <c r="Z11" i="65"/>
  <c r="Y11" i="65"/>
  <c r="Z10" i="65"/>
  <c r="Y10" i="65"/>
  <c r="Z9" i="65"/>
  <c r="Y9" i="65"/>
  <c r="J26" i="61"/>
  <c r="Z39" i="64"/>
  <c r="Y39" i="64"/>
  <c r="Z38" i="64"/>
  <c r="Y38" i="64"/>
  <c r="Z37" i="64"/>
  <c r="Y37" i="64"/>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Y19" i="64"/>
  <c r="Z18" i="64"/>
  <c r="Y18" i="64"/>
  <c r="Z17" i="64"/>
  <c r="Z16" i="64"/>
  <c r="Z15" i="64"/>
  <c r="Y15" i="64"/>
  <c r="Z14" i="64"/>
  <c r="Y14" i="64"/>
  <c r="Z13" i="64"/>
  <c r="Y13" i="64"/>
  <c r="Z12" i="64"/>
  <c r="Y12" i="64"/>
  <c r="Z11" i="64"/>
  <c r="Z10" i="64"/>
  <c r="Y10" i="64"/>
  <c r="Z9" i="64"/>
  <c r="Y9" i="64"/>
  <c r="Z40" i="69" l="1"/>
  <c r="Z39" i="72"/>
  <c r="Z39" i="70"/>
  <c r="Z37" i="68"/>
  <c r="Z40" i="67"/>
  <c r="Z40" i="66"/>
  <c r="Z39" i="65"/>
  <c r="Z40" i="64"/>
  <c r="F15" i="50" l="1"/>
  <c r="F13" i="50"/>
  <c r="F11" i="50"/>
  <c r="F10" i="50"/>
  <c r="F9" i="50"/>
  <c r="F8" i="50"/>
  <c r="T61" i="41"/>
  <c r="V46" i="41"/>
  <c r="J24" i="61"/>
  <c r="J25" i="61"/>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H49" i="50"/>
  <c r="G49" i="50"/>
  <c r="F49" i="50"/>
  <c r="E49" i="50"/>
  <c r="D49" i="50"/>
  <c r="C49" i="50"/>
  <c r="H40" i="50"/>
  <c r="G40" i="50"/>
  <c r="F40" i="50"/>
  <c r="E40" i="50"/>
  <c r="D40" i="50"/>
  <c r="C40" i="50"/>
  <c r="D31" i="50"/>
  <c r="E31" i="50"/>
  <c r="F31" i="50"/>
  <c r="G31" i="50"/>
  <c r="H31" i="50"/>
  <c r="C31" i="50"/>
  <c r="G22" i="50"/>
  <c r="H22" i="50"/>
  <c r="F22" i="50"/>
  <c r="D22" i="50"/>
  <c r="E22" i="50"/>
  <c r="C22" i="50"/>
  <c r="F6" i="50" l="1"/>
  <c r="M60" i="41"/>
  <c r="Z39" i="63"/>
  <c r="Q60" i="41" l="1"/>
  <c r="S62" i="41" s="1"/>
  <c r="O60" i="41"/>
  <c r="S61" i="41"/>
  <c r="F2" i="46"/>
  <c r="D2" i="46"/>
  <c r="K73" i="44"/>
  <c r="I73" i="44"/>
  <c r="B73" i="44"/>
  <c r="K72" i="44"/>
  <c r="I72" i="44"/>
  <c r="B72" i="44"/>
  <c r="K71" i="44"/>
  <c r="I71" i="44"/>
  <c r="B71" i="44"/>
  <c r="K70" i="44"/>
  <c r="I70" i="44"/>
  <c r="B70" i="44"/>
  <c r="K69" i="44"/>
  <c r="I69" i="44"/>
  <c r="B69" i="44"/>
  <c r="K68" i="44"/>
  <c r="I68" i="44"/>
  <c r="B68" i="44"/>
  <c r="K67" i="44"/>
  <c r="I67" i="44"/>
  <c r="B67" i="44"/>
  <c r="K66" i="44"/>
  <c r="I66" i="44"/>
  <c r="B66" i="44"/>
  <c r="K65" i="44"/>
  <c r="I65" i="44"/>
  <c r="B65" i="44"/>
  <c r="K64" i="44"/>
  <c r="I64" i="44"/>
  <c r="B64" i="44"/>
  <c r="K63" i="44"/>
  <c r="I63" i="44"/>
  <c r="B63" i="44"/>
  <c r="K62" i="44"/>
  <c r="I62" i="44"/>
  <c r="B62" i="44"/>
  <c r="A46" i="68"/>
  <c r="A48" i="72"/>
  <c r="A48" i="70"/>
  <c r="A48" i="65"/>
  <c r="A49" i="73"/>
  <c r="A49" i="71"/>
  <c r="A49" i="69"/>
  <c r="A49" i="67"/>
  <c r="A49" i="66"/>
  <c r="A50" i="41"/>
  <c r="A48" i="63"/>
  <c r="I67" i="43"/>
  <c r="K55" i="43"/>
  <c r="V66" i="43"/>
  <c r="U66" i="43"/>
  <c r="T66" i="43"/>
  <c r="S66" i="43"/>
  <c r="R66" i="43"/>
  <c r="Q66" i="43"/>
  <c r="P66" i="43"/>
  <c r="O66" i="43"/>
  <c r="N66" i="43"/>
  <c r="M66" i="43"/>
  <c r="L66" i="43"/>
  <c r="K66" i="43"/>
  <c r="V65" i="43"/>
  <c r="U65" i="43"/>
  <c r="T65" i="43"/>
  <c r="S65" i="43"/>
  <c r="R65" i="43"/>
  <c r="Q65" i="43"/>
  <c r="P65" i="43"/>
  <c r="O65" i="43"/>
  <c r="N65" i="43"/>
  <c r="M65" i="43"/>
  <c r="L65" i="43"/>
  <c r="K65" i="43"/>
  <c r="V64" i="43"/>
  <c r="U64" i="43"/>
  <c r="T64" i="43"/>
  <c r="S64" i="43"/>
  <c r="R64" i="43"/>
  <c r="Q64" i="43"/>
  <c r="P64" i="43"/>
  <c r="O64" i="43"/>
  <c r="N64" i="43"/>
  <c r="M64" i="43"/>
  <c r="L64" i="43"/>
  <c r="K64" i="43"/>
  <c r="V63" i="43"/>
  <c r="U63" i="43"/>
  <c r="T63" i="43"/>
  <c r="S63" i="43"/>
  <c r="R63" i="43"/>
  <c r="Q63" i="43"/>
  <c r="P63" i="43"/>
  <c r="O63" i="43"/>
  <c r="N63" i="43"/>
  <c r="M63" i="43"/>
  <c r="L63" i="43"/>
  <c r="K63" i="43"/>
  <c r="V62" i="43"/>
  <c r="U62" i="43"/>
  <c r="T62" i="43"/>
  <c r="S62" i="43"/>
  <c r="R62" i="43"/>
  <c r="Q62" i="43"/>
  <c r="P62" i="43"/>
  <c r="O62" i="43"/>
  <c r="N62" i="43"/>
  <c r="M62" i="43"/>
  <c r="L62" i="43"/>
  <c r="K62" i="43"/>
  <c r="V61" i="43"/>
  <c r="U61" i="43"/>
  <c r="T61" i="43"/>
  <c r="S61" i="43"/>
  <c r="R61" i="43"/>
  <c r="Q61" i="43"/>
  <c r="P61" i="43"/>
  <c r="O61" i="43"/>
  <c r="N61" i="43"/>
  <c r="M61" i="43"/>
  <c r="L61" i="43"/>
  <c r="K61" i="43"/>
  <c r="V60" i="43"/>
  <c r="U60" i="43"/>
  <c r="T60" i="43"/>
  <c r="S60" i="43"/>
  <c r="R60" i="43"/>
  <c r="Q60" i="43"/>
  <c r="P60" i="43"/>
  <c r="O60" i="43"/>
  <c r="N60" i="43"/>
  <c r="M60" i="43"/>
  <c r="L60" i="43"/>
  <c r="K60" i="43"/>
  <c r="V59" i="43"/>
  <c r="U59" i="43"/>
  <c r="T59" i="43"/>
  <c r="S59" i="43"/>
  <c r="R59" i="43"/>
  <c r="Q59" i="43"/>
  <c r="P59" i="43"/>
  <c r="O59" i="43"/>
  <c r="N59" i="43"/>
  <c r="M59" i="43"/>
  <c r="L59" i="43"/>
  <c r="K59" i="43"/>
  <c r="V58" i="43"/>
  <c r="U58" i="43"/>
  <c r="T58" i="43"/>
  <c r="S58" i="43"/>
  <c r="R58" i="43"/>
  <c r="Q58" i="43"/>
  <c r="P58" i="43"/>
  <c r="O58" i="43"/>
  <c r="N58" i="43"/>
  <c r="M58" i="43"/>
  <c r="L58" i="43"/>
  <c r="K58" i="43"/>
  <c r="V57" i="43"/>
  <c r="U57" i="43"/>
  <c r="T57" i="43"/>
  <c r="S57" i="43"/>
  <c r="R57" i="43"/>
  <c r="Q57" i="43"/>
  <c r="P57" i="43"/>
  <c r="O57" i="43"/>
  <c r="N57" i="43"/>
  <c r="M57" i="43"/>
  <c r="L57" i="43"/>
  <c r="K57" i="43"/>
  <c r="V56" i="43"/>
  <c r="U56" i="43"/>
  <c r="T56" i="43"/>
  <c r="S56" i="43"/>
  <c r="R56" i="43"/>
  <c r="Q56" i="43"/>
  <c r="P56" i="43"/>
  <c r="O56" i="43"/>
  <c r="N56" i="43"/>
  <c r="M56" i="43"/>
  <c r="L56" i="43"/>
  <c r="K56" i="43"/>
  <c r="V55" i="43"/>
  <c r="U55" i="43"/>
  <c r="T55" i="43"/>
  <c r="S55" i="43"/>
  <c r="R55" i="43"/>
  <c r="Q55" i="43"/>
  <c r="P55" i="43"/>
  <c r="O55" i="43"/>
  <c r="N55" i="43"/>
  <c r="M55" i="43"/>
  <c r="L55" i="43"/>
  <c r="N62" i="41" l="1"/>
  <c r="M62" i="41"/>
  <c r="V45" i="41" s="1"/>
  <c r="P60" i="41"/>
  <c r="F14" i="50"/>
  <c r="F12" i="50"/>
  <c r="F7" i="50"/>
  <c r="D24" i="74"/>
  <c r="D26" i="74" s="1"/>
  <c r="D22" i="74"/>
  <c r="V47" i="41" l="1"/>
  <c r="V56" i="41" s="1"/>
  <c r="V44" i="63" s="1"/>
  <c r="D32" i="74"/>
  <c r="D30" i="74"/>
  <c r="D28" i="74"/>
  <c r="D34" i="74" s="1"/>
  <c r="B2" i="50" l="1"/>
  <c r="A6" i="41"/>
  <c r="M43" i="41" s="1"/>
  <c r="K51" i="44" l="1"/>
  <c r="K52" i="44"/>
  <c r="K53" i="44"/>
  <c r="K54" i="44"/>
  <c r="K55" i="44"/>
  <c r="K56" i="44"/>
  <c r="K57" i="44"/>
  <c r="K58" i="44"/>
  <c r="K59" i="44"/>
  <c r="K60" i="44"/>
  <c r="K61" i="44"/>
  <c r="K50" i="44"/>
  <c r="I51" i="44"/>
  <c r="I52" i="44"/>
  <c r="I53" i="44"/>
  <c r="I54" i="44"/>
  <c r="I55" i="44"/>
  <c r="I56" i="44"/>
  <c r="I57" i="44"/>
  <c r="I58" i="44"/>
  <c r="I59" i="44"/>
  <c r="I60" i="44"/>
  <c r="I61" i="44"/>
  <c r="I50" i="44"/>
  <c r="B51" i="44"/>
  <c r="B52" i="44"/>
  <c r="B53" i="44"/>
  <c r="B54" i="44"/>
  <c r="B55" i="44"/>
  <c r="B56" i="44"/>
  <c r="B57" i="44"/>
  <c r="B58" i="44"/>
  <c r="B59" i="44"/>
  <c r="B60" i="44"/>
  <c r="B61" i="44"/>
  <c r="B50" i="44"/>
  <c r="K43" i="43"/>
  <c r="K44" i="43"/>
  <c r="J25" i="1"/>
  <c r="V54" i="43"/>
  <c r="U54" i="43"/>
  <c r="T54" i="43"/>
  <c r="S54" i="43"/>
  <c r="R54" i="43"/>
  <c r="Q54" i="43"/>
  <c r="P54" i="43"/>
  <c r="O54" i="43"/>
  <c r="N54" i="43"/>
  <c r="M54" i="43"/>
  <c r="L54" i="43"/>
  <c r="K54" i="43"/>
  <c r="V53" i="43"/>
  <c r="U53" i="43"/>
  <c r="T53" i="43"/>
  <c r="S53" i="43"/>
  <c r="R53" i="43"/>
  <c r="Q53" i="43"/>
  <c r="P53" i="43"/>
  <c r="O53" i="43"/>
  <c r="N53" i="43"/>
  <c r="M53" i="43"/>
  <c r="L53" i="43"/>
  <c r="K53" i="43"/>
  <c r="V52" i="43"/>
  <c r="U52" i="43"/>
  <c r="T52" i="43"/>
  <c r="S52" i="43"/>
  <c r="R52" i="43"/>
  <c r="Q52" i="43"/>
  <c r="P52" i="43"/>
  <c r="O52" i="43"/>
  <c r="N52" i="43"/>
  <c r="M52" i="43"/>
  <c r="L52" i="43"/>
  <c r="K52" i="43"/>
  <c r="V51" i="43"/>
  <c r="U51" i="43"/>
  <c r="T51" i="43"/>
  <c r="S51" i="43"/>
  <c r="R51" i="43"/>
  <c r="Q51" i="43"/>
  <c r="P51" i="43"/>
  <c r="O51" i="43"/>
  <c r="N51" i="43"/>
  <c r="M51" i="43"/>
  <c r="L51" i="43"/>
  <c r="K51" i="43"/>
  <c r="V50" i="43"/>
  <c r="U50" i="43"/>
  <c r="T50" i="43"/>
  <c r="S50" i="43"/>
  <c r="R50" i="43"/>
  <c r="Q50" i="43"/>
  <c r="P50" i="43"/>
  <c r="O50" i="43"/>
  <c r="N50" i="43"/>
  <c r="M50" i="43"/>
  <c r="L50" i="43"/>
  <c r="K50" i="43"/>
  <c r="V49" i="43"/>
  <c r="U49" i="43"/>
  <c r="T49" i="43"/>
  <c r="S49" i="43"/>
  <c r="R49" i="43"/>
  <c r="Q49" i="43"/>
  <c r="P49" i="43"/>
  <c r="O49" i="43"/>
  <c r="N49" i="43"/>
  <c r="M49" i="43"/>
  <c r="L49" i="43"/>
  <c r="K49" i="43"/>
  <c r="V48" i="43"/>
  <c r="U48" i="43"/>
  <c r="T48" i="43"/>
  <c r="S48" i="43"/>
  <c r="R48" i="43"/>
  <c r="Q48" i="43"/>
  <c r="P48" i="43"/>
  <c r="O48" i="43"/>
  <c r="N48" i="43"/>
  <c r="M48" i="43"/>
  <c r="L48" i="43"/>
  <c r="K48" i="43"/>
  <c r="V47" i="43"/>
  <c r="U47" i="43"/>
  <c r="T47" i="43"/>
  <c r="S47" i="43"/>
  <c r="R47" i="43"/>
  <c r="Q47" i="43"/>
  <c r="P47" i="43"/>
  <c r="O47" i="43"/>
  <c r="N47" i="43"/>
  <c r="M47" i="43"/>
  <c r="L47" i="43"/>
  <c r="K47" i="43"/>
  <c r="V46" i="43"/>
  <c r="U46" i="43"/>
  <c r="T46" i="43"/>
  <c r="S46" i="43"/>
  <c r="R46" i="43"/>
  <c r="Q46" i="43"/>
  <c r="P46" i="43"/>
  <c r="O46" i="43"/>
  <c r="N46" i="43"/>
  <c r="M46" i="43"/>
  <c r="L46" i="43"/>
  <c r="K46" i="43"/>
  <c r="V45" i="43"/>
  <c r="U45" i="43"/>
  <c r="T45" i="43"/>
  <c r="S45" i="43"/>
  <c r="R45" i="43"/>
  <c r="Q45" i="43"/>
  <c r="P45" i="43"/>
  <c r="O45" i="43"/>
  <c r="N45" i="43"/>
  <c r="M45" i="43"/>
  <c r="L45" i="43"/>
  <c r="K45" i="43"/>
  <c r="V44" i="43"/>
  <c r="U44" i="43"/>
  <c r="T44" i="43"/>
  <c r="S44" i="43"/>
  <c r="R44" i="43"/>
  <c r="Q44" i="43"/>
  <c r="P44" i="43"/>
  <c r="O44" i="43"/>
  <c r="N44" i="43"/>
  <c r="M44" i="43"/>
  <c r="L44" i="43"/>
  <c r="V43" i="43"/>
  <c r="U43" i="43"/>
  <c r="T43" i="43"/>
  <c r="S43" i="43"/>
  <c r="R43" i="43"/>
  <c r="Q43" i="43"/>
  <c r="P43" i="43"/>
  <c r="O43" i="43"/>
  <c r="N43" i="43"/>
  <c r="M43" i="43"/>
  <c r="L43" i="43"/>
  <c r="A5" i="73"/>
  <c r="M42" i="73" s="1"/>
  <c r="A5" i="72"/>
  <c r="M41" i="72" s="1"/>
  <c r="A5" i="71"/>
  <c r="M42" i="71" s="1"/>
  <c r="A5" i="70"/>
  <c r="M41" i="70" s="1"/>
  <c r="A5" i="69"/>
  <c r="M42" i="69" s="1"/>
  <c r="A5" i="68"/>
  <c r="M39" i="68" s="1"/>
  <c r="A5" i="67"/>
  <c r="A5" i="66"/>
  <c r="M42" i="66" s="1"/>
  <c r="A5" i="65"/>
  <c r="M41" i="65" s="1"/>
  <c r="A5" i="64"/>
  <c r="M42" i="64" s="1"/>
  <c r="A5" i="63"/>
  <c r="M41" i="63" s="1"/>
  <c r="F51" i="1"/>
  <c r="B9" i="1"/>
  <c r="G10" i="62"/>
  <c r="A72" i="71"/>
  <c r="G52" i="50"/>
  <c r="G51" i="50"/>
  <c r="G50" i="50"/>
  <c r="G53" i="50" s="1"/>
  <c r="G43" i="50"/>
  <c r="G42" i="50"/>
  <c r="G41" i="50"/>
  <c r="G34" i="50"/>
  <c r="G33" i="50"/>
  <c r="G32" i="50"/>
  <c r="G25" i="50"/>
  <c r="G5" i="50"/>
  <c r="G24" i="50" s="1"/>
  <c r="G4" i="50"/>
  <c r="G23" i="50" s="1"/>
  <c r="V67" i="43" l="1"/>
  <c r="I49" i="73" s="1"/>
  <c r="N67" i="43"/>
  <c r="I48" i="65" s="1"/>
  <c r="G35" i="50"/>
  <c r="G44" i="50"/>
  <c r="G26" i="50"/>
  <c r="O67" i="43"/>
  <c r="I49" i="66" s="1"/>
  <c r="P67" i="43"/>
  <c r="I49" i="67" s="1"/>
  <c r="Q67" i="43"/>
  <c r="I46" i="68" s="1"/>
  <c r="K74" i="44"/>
  <c r="R67" i="43"/>
  <c r="I49" i="69" s="1"/>
  <c r="K67" i="43"/>
  <c r="I50" i="41" s="1"/>
  <c r="S67" i="43"/>
  <c r="I48" i="70" s="1"/>
  <c r="T67" i="43"/>
  <c r="I49" i="71" s="1"/>
  <c r="L67" i="43"/>
  <c r="I48" i="63" s="1"/>
  <c r="M67" i="43"/>
  <c r="I49" i="64" s="1"/>
  <c r="U67" i="43"/>
  <c r="I48" i="72" s="1"/>
  <c r="A71" i="68" l="1"/>
  <c r="A70" i="68"/>
  <c r="A69" i="68"/>
  <c r="A68" i="68"/>
  <c r="A74" i="69"/>
  <c r="A73" i="69"/>
  <c r="A72" i="69"/>
  <c r="A71" i="69"/>
  <c r="A74" i="70"/>
  <c r="A72" i="70"/>
  <c r="A71" i="70"/>
  <c r="A70" i="70"/>
  <c r="A75" i="73"/>
  <c r="A74" i="73"/>
  <c r="A73" i="73"/>
  <c r="A72" i="73"/>
  <c r="A71" i="73"/>
  <c r="A73" i="72"/>
  <c r="A72" i="72"/>
  <c r="A71" i="72"/>
  <c r="A70" i="72"/>
  <c r="A75" i="71"/>
  <c r="A74" i="71"/>
  <c r="A73" i="71"/>
  <c r="R37" i="68"/>
  <c r="T58" i="68" s="1"/>
  <c r="V40" i="68" s="1"/>
  <c r="A6" i="73"/>
  <c r="A6" i="72"/>
  <c r="A6" i="70"/>
  <c r="A6" i="69"/>
  <c r="A6" i="68"/>
  <c r="A6" i="71"/>
  <c r="D53" i="73"/>
  <c r="D65" i="73"/>
  <c r="D63" i="73"/>
  <c r="D62" i="73"/>
  <c r="H44" i="73" s="1"/>
  <c r="D61" i="73"/>
  <c r="H45" i="73" s="1"/>
  <c r="D60" i="73"/>
  <c r="D59" i="73"/>
  <c r="D58" i="73"/>
  <c r="D57" i="73"/>
  <c r="D56" i="73"/>
  <c r="D55" i="73"/>
  <c r="D54" i="73"/>
  <c r="D53" i="72"/>
  <c r="D52" i="72"/>
  <c r="D64" i="72"/>
  <c r="D62" i="72"/>
  <c r="D61" i="72"/>
  <c r="H43" i="72" s="1"/>
  <c r="D60" i="72"/>
  <c r="H44" i="72" s="1"/>
  <c r="D59" i="72"/>
  <c r="D58" i="72"/>
  <c r="D57" i="72"/>
  <c r="D56" i="72"/>
  <c r="D55" i="72"/>
  <c r="D54" i="72"/>
  <c r="D53" i="71"/>
  <c r="D65" i="71"/>
  <c r="D63" i="71"/>
  <c r="D62" i="71"/>
  <c r="H44" i="71" s="1"/>
  <c r="D61" i="71"/>
  <c r="H45" i="71" s="1"/>
  <c r="D60" i="71"/>
  <c r="D59" i="71"/>
  <c r="D58" i="71"/>
  <c r="D57" i="71"/>
  <c r="D56" i="71"/>
  <c r="D55" i="71"/>
  <c r="D54" i="71"/>
  <c r="D52" i="70"/>
  <c r="D64" i="70"/>
  <c r="D62" i="70"/>
  <c r="D61" i="70"/>
  <c r="H43" i="70" s="1"/>
  <c r="D60" i="70"/>
  <c r="H44" i="70" s="1"/>
  <c r="D59" i="70"/>
  <c r="D58" i="70"/>
  <c r="D57" i="70"/>
  <c r="D56" i="70"/>
  <c r="D55" i="70"/>
  <c r="D54" i="70"/>
  <c r="D53" i="70"/>
  <c r="D53" i="69"/>
  <c r="D65" i="69"/>
  <c r="D63" i="69"/>
  <c r="D62" i="69"/>
  <c r="H44" i="69" s="1"/>
  <c r="D61" i="69"/>
  <c r="H45" i="69" s="1"/>
  <c r="D60" i="69"/>
  <c r="D59" i="69"/>
  <c r="D58" i="69"/>
  <c r="D57" i="69"/>
  <c r="D56" i="69"/>
  <c r="D55" i="69"/>
  <c r="D54" i="69"/>
  <c r="D50" i="68"/>
  <c r="D62" i="68"/>
  <c r="D60" i="68"/>
  <c r="D59" i="68"/>
  <c r="H41" i="68" s="1"/>
  <c r="D58" i="68"/>
  <c r="H42" i="68" s="1"/>
  <c r="D57" i="68"/>
  <c r="D56" i="68"/>
  <c r="D55" i="68"/>
  <c r="D54" i="68"/>
  <c r="D53" i="68"/>
  <c r="D52" i="68"/>
  <c r="D51" i="68"/>
  <c r="A75" i="67"/>
  <c r="A73" i="67"/>
  <c r="A76" i="67" s="1"/>
  <c r="A72" i="67"/>
  <c r="A71" i="67"/>
  <c r="D53" i="67"/>
  <c r="D65" i="67"/>
  <c r="D63" i="67"/>
  <c r="D62" i="67"/>
  <c r="H44" i="67" s="1"/>
  <c r="D61" i="67"/>
  <c r="H45" i="67" s="1"/>
  <c r="D60" i="67"/>
  <c r="D59" i="67"/>
  <c r="D58" i="67"/>
  <c r="D57" i="67"/>
  <c r="D56" i="67"/>
  <c r="D55" i="67"/>
  <c r="D54" i="67"/>
  <c r="A75" i="66"/>
  <c r="A73" i="66"/>
  <c r="A72" i="66"/>
  <c r="A71" i="66"/>
  <c r="D54" i="66"/>
  <c r="D53" i="66"/>
  <c r="D65" i="66"/>
  <c r="D63" i="66"/>
  <c r="D62" i="66"/>
  <c r="H44" i="66" s="1"/>
  <c r="D61" i="66"/>
  <c r="H45" i="66" s="1"/>
  <c r="D60" i="66"/>
  <c r="D59" i="66"/>
  <c r="D58" i="66"/>
  <c r="D57" i="66"/>
  <c r="D56" i="66"/>
  <c r="D55" i="66"/>
  <c r="A73" i="65"/>
  <c r="A72" i="65"/>
  <c r="D52" i="65"/>
  <c r="D64" i="65"/>
  <c r="D62" i="65"/>
  <c r="D61" i="65"/>
  <c r="H43" i="65" s="1"/>
  <c r="D60" i="65"/>
  <c r="H44" i="65" s="1"/>
  <c r="D59" i="65"/>
  <c r="D58" i="65"/>
  <c r="D57" i="65"/>
  <c r="D56" i="65"/>
  <c r="D55" i="65"/>
  <c r="D54" i="65"/>
  <c r="D53" i="65"/>
  <c r="A75" i="64"/>
  <c r="A74" i="64"/>
  <c r="A73" i="64"/>
  <c r="A72" i="64"/>
  <c r="A71" i="64"/>
  <c r="D53" i="64"/>
  <c r="D65" i="64"/>
  <c r="D63" i="64"/>
  <c r="D62" i="64"/>
  <c r="H44" i="64" s="1"/>
  <c r="D61" i="64"/>
  <c r="H45" i="64" s="1"/>
  <c r="D60" i="64"/>
  <c r="D59" i="64"/>
  <c r="D58" i="64"/>
  <c r="D57" i="64"/>
  <c r="D56" i="64"/>
  <c r="D55" i="64"/>
  <c r="D54" i="64"/>
  <c r="A73" i="63"/>
  <c r="A72" i="63"/>
  <c r="A71" i="63"/>
  <c r="A70" i="63"/>
  <c r="D52" i="63"/>
  <c r="D64" i="63"/>
  <c r="D62" i="63"/>
  <c r="D61" i="63"/>
  <c r="H43" i="63" s="1"/>
  <c r="D60" i="63"/>
  <c r="H44" i="63" s="1"/>
  <c r="D59" i="63"/>
  <c r="D58" i="63"/>
  <c r="D57" i="63"/>
  <c r="D56" i="63"/>
  <c r="D55" i="63"/>
  <c r="D54" i="63"/>
  <c r="D53" i="63"/>
  <c r="D54" i="41"/>
  <c r="AO77" i="73"/>
  <c r="BL77" i="73" s="1"/>
  <c r="AO76" i="73"/>
  <c r="BL76" i="73" s="1"/>
  <c r="AO75" i="73"/>
  <c r="BL75" i="73" s="1"/>
  <c r="AO74" i="73"/>
  <c r="BL74" i="73" s="1"/>
  <c r="Y64" i="73"/>
  <c r="A51" i="73"/>
  <c r="A47" i="73"/>
  <c r="A46" i="73"/>
  <c r="A45" i="73"/>
  <c r="A44" i="73"/>
  <c r="A42" i="73"/>
  <c r="R40" i="73"/>
  <c r="T61" i="73" s="1"/>
  <c r="V43" i="73" s="1"/>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BF10" i="73"/>
  <c r="BE10" i="73"/>
  <c r="BD10" i="73"/>
  <c r="BC10" i="73"/>
  <c r="AE10" i="73"/>
  <c r="AD10" i="73"/>
  <c r="AC10" i="73"/>
  <c r="AB10" i="73"/>
  <c r="AA10" i="73"/>
  <c r="DF9" i="73"/>
  <c r="DE9" i="73"/>
  <c r="DD9" i="73"/>
  <c r="DC9" i="73"/>
  <c r="DB9" i="73"/>
  <c r="DA9" i="73"/>
  <c r="CZ9" i="73"/>
  <c r="CY9" i="73"/>
  <c r="CC9" i="73"/>
  <c r="CB9" i="73"/>
  <c r="BF9" i="73"/>
  <c r="BE9" i="73"/>
  <c r="BD9" i="73"/>
  <c r="BC9" i="73"/>
  <c r="AE9" i="73"/>
  <c r="AD9" i="73"/>
  <c r="AC9" i="73"/>
  <c r="AB9" i="73"/>
  <c r="AA9" i="73"/>
  <c r="A9" i="73"/>
  <c r="B9" i="73" s="1"/>
  <c r="AO76" i="72"/>
  <c r="BL76" i="72" s="1"/>
  <c r="AO75" i="72"/>
  <c r="BL75" i="72" s="1"/>
  <c r="AO74" i="72"/>
  <c r="BL74" i="72" s="1"/>
  <c r="AO73" i="72"/>
  <c r="BL73" i="72" s="1"/>
  <c r="A50" i="72"/>
  <c r="A46" i="72"/>
  <c r="A45" i="72"/>
  <c r="A44" i="72"/>
  <c r="A43" i="72"/>
  <c r="A41" i="72"/>
  <c r="T60" i="72"/>
  <c r="V42" i="72" s="1"/>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B9" i="72" s="1"/>
  <c r="AO77" i="71"/>
  <c r="BL77" i="71" s="1"/>
  <c r="AO76" i="71"/>
  <c r="BL76" i="71" s="1"/>
  <c r="AO75" i="71"/>
  <c r="BL75" i="71" s="1"/>
  <c r="AO74" i="71"/>
  <c r="BL74" i="71" s="1"/>
  <c r="A51" i="71"/>
  <c r="A47" i="71"/>
  <c r="A46" i="71"/>
  <c r="A45" i="71"/>
  <c r="A44" i="71"/>
  <c r="A42" i="71"/>
  <c r="R40" i="71"/>
  <c r="T61" i="71" s="1"/>
  <c r="V43" i="71" s="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BF9" i="71"/>
  <c r="BE9" i="71"/>
  <c r="BD9" i="71"/>
  <c r="BC9" i="71"/>
  <c r="AE9" i="71"/>
  <c r="AD9" i="71"/>
  <c r="AC9" i="71"/>
  <c r="AB9" i="71"/>
  <c r="AA9" i="71"/>
  <c r="A9" i="71"/>
  <c r="A10" i="71" s="1"/>
  <c r="AO76" i="70"/>
  <c r="BL76" i="70" s="1"/>
  <c r="AO75" i="70"/>
  <c r="BL75" i="70" s="1"/>
  <c r="AO74" i="70"/>
  <c r="BL74" i="70" s="1"/>
  <c r="AO73" i="70"/>
  <c r="BL73" i="70" s="1"/>
  <c r="A50" i="70"/>
  <c r="A46" i="70"/>
  <c r="A45" i="70"/>
  <c r="A44" i="70"/>
  <c r="A43" i="70"/>
  <c r="A41" i="70"/>
  <c r="R39" i="70"/>
  <c r="T60" i="70" s="1"/>
  <c r="V42" i="70" s="1"/>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B9" i="70" s="1"/>
  <c r="AO77" i="69"/>
  <c r="BL77" i="69" s="1"/>
  <c r="AO76" i="69"/>
  <c r="BL76" i="69" s="1"/>
  <c r="AO75" i="69"/>
  <c r="BL75" i="69" s="1"/>
  <c r="AO74" i="69"/>
  <c r="BL74" i="69" s="1"/>
  <c r="A51" i="69"/>
  <c r="A47" i="69"/>
  <c r="A46" i="69"/>
  <c r="A45" i="69"/>
  <c r="A44" i="69"/>
  <c r="A42" i="69"/>
  <c r="R40" i="69"/>
  <c r="T61" i="69" s="1"/>
  <c r="V43" i="69" s="1"/>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BF11" i="69"/>
  <c r="BE11" i="69"/>
  <c r="BD11" i="69"/>
  <c r="BC11" i="69"/>
  <c r="AE11" i="69"/>
  <c r="AD11" i="69"/>
  <c r="AC11" i="69"/>
  <c r="AB11" i="69"/>
  <c r="AA11" i="69"/>
  <c r="DF10" i="69"/>
  <c r="DE10" i="69"/>
  <c r="DD10" i="69"/>
  <c r="DC10" i="69"/>
  <c r="DB10" i="69"/>
  <c r="DA10" i="69"/>
  <c r="CZ10" i="69"/>
  <c r="CY10" i="69"/>
  <c r="CC10" i="69"/>
  <c r="CB10" i="69"/>
  <c r="BF10" i="69"/>
  <c r="BE10" i="69"/>
  <c r="BD10" i="69"/>
  <c r="BC10" i="69"/>
  <c r="AE10" i="69"/>
  <c r="AD10" i="69"/>
  <c r="AC10" i="69"/>
  <c r="AB10" i="69"/>
  <c r="AA10" i="69"/>
  <c r="DF9" i="69"/>
  <c r="DE9" i="69"/>
  <c r="DD9" i="69"/>
  <c r="DC9" i="69"/>
  <c r="DB9" i="69"/>
  <c r="DA9" i="69"/>
  <c r="CZ9" i="69"/>
  <c r="CY9" i="69"/>
  <c r="CC9" i="69"/>
  <c r="CB9" i="69"/>
  <c r="BF9" i="69"/>
  <c r="BE9" i="69"/>
  <c r="BD9" i="69"/>
  <c r="BC9" i="69"/>
  <c r="AE9" i="69"/>
  <c r="AD9" i="69"/>
  <c r="AC9" i="69"/>
  <c r="AB9" i="69"/>
  <c r="AA9" i="69"/>
  <c r="A9" i="69"/>
  <c r="A10" i="69" s="1"/>
  <c r="AO74" i="68"/>
  <c r="BL74" i="68" s="1"/>
  <c r="AO73" i="68"/>
  <c r="BL73" i="68" s="1"/>
  <c r="AO72" i="68"/>
  <c r="BL72" i="68" s="1"/>
  <c r="AO71" i="68"/>
  <c r="BL71" i="68" s="1"/>
  <c r="A48" i="68"/>
  <c r="A44" i="68"/>
  <c r="A43" i="68"/>
  <c r="A42" i="68"/>
  <c r="A41" i="68"/>
  <c r="A39"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C9" i="68"/>
  <c r="DB9" i="68"/>
  <c r="DA9" i="68"/>
  <c r="CZ9" i="68"/>
  <c r="CY9" i="68"/>
  <c r="CC9" i="68"/>
  <c r="CB9" i="68"/>
  <c r="BF9" i="68"/>
  <c r="BE9" i="68"/>
  <c r="BD9" i="68"/>
  <c r="BC9" i="68"/>
  <c r="AE9" i="68"/>
  <c r="AD9" i="68"/>
  <c r="AC9" i="68"/>
  <c r="AB9" i="68"/>
  <c r="AA9" i="68"/>
  <c r="A9" i="68"/>
  <c r="A10" i="68" s="1"/>
  <c r="B10" i="68" s="1"/>
  <c r="AO77" i="67"/>
  <c r="BL77" i="67" s="1"/>
  <c r="AO76" i="67"/>
  <c r="BL76" i="67" s="1"/>
  <c r="AO75" i="67"/>
  <c r="BL75" i="67" s="1"/>
  <c r="AO74" i="67"/>
  <c r="BL74" i="67" s="1"/>
  <c r="A51" i="67"/>
  <c r="A47" i="67"/>
  <c r="A46" i="67"/>
  <c r="A45" i="67"/>
  <c r="A44" i="67"/>
  <c r="A42" i="67"/>
  <c r="R40" i="67"/>
  <c r="T61" i="67" s="1"/>
  <c r="V43" i="67" s="1"/>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BF9" i="67"/>
  <c r="BE9" i="67"/>
  <c r="BD9" i="67"/>
  <c r="BC9" i="67"/>
  <c r="AE9" i="67"/>
  <c r="AD9" i="67"/>
  <c r="AC9" i="67"/>
  <c r="AB9" i="67"/>
  <c r="AA9" i="67"/>
  <c r="A9" i="67"/>
  <c r="B9" i="67" s="1"/>
  <c r="AO77" i="66"/>
  <c r="BL77" i="66" s="1"/>
  <c r="AO76" i="66"/>
  <c r="BL76" i="66" s="1"/>
  <c r="AO75" i="66"/>
  <c r="BL75" i="66" s="1"/>
  <c r="AO74" i="66"/>
  <c r="BL74" i="66" s="1"/>
  <c r="A51" i="66"/>
  <c r="A47" i="66"/>
  <c r="A46" i="66"/>
  <c r="A45" i="66"/>
  <c r="A44" i="66"/>
  <c r="A42" i="66"/>
  <c r="R40" i="66"/>
  <c r="T61" i="66" s="1"/>
  <c r="V43" i="66" s="1"/>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BF9" i="66"/>
  <c r="BE9" i="66"/>
  <c r="BD9" i="66"/>
  <c r="BC9" i="66"/>
  <c r="AE9" i="66"/>
  <c r="AD9" i="66"/>
  <c r="AC9" i="66"/>
  <c r="AB9" i="66"/>
  <c r="AA9" i="66"/>
  <c r="A9" i="66"/>
  <c r="A10" i="66" s="1"/>
  <c r="A11" i="66" s="1"/>
  <c r="B11" i="66" s="1"/>
  <c r="AO76" i="65"/>
  <c r="BL76" i="65" s="1"/>
  <c r="AO75" i="65"/>
  <c r="BL75" i="65" s="1"/>
  <c r="AO74" i="65"/>
  <c r="BL74" i="65" s="1"/>
  <c r="AO73" i="65"/>
  <c r="BL73" i="65" s="1"/>
  <c r="A50" i="65"/>
  <c r="A46" i="65"/>
  <c r="A45" i="65"/>
  <c r="A44" i="65"/>
  <c r="A43" i="65"/>
  <c r="A41" i="65"/>
  <c r="R39" i="65"/>
  <c r="T60" i="65" s="1"/>
  <c r="V42" i="65" s="1"/>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DF13" i="65"/>
  <c r="DE13" i="65"/>
  <c r="DD13" i="65"/>
  <c r="DC13" i="65"/>
  <c r="DB13" i="65"/>
  <c r="DA13" i="65"/>
  <c r="CZ13" i="65"/>
  <c r="CY13" i="65"/>
  <c r="CC13" i="65"/>
  <c r="CB13" i="65"/>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BF11" i="65"/>
  <c r="BE11" i="65"/>
  <c r="BD11" i="65"/>
  <c r="BC11" i="65"/>
  <c r="AE11" i="65"/>
  <c r="AD11" i="65"/>
  <c r="AC11" i="65"/>
  <c r="AB11" i="65"/>
  <c r="AA11" i="65"/>
  <c r="DF10" i="65"/>
  <c r="DE10" i="65"/>
  <c r="DD10" i="65"/>
  <c r="DC10" i="65"/>
  <c r="DB10" i="65"/>
  <c r="DA10" i="65"/>
  <c r="CZ10" i="65"/>
  <c r="CY10" i="65"/>
  <c r="CC10" i="65"/>
  <c r="CB10" i="65"/>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B9" i="65" s="1"/>
  <c r="AO77" i="64"/>
  <c r="BL77" i="64" s="1"/>
  <c r="AO76" i="64"/>
  <c r="BL76" i="64" s="1"/>
  <c r="AO75" i="64"/>
  <c r="BL75" i="64" s="1"/>
  <c r="AO74" i="64"/>
  <c r="BL74" i="64" s="1"/>
  <c r="A46" i="64"/>
  <c r="A45" i="64"/>
  <c r="A44" i="64"/>
  <c r="A42" i="64"/>
  <c r="R40" i="64"/>
  <c r="T61" i="64" s="1"/>
  <c r="V43" i="64" s="1"/>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DF13" i="64"/>
  <c r="DE13" i="64"/>
  <c r="DD13" i="64"/>
  <c r="DC13" i="64"/>
  <c r="DB13" i="64"/>
  <c r="DA13" i="64"/>
  <c r="CZ13" i="64"/>
  <c r="CY13" i="64"/>
  <c r="CC13" i="64"/>
  <c r="CB13" i="64"/>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BF11" i="64"/>
  <c r="BE11" i="64"/>
  <c r="BD11" i="64"/>
  <c r="BC11" i="64"/>
  <c r="AE11" i="64"/>
  <c r="AD11" i="64"/>
  <c r="AC11" i="64"/>
  <c r="AB11" i="64"/>
  <c r="AA11" i="64"/>
  <c r="DF10" i="64"/>
  <c r="DE10" i="64"/>
  <c r="DD10" i="64"/>
  <c r="DC10" i="64"/>
  <c r="DB10" i="64"/>
  <c r="DA10" i="64"/>
  <c r="CZ10" i="64"/>
  <c r="CY10" i="64"/>
  <c r="CC10" i="64"/>
  <c r="CB10" i="64"/>
  <c r="BF10" i="64"/>
  <c r="BE10" i="64"/>
  <c r="BD10" i="64"/>
  <c r="BC10" i="64"/>
  <c r="AE10" i="64"/>
  <c r="AD10" i="64"/>
  <c r="AC10" i="64"/>
  <c r="AB10" i="64"/>
  <c r="AA10" i="64"/>
  <c r="DF9" i="64"/>
  <c r="DE9" i="64"/>
  <c r="DD9" i="64"/>
  <c r="DC9" i="64"/>
  <c r="DB9" i="64"/>
  <c r="DA9" i="64"/>
  <c r="CZ9" i="64"/>
  <c r="CY9" i="64"/>
  <c r="CC9" i="64"/>
  <c r="CB9" i="64"/>
  <c r="BF9" i="64"/>
  <c r="BE9" i="64"/>
  <c r="BD9" i="64"/>
  <c r="BC9" i="64"/>
  <c r="AE9" i="64"/>
  <c r="AD9" i="64"/>
  <c r="AC9" i="64"/>
  <c r="AB9" i="64"/>
  <c r="AA9" i="64"/>
  <c r="A9" i="64"/>
  <c r="A10" i="64" s="1"/>
  <c r="R39" i="63"/>
  <c r="T60" i="63" s="1"/>
  <c r="V42" i="63" s="1"/>
  <c r="AO76" i="63"/>
  <c r="BL76" i="63" s="1"/>
  <c r="AO75" i="63"/>
  <c r="BL75" i="63" s="1"/>
  <c r="AO74" i="63"/>
  <c r="BL74" i="63" s="1"/>
  <c r="AO73" i="63"/>
  <c r="BL73"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Y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BF32" i="63"/>
  <c r="BE32" i="63"/>
  <c r="BD32" i="63"/>
  <c r="BC32" i="63"/>
  <c r="AE32" i="63"/>
  <c r="AD32" i="63"/>
  <c r="AC32" i="63"/>
  <c r="AB32" i="63"/>
  <c r="AA32" i="63"/>
  <c r="DF31" i="63"/>
  <c r="DE31" i="63"/>
  <c r="DD31" i="63"/>
  <c r="DC31" i="63"/>
  <c r="DB31" i="63"/>
  <c r="DA31" i="63"/>
  <c r="CZ31" i="63"/>
  <c r="CY31" i="63"/>
  <c r="CC31" i="63"/>
  <c r="CB31" i="63"/>
  <c r="BF31" i="63"/>
  <c r="BE31" i="63"/>
  <c r="BD31" i="63"/>
  <c r="BC31" i="63"/>
  <c r="AE31" i="63"/>
  <c r="AD31" i="63"/>
  <c r="AC31" i="63"/>
  <c r="AB31" i="63"/>
  <c r="AA31" i="63"/>
  <c r="Y31" i="63"/>
  <c r="DF30" i="63"/>
  <c r="DE30" i="63"/>
  <c r="DD30" i="63"/>
  <c r="DC30" i="63"/>
  <c r="DB30" i="63"/>
  <c r="DA30" i="63"/>
  <c r="CZ30" i="63"/>
  <c r="CY30" i="63"/>
  <c r="CC30" i="63"/>
  <c r="CB30" i="63"/>
  <c r="BF30" i="63"/>
  <c r="BE30" i="63"/>
  <c r="BD30" i="63"/>
  <c r="BC30" i="63"/>
  <c r="AE30" i="63"/>
  <c r="AD30" i="63"/>
  <c r="AC30" i="63"/>
  <c r="AB30" i="63"/>
  <c r="AA30" i="63"/>
  <c r="Y30" i="63"/>
  <c r="DF29" i="63"/>
  <c r="DE29" i="63"/>
  <c r="DD29" i="63"/>
  <c r="DC29" i="63"/>
  <c r="DB29" i="63"/>
  <c r="DA29" i="63"/>
  <c r="CZ29" i="63"/>
  <c r="CY29" i="63"/>
  <c r="CC29" i="63"/>
  <c r="CB29" i="63"/>
  <c r="BF29" i="63"/>
  <c r="BE29" i="63"/>
  <c r="BD29" i="63"/>
  <c r="BC29" i="63"/>
  <c r="AE29" i="63"/>
  <c r="AD29" i="63"/>
  <c r="AC29" i="63"/>
  <c r="AB29" i="63"/>
  <c r="AA29" i="63"/>
  <c r="Y29" i="63"/>
  <c r="DF28" i="63"/>
  <c r="DE28" i="63"/>
  <c r="DD28" i="63"/>
  <c r="DC28" i="63"/>
  <c r="DB28" i="63"/>
  <c r="DA28" i="63"/>
  <c r="CZ28" i="63"/>
  <c r="CY28" i="63"/>
  <c r="CC28" i="63"/>
  <c r="CB28" i="63"/>
  <c r="BF28" i="63"/>
  <c r="BE28" i="63"/>
  <c r="BD28" i="63"/>
  <c r="BC28" i="63"/>
  <c r="AE28" i="63"/>
  <c r="AD28" i="63"/>
  <c r="AC28" i="63"/>
  <c r="AB28" i="63"/>
  <c r="AA28" i="63"/>
  <c r="Y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Y16" i="63"/>
  <c r="DF15" i="63"/>
  <c r="DE15" i="63"/>
  <c r="DD15" i="63"/>
  <c r="DC15" i="63"/>
  <c r="DB15" i="63"/>
  <c r="DA15" i="63"/>
  <c r="CZ15" i="63"/>
  <c r="CY15" i="63"/>
  <c r="CC15" i="63"/>
  <c r="CB15" i="63"/>
  <c r="BF15" i="63"/>
  <c r="BE15" i="63"/>
  <c r="BD15" i="63"/>
  <c r="BC15" i="63"/>
  <c r="AE15" i="63"/>
  <c r="AD15" i="63"/>
  <c r="AC15" i="63"/>
  <c r="AB15" i="63"/>
  <c r="AA15" i="63"/>
  <c r="DF14" i="63"/>
  <c r="DE14" i="63"/>
  <c r="DD14" i="63"/>
  <c r="DC14" i="63"/>
  <c r="DB14" i="63"/>
  <c r="DA14" i="63"/>
  <c r="CZ14" i="63"/>
  <c r="CY14" i="63"/>
  <c r="CC14" i="63"/>
  <c r="CB14" i="63"/>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A10" i="63" s="1"/>
  <c r="B10" i="63" s="1"/>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H47" i="64" l="1"/>
  <c r="CP10" i="68"/>
  <c r="CI10" i="68"/>
  <c r="CJ10" i="68"/>
  <c r="CQ10" i="68"/>
  <c r="CK10" i="68"/>
  <c r="CM10" i="68"/>
  <c r="CV9" i="70"/>
  <c r="CI9" i="70"/>
  <c r="CL9" i="70"/>
  <c r="CG9" i="70"/>
  <c r="CK9" i="70"/>
  <c r="CQ9" i="70"/>
  <c r="CJ9" i="70"/>
  <c r="CM9" i="70"/>
  <c r="CQ9" i="73"/>
  <c r="CM9" i="73"/>
  <c r="CL9" i="73"/>
  <c r="CK9" i="73"/>
  <c r="CG9" i="73"/>
  <c r="CI9" i="73"/>
  <c r="CJ9" i="73"/>
  <c r="CV9" i="67"/>
  <c r="CI9" i="67"/>
  <c r="CK9" i="67"/>
  <c r="CG9" i="67"/>
  <c r="CJ9" i="67"/>
  <c r="CQ9" i="67"/>
  <c r="CM9" i="67"/>
  <c r="CL9" i="67"/>
  <c r="CM9" i="72"/>
  <c r="CK9" i="72"/>
  <c r="CQ9" i="72"/>
  <c r="CJ9" i="72"/>
  <c r="CI9" i="72"/>
  <c r="CW11" i="66"/>
  <c r="CI11" i="66"/>
  <c r="CQ11" i="66"/>
  <c r="CJ11" i="66"/>
  <c r="CM11" i="66"/>
  <c r="CK11" i="66"/>
  <c r="CG11" i="66"/>
  <c r="CL11" i="66"/>
  <c r="CI9" i="65"/>
  <c r="CJ9" i="65"/>
  <c r="CG9" i="65"/>
  <c r="CM9" i="65"/>
  <c r="CL9" i="65"/>
  <c r="CK9" i="65"/>
  <c r="CQ9" i="65"/>
  <c r="BS10" i="63"/>
  <c r="CI10" i="63"/>
  <c r="CJ10" i="63"/>
  <c r="CK10" i="63"/>
  <c r="CL10" i="63"/>
  <c r="CM10" i="63"/>
  <c r="CQ10" i="63"/>
  <c r="CG10" i="63"/>
  <c r="V45" i="63"/>
  <c r="V54" i="63" s="1"/>
  <c r="V45" i="64" s="1"/>
  <c r="V46" i="64" s="1"/>
  <c r="V55" i="64" s="1"/>
  <c r="V44" i="65" s="1"/>
  <c r="V45" i="65" s="1"/>
  <c r="V54" i="65" s="1"/>
  <c r="V45" i="66" s="1"/>
  <c r="V46" i="66" s="1"/>
  <c r="V55" i="66" s="1"/>
  <c r="V45" i="67" s="1"/>
  <c r="V46" i="67" s="1"/>
  <c r="V55" i="67" s="1"/>
  <c r="V42" i="68" s="1"/>
  <c r="V43" i="68" s="1"/>
  <c r="V52" i="68" s="1"/>
  <c r="V45" i="69" s="1"/>
  <c r="D66" i="67"/>
  <c r="D66" i="66"/>
  <c r="D65" i="65"/>
  <c r="B10" i="71"/>
  <c r="BD40" i="64"/>
  <c r="BC39" i="65"/>
  <c r="BF40" i="64"/>
  <c r="AB40" i="64"/>
  <c r="CB40" i="64"/>
  <c r="AC40" i="64"/>
  <c r="CC40" i="64"/>
  <c r="AD40" i="64"/>
  <c r="AE40" i="64"/>
  <c r="BC40" i="64"/>
  <c r="BE40" i="64"/>
  <c r="AA40" i="64"/>
  <c r="CZ40" i="64"/>
  <c r="CY40" i="64"/>
  <c r="F51" i="50"/>
  <c r="BE39" i="65"/>
  <c r="AD39" i="63"/>
  <c r="A10" i="70"/>
  <c r="A11" i="70" s="1"/>
  <c r="A12" i="70" s="1"/>
  <c r="B9" i="69"/>
  <c r="B9" i="66"/>
  <c r="B9" i="64"/>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38" i="64"/>
  <c r="DG11" i="65"/>
  <c r="DG18" i="65"/>
  <c r="DG22" i="65"/>
  <c r="DG26" i="65"/>
  <c r="DG11" i="67"/>
  <c r="DG18" i="67"/>
  <c r="DG22" i="67"/>
  <c r="DG16" i="72"/>
  <c r="DG27" i="66"/>
  <c r="DG31" i="66"/>
  <c r="DG11" i="69"/>
  <c r="DG19" i="73"/>
  <c r="DG37" i="64"/>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A76" i="73"/>
  <c r="BD40" i="73"/>
  <c r="DG37" i="73"/>
  <c r="DG38" i="73"/>
  <c r="AC40" i="73"/>
  <c r="DE40" i="73"/>
  <c r="AD40" i="73"/>
  <c r="CY40" i="73"/>
  <c r="AE40" i="73"/>
  <c r="DG38" i="72"/>
  <c r="DG36" i="72"/>
  <c r="DG35" i="72"/>
  <c r="DG25" i="72"/>
  <c r="DG29" i="72"/>
  <c r="AE39" i="72"/>
  <c r="CY39" i="72"/>
  <c r="DG24" i="72"/>
  <c r="DG23" i="72"/>
  <c r="DG27" i="72"/>
  <c r="BC39" i="72"/>
  <c r="CZ39" i="72"/>
  <c r="BE39" i="72"/>
  <c r="DG19" i="72"/>
  <c r="DG20" i="72"/>
  <c r="A75"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A76" i="71"/>
  <c r="DG15" i="71"/>
  <c r="AC40" i="71"/>
  <c r="DE40" i="71"/>
  <c r="DG14" i="71"/>
  <c r="DF40" i="71"/>
  <c r="DG13" i="71"/>
  <c r="AB40" i="71"/>
  <c r="DD40" i="71"/>
  <c r="DG12" i="71"/>
  <c r="AA40" i="71"/>
  <c r="DC40" i="71"/>
  <c r="BD40" i="71"/>
  <c r="AE40" i="71"/>
  <c r="DG36" i="70"/>
  <c r="DG35" i="70"/>
  <c r="DG25" i="70"/>
  <c r="DG20" i="70"/>
  <c r="DG21" i="70"/>
  <c r="DG19" i="70"/>
  <c r="DG18" i="70"/>
  <c r="DG17" i="70"/>
  <c r="A75" i="70"/>
  <c r="DG22" i="70"/>
  <c r="DG16" i="70"/>
  <c r="DG15" i="70"/>
  <c r="DD39" i="70"/>
  <c r="DG14" i="70"/>
  <c r="BC39" i="70"/>
  <c r="CZ39" i="70"/>
  <c r="DG11" i="70"/>
  <c r="AD39" i="70"/>
  <c r="DE39" i="70"/>
  <c r="DG10" i="70"/>
  <c r="AE39" i="70"/>
  <c r="BD39" i="70"/>
  <c r="DA39" i="70"/>
  <c r="BE39" i="70"/>
  <c r="AA37" i="68"/>
  <c r="BF37" i="68"/>
  <c r="DG39" i="69"/>
  <c r="DG37" i="69"/>
  <c r="DG32" i="69"/>
  <c r="DG36" i="69"/>
  <c r="DG35" i="69"/>
  <c r="DG34" i="69"/>
  <c r="DG27" i="69"/>
  <c r="CB40" i="69"/>
  <c r="DG25" i="69"/>
  <c r="DG29" i="69"/>
  <c r="DG28" i="69"/>
  <c r="DG18" i="69"/>
  <c r="A76" i="69"/>
  <c r="DG17" i="69"/>
  <c r="DG16" i="69"/>
  <c r="DG21" i="69"/>
  <c r="DG19" i="69"/>
  <c r="DG12" i="69"/>
  <c r="DG10" i="69"/>
  <c r="AD40" i="69"/>
  <c r="DF40" i="69"/>
  <c r="CY40" i="69"/>
  <c r="CZ40" i="69"/>
  <c r="BD40" i="69"/>
  <c r="AC40" i="69"/>
  <c r="DG36" i="68"/>
  <c r="DG35" i="68"/>
  <c r="DG30" i="68"/>
  <c r="DG33" i="68"/>
  <c r="DG28" i="68"/>
  <c r="DG27" i="68"/>
  <c r="DG22" i="68"/>
  <c r="DG21" i="68"/>
  <c r="DG25" i="68"/>
  <c r="DB37" i="68"/>
  <c r="DG24" i="68"/>
  <c r="A73" i="68"/>
  <c r="DG23" i="68"/>
  <c r="CY37" i="68"/>
  <c r="DG16" i="68"/>
  <c r="DG15" i="68"/>
  <c r="BC37"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76" i="66"/>
  <c r="AD40" i="66"/>
  <c r="DF40" i="66"/>
  <c r="BD40" i="66"/>
  <c r="DA40" i="66"/>
  <c r="AC40" i="66"/>
  <c r="CC40" i="66"/>
  <c r="DE40" i="66"/>
  <c r="DG14" i="66"/>
  <c r="BF40" i="66"/>
  <c r="DG11" i="66"/>
  <c r="AE40" i="66"/>
  <c r="DG35" i="65"/>
  <c r="BD39" i="65"/>
  <c r="DA39" i="65"/>
  <c r="DG31" i="65"/>
  <c r="DG21" i="65"/>
  <c r="A75" i="65"/>
  <c r="CY39" i="65"/>
  <c r="DG15" i="65"/>
  <c r="BF39" i="65"/>
  <c r="CC39" i="65"/>
  <c r="DG13" i="65"/>
  <c r="AD39" i="65"/>
  <c r="DG12" i="65"/>
  <c r="CB39" i="65"/>
  <c r="DD39" i="65"/>
  <c r="AE39" i="65"/>
  <c r="DG36" i="64"/>
  <c r="DG29" i="64"/>
  <c r="DG22" i="64"/>
  <c r="DC40" i="64"/>
  <c r="DG21" i="64"/>
  <c r="A76" i="64"/>
  <c r="DG20" i="64"/>
  <c r="DG19" i="64"/>
  <c r="DG15" i="64"/>
  <c r="DG14" i="64"/>
  <c r="DE40" i="64"/>
  <c r="DG10" i="64"/>
  <c r="A10" i="65"/>
  <c r="A11" i="65" s="1"/>
  <c r="A10" i="67"/>
  <c r="A11" i="67" s="1"/>
  <c r="B11" i="67" s="1"/>
  <c r="AS9" i="70"/>
  <c r="CF9" i="70"/>
  <c r="BL9" i="70"/>
  <c r="B9" i="71"/>
  <c r="A10" i="73"/>
  <c r="B10" i="73" s="1"/>
  <c r="AT9" i="70"/>
  <c r="BM9" i="70"/>
  <c r="BT9" i="70"/>
  <c r="CH9" i="70"/>
  <c r="BU9" i="70"/>
  <c r="AG9" i="70"/>
  <c r="BX9" i="70"/>
  <c r="CP9" i="70"/>
  <c r="AJ9" i="70"/>
  <c r="BY9" i="70"/>
  <c r="AO9" i="70"/>
  <c r="BJ9" i="70"/>
  <c r="CR9" i="70"/>
  <c r="AR9" i="70"/>
  <c r="BK9" i="70"/>
  <c r="CS9" i="70"/>
  <c r="AL9" i="69"/>
  <c r="AC39" i="63"/>
  <c r="DE39" i="63"/>
  <c r="A75" i="63"/>
  <c r="CV9" i="73"/>
  <c r="CN9" i="73"/>
  <c r="CF9" i="73"/>
  <c r="BX9" i="73"/>
  <c r="BP9" i="73"/>
  <c r="BH9" i="73"/>
  <c r="AZ9" i="73"/>
  <c r="AR9" i="73"/>
  <c r="AJ9" i="73"/>
  <c r="CU9" i="73"/>
  <c r="CE9" i="73"/>
  <c r="BW9" i="73"/>
  <c r="BO9" i="73"/>
  <c r="BG9" i="73"/>
  <c r="AY9" i="73"/>
  <c r="AQ9" i="73"/>
  <c r="AI9" i="73"/>
  <c r="CT9" i="73"/>
  <c r="CD9" i="73"/>
  <c r="BV9" i="73"/>
  <c r="BN9" i="73"/>
  <c r="AX9" i="73"/>
  <c r="AP9" i="73"/>
  <c r="AH9" i="73"/>
  <c r="CS9" i="73"/>
  <c r="BU9" i="73"/>
  <c r="BM9" i="73"/>
  <c r="AW9" i="73"/>
  <c r="AO9" i="73"/>
  <c r="AG9" i="73"/>
  <c r="CR9" i="73"/>
  <c r="BT9" i="73"/>
  <c r="BL9" i="73"/>
  <c r="AV9" i="73"/>
  <c r="AN9" i="73"/>
  <c r="BS9" i="73"/>
  <c r="BK9" i="73"/>
  <c r="AU9" i="73"/>
  <c r="AM9" i="73"/>
  <c r="CP9" i="73"/>
  <c r="CH9" i="73"/>
  <c r="BZ9" i="73"/>
  <c r="BR9" i="73"/>
  <c r="BJ9" i="73"/>
  <c r="AT9" i="73"/>
  <c r="AL9" i="73"/>
  <c r="CW9" i="73"/>
  <c r="CO9" i="73"/>
  <c r="BY9" i="73"/>
  <c r="BQ9" i="73"/>
  <c r="BI9" i="73"/>
  <c r="AS9" i="73"/>
  <c r="AK9" i="73"/>
  <c r="D9" i="73"/>
  <c r="DG13" i="73"/>
  <c r="DG9" i="73"/>
  <c r="BE40" i="73"/>
  <c r="CC40" i="73"/>
  <c r="DA40" i="73"/>
  <c r="BF40" i="73"/>
  <c r="DB40" i="73"/>
  <c r="DC40" i="73"/>
  <c r="AA40" i="73"/>
  <c r="DD40" i="73"/>
  <c r="DG21" i="73"/>
  <c r="DG22" i="73"/>
  <c r="DG30" i="73"/>
  <c r="DG36" i="73"/>
  <c r="DG32" i="73"/>
  <c r="DG31" i="73"/>
  <c r="DG35" i="73"/>
  <c r="DG39" i="73"/>
  <c r="D66" i="73"/>
  <c r="Y65" i="73"/>
  <c r="DG33" i="73"/>
  <c r="H47" i="73"/>
  <c r="CP9" i="72"/>
  <c r="CH9" i="72"/>
  <c r="BZ9" i="72"/>
  <c r="BR9" i="72"/>
  <c r="AT9" i="72"/>
  <c r="AL9" i="72"/>
  <c r="CW9" i="72"/>
  <c r="CO9" i="72"/>
  <c r="BQ9" i="72"/>
  <c r="BI9" i="72"/>
  <c r="AS9" i="72"/>
  <c r="AK9" i="72"/>
  <c r="D9" i="72"/>
  <c r="CN9" i="72"/>
  <c r="CF9" i="72"/>
  <c r="BX9" i="72"/>
  <c r="BP9" i="72"/>
  <c r="BH9" i="72"/>
  <c r="AZ9" i="72"/>
  <c r="AR9" i="72"/>
  <c r="AJ9" i="72"/>
  <c r="CU9" i="72"/>
  <c r="CE9" i="72"/>
  <c r="BW9" i="72"/>
  <c r="BG9" i="72"/>
  <c r="AY9" i="72"/>
  <c r="AQ9" i="72"/>
  <c r="AI9" i="72"/>
  <c r="CT9" i="72"/>
  <c r="CD9" i="72"/>
  <c r="BV9" i="72"/>
  <c r="BN9" i="72"/>
  <c r="AX9" i="72"/>
  <c r="AP9" i="72"/>
  <c r="AH9" i="72"/>
  <c r="CS9" i="72"/>
  <c r="BU9" i="72"/>
  <c r="BM9" i="72"/>
  <c r="AW9" i="72"/>
  <c r="AO9" i="72"/>
  <c r="AG9" i="72"/>
  <c r="CR9" i="72"/>
  <c r="BT9" i="72"/>
  <c r="BL9" i="72"/>
  <c r="AV9" i="72"/>
  <c r="AN9" i="72"/>
  <c r="BS9" i="72"/>
  <c r="BK9" i="72"/>
  <c r="AU9" i="72"/>
  <c r="AM9" i="72"/>
  <c r="DG9" i="72"/>
  <c r="A10" i="72"/>
  <c r="DG14" i="72"/>
  <c r="BF39" i="72"/>
  <c r="DB39" i="72"/>
  <c r="DG18" i="72"/>
  <c r="DG15" i="72"/>
  <c r="AC39" i="72"/>
  <c r="DF39" i="72"/>
  <c r="DG22" i="72"/>
  <c r="DG21" i="72"/>
  <c r="DG30" i="72"/>
  <c r="DG28" i="72"/>
  <c r="DG31" i="72"/>
  <c r="DG33" i="72"/>
  <c r="DG32" i="72"/>
  <c r="D65" i="72"/>
  <c r="H46" i="72"/>
  <c r="AV10" i="71"/>
  <c r="BK10" i="71"/>
  <c r="AG10" i="71"/>
  <c r="AW10" i="71"/>
  <c r="BL10" i="71"/>
  <c r="CR10" i="71"/>
  <c r="AL10" i="71"/>
  <c r="CS10" i="71"/>
  <c r="AM10" i="71"/>
  <c r="CW10" i="71"/>
  <c r="BY10" i="71"/>
  <c r="BQ10" i="71"/>
  <c r="BI10" i="71"/>
  <c r="AS10" i="71"/>
  <c r="AK10" i="71"/>
  <c r="D10" i="71"/>
  <c r="CV10" i="71"/>
  <c r="CN10" i="71"/>
  <c r="CF10" i="71"/>
  <c r="BX10" i="71"/>
  <c r="BP10" i="71"/>
  <c r="AZ10" i="71"/>
  <c r="AR10" i="71"/>
  <c r="AJ10" i="71"/>
  <c r="CU10" i="71"/>
  <c r="BO10" i="71"/>
  <c r="BG10" i="71"/>
  <c r="AY10" i="71"/>
  <c r="AQ10" i="71"/>
  <c r="AI10" i="71"/>
  <c r="CD10" i="71"/>
  <c r="BV10" i="71"/>
  <c r="BN10" i="71"/>
  <c r="AX10" i="71"/>
  <c r="AP10" i="71"/>
  <c r="AH10" i="71"/>
  <c r="AN10" i="71"/>
  <c r="BS10" i="71"/>
  <c r="AO10" i="71"/>
  <c r="BT10" i="71"/>
  <c r="A11" i="71"/>
  <c r="CB40" i="71"/>
  <c r="AT10" i="71"/>
  <c r="BU10" i="71"/>
  <c r="AD40" i="71"/>
  <c r="AU10" i="71"/>
  <c r="BJ10" i="71"/>
  <c r="BZ10" i="71"/>
  <c r="CP10" i="71"/>
  <c r="DG11" i="71"/>
  <c r="DG16" i="71"/>
  <c r="CY40" i="71"/>
  <c r="DG9" i="71"/>
  <c r="CZ40" i="71"/>
  <c r="BE40" i="71"/>
  <c r="CC40" i="71"/>
  <c r="DA40" i="71"/>
  <c r="BF40" i="71"/>
  <c r="DB40" i="71"/>
  <c r="DG19" i="71"/>
  <c r="DG25" i="71"/>
  <c r="DG28" i="71"/>
  <c r="DG22" i="71"/>
  <c r="DG27" i="71"/>
  <c r="DG29" i="71"/>
  <c r="DG38" i="71"/>
  <c r="DG32" i="71"/>
  <c r="DG39" i="71"/>
  <c r="DG33" i="71"/>
  <c r="D66" i="71"/>
  <c r="DG35" i="71"/>
  <c r="H47" i="71"/>
  <c r="AK9" i="70"/>
  <c r="AU9" i="70"/>
  <c r="BP9" i="70"/>
  <c r="BZ9" i="70"/>
  <c r="DG13" i="70"/>
  <c r="CU9" i="70"/>
  <c r="CE9" i="70"/>
  <c r="BW9" i="70"/>
  <c r="BO9" i="70"/>
  <c r="BG9" i="70"/>
  <c r="AY9" i="70"/>
  <c r="AQ9" i="70"/>
  <c r="AI9" i="70"/>
  <c r="CT9" i="70"/>
  <c r="CD9" i="70"/>
  <c r="BV9" i="70"/>
  <c r="BN9" i="70"/>
  <c r="AX9" i="70"/>
  <c r="AP9" i="70"/>
  <c r="AH9" i="70"/>
  <c r="AA39" i="70"/>
  <c r="AL9" i="70"/>
  <c r="AV9" i="70"/>
  <c r="BQ9" i="70"/>
  <c r="CW9" i="70"/>
  <c r="D9" i="70"/>
  <c r="AB39" i="70"/>
  <c r="AM9" i="70"/>
  <c r="AW9" i="70"/>
  <c r="BH9" i="70"/>
  <c r="BR9" i="70"/>
  <c r="CB39" i="70"/>
  <c r="CN9" i="70"/>
  <c r="DF39" i="70"/>
  <c r="D63" i="68"/>
  <c r="AC39" i="70"/>
  <c r="AN9" i="70"/>
  <c r="AZ9" i="70"/>
  <c r="BI9" i="70"/>
  <c r="BS9" i="70"/>
  <c r="CC39" i="70"/>
  <c r="CO9" i="70"/>
  <c r="CY39" i="70"/>
  <c r="DG9" i="70"/>
  <c r="DG24" i="70"/>
  <c r="BF39" i="70"/>
  <c r="DB39" i="70"/>
  <c r="DC39" i="70"/>
  <c r="DG28" i="70"/>
  <c r="DG27" i="70"/>
  <c r="DG29" i="70"/>
  <c r="DG32" i="70"/>
  <c r="DG38" i="70"/>
  <c r="DG31" i="70"/>
  <c r="DG34" i="70"/>
  <c r="D65" i="70"/>
  <c r="Y64" i="70"/>
  <c r="H46" i="70"/>
  <c r="DG9" i="69"/>
  <c r="A11" i="69"/>
  <c r="B10" i="69"/>
  <c r="AE40" i="69"/>
  <c r="DG13" i="69"/>
  <c r="DG14" i="69"/>
  <c r="BC40" i="69"/>
  <c r="DG15" i="69"/>
  <c r="AG9" i="69"/>
  <c r="AO9" i="69"/>
  <c r="AW9" i="69"/>
  <c r="BE40" i="69"/>
  <c r="BM9" i="69"/>
  <c r="BU9" i="69"/>
  <c r="CC40" i="69"/>
  <c r="CS9" i="69"/>
  <c r="DA40" i="69"/>
  <c r="AP9" i="69"/>
  <c r="AX9" i="69"/>
  <c r="BF40" i="69"/>
  <c r="BV9" i="69"/>
  <c r="CD9" i="69"/>
  <c r="CT9" i="69"/>
  <c r="DB40" i="69"/>
  <c r="DG23" i="69"/>
  <c r="AI9" i="69"/>
  <c r="AQ9" i="69"/>
  <c r="AY9" i="69"/>
  <c r="BG9" i="69"/>
  <c r="BO9" i="69"/>
  <c r="BW9" i="69"/>
  <c r="CE9" i="69"/>
  <c r="CU9" i="69"/>
  <c r="DC40" i="69"/>
  <c r="DG22" i="69"/>
  <c r="AA40" i="69"/>
  <c r="AJ9" i="69"/>
  <c r="AR9" i="69"/>
  <c r="AZ9" i="69"/>
  <c r="BH9" i="69"/>
  <c r="BP9" i="69"/>
  <c r="BX9" i="69"/>
  <c r="CN9" i="69"/>
  <c r="CV9" i="69"/>
  <c r="DD40" i="69"/>
  <c r="D9" i="69"/>
  <c r="AB40" i="69"/>
  <c r="AK9" i="69"/>
  <c r="AS9" i="69"/>
  <c r="BQ9" i="69"/>
  <c r="BY9" i="69"/>
  <c r="CO9" i="69"/>
  <c r="CW9" i="69"/>
  <c r="DE40" i="69"/>
  <c r="DG20" i="69"/>
  <c r="DG26" i="69"/>
  <c r="DG24" i="69"/>
  <c r="DG30" i="69"/>
  <c r="DG31" i="69"/>
  <c r="DG38" i="69"/>
  <c r="D66" i="69"/>
  <c r="H47" i="69"/>
  <c r="DG33" i="69"/>
  <c r="DG9" i="68"/>
  <c r="AL10" i="68"/>
  <c r="AV10" i="68"/>
  <c r="BR10" i="68"/>
  <c r="D10" i="68"/>
  <c r="AM10" i="68"/>
  <c r="AW10" i="68"/>
  <c r="BI10" i="68"/>
  <c r="BS10" i="68"/>
  <c r="CO10" i="68"/>
  <c r="DG19" i="68"/>
  <c r="AN10" i="68"/>
  <c r="AX10" i="68"/>
  <c r="CD10" i="68"/>
  <c r="A11" i="68"/>
  <c r="CV10" i="68"/>
  <c r="CN10" i="68"/>
  <c r="CF10" i="68"/>
  <c r="BX10" i="68"/>
  <c r="BP10" i="68"/>
  <c r="BH10" i="68"/>
  <c r="AZ10" i="68"/>
  <c r="AR10" i="68"/>
  <c r="AJ10" i="68"/>
  <c r="CU10" i="68"/>
  <c r="CE10" i="68"/>
  <c r="BW10" i="68"/>
  <c r="BG10" i="68"/>
  <c r="AY10" i="68"/>
  <c r="AQ10" i="68"/>
  <c r="AI10" i="68"/>
  <c r="AB37" i="68"/>
  <c r="AO10" i="68"/>
  <c r="BK10" i="68"/>
  <c r="BU10" i="68"/>
  <c r="B9" i="68"/>
  <c r="AC37" i="68"/>
  <c r="DC37" i="68"/>
  <c r="AP10" i="68"/>
  <c r="BL10" i="68"/>
  <c r="BV10" i="68"/>
  <c r="CH10" i="68"/>
  <c r="CR10" i="68"/>
  <c r="DG13" i="68"/>
  <c r="AD37" i="68"/>
  <c r="DD37" i="68"/>
  <c r="AG10" i="68"/>
  <c r="AS10" i="68"/>
  <c r="BM10" i="68"/>
  <c r="BY10" i="68"/>
  <c r="CS10" i="68"/>
  <c r="DG11" i="68"/>
  <c r="DE37" i="68"/>
  <c r="AH10" i="68"/>
  <c r="AT10" i="68"/>
  <c r="BN10" i="68"/>
  <c r="BZ10" i="68"/>
  <c r="CT10" i="68"/>
  <c r="DG12" i="68"/>
  <c r="DF37" i="68"/>
  <c r="AK10" i="68"/>
  <c r="AU10" i="68"/>
  <c r="BQ10" i="68"/>
  <c r="CW10" i="68"/>
  <c r="DG17" i="68"/>
  <c r="AE37" i="68"/>
  <c r="BD37" i="68"/>
  <c r="CB37" i="68"/>
  <c r="CZ37" i="68"/>
  <c r="DG20" i="68"/>
  <c r="BE37" i="68"/>
  <c r="CC37" i="68"/>
  <c r="DA37" i="68"/>
  <c r="DG29" i="68"/>
  <c r="DG26" i="68"/>
  <c r="DG32" i="68"/>
  <c r="DG31" i="68"/>
  <c r="DG34" i="68"/>
  <c r="H44" i="68"/>
  <c r="A12" i="67"/>
  <c r="AK9" i="67"/>
  <c r="AU9" i="67"/>
  <c r="BP9" i="67"/>
  <c r="BZ9" i="67"/>
  <c r="CU9" i="67"/>
  <c r="CE9" i="67"/>
  <c r="BW9" i="67"/>
  <c r="BO9" i="67"/>
  <c r="BG9" i="67"/>
  <c r="AY9" i="67"/>
  <c r="AQ9" i="67"/>
  <c r="AI9" i="67"/>
  <c r="CT9" i="67"/>
  <c r="CD9" i="67"/>
  <c r="BV9" i="67"/>
  <c r="BN9" i="67"/>
  <c r="AX9" i="67"/>
  <c r="AP9" i="67"/>
  <c r="AH9" i="67"/>
  <c r="AL9" i="67"/>
  <c r="AV9" i="67"/>
  <c r="BQ9" i="67"/>
  <c r="CW9" i="67"/>
  <c r="D9" i="67"/>
  <c r="AM9" i="67"/>
  <c r="AW9" i="67"/>
  <c r="BH9" i="67"/>
  <c r="BR9" i="67"/>
  <c r="CN9" i="67"/>
  <c r="AN9" i="67"/>
  <c r="AZ9" i="67"/>
  <c r="BI9" i="67"/>
  <c r="BS9" i="67"/>
  <c r="CO9" i="67"/>
  <c r="DG9" i="67"/>
  <c r="AD40" i="67"/>
  <c r="AO9" i="67"/>
  <c r="BJ9" i="67"/>
  <c r="BT9" i="67"/>
  <c r="CF9" i="67"/>
  <c r="CP9" i="67"/>
  <c r="CZ40" i="67"/>
  <c r="AR9" i="67"/>
  <c r="BK9" i="67"/>
  <c r="BU9" i="67"/>
  <c r="AG9" i="67"/>
  <c r="AS9" i="67"/>
  <c r="BC40" i="67"/>
  <c r="BL9" i="67"/>
  <c r="BX9" i="67"/>
  <c r="CH9" i="67"/>
  <c r="CR9" i="67"/>
  <c r="AJ9" i="67"/>
  <c r="AT9" i="67"/>
  <c r="BD40" i="67"/>
  <c r="BM9" i="67"/>
  <c r="BY9" i="67"/>
  <c r="CS9" i="67"/>
  <c r="DG20" i="67"/>
  <c r="BF40" i="67"/>
  <c r="DB40" i="67"/>
  <c r="DC40" i="67"/>
  <c r="DG31" i="67"/>
  <c r="DG28" i="67"/>
  <c r="DG39" i="67"/>
  <c r="DG32" i="67"/>
  <c r="DG35" i="67"/>
  <c r="DG33" i="67"/>
  <c r="H47" i="67"/>
  <c r="AH11" i="66"/>
  <c r="AT11" i="66"/>
  <c r="BN11" i="66"/>
  <c r="BZ11" i="66"/>
  <c r="CT11" i="66"/>
  <c r="DG9" i="66"/>
  <c r="AK11" i="66"/>
  <c r="AU11" i="66"/>
  <c r="BQ11" i="66"/>
  <c r="CV11" i="66"/>
  <c r="CN11" i="66"/>
  <c r="CF11" i="66"/>
  <c r="BX11" i="66"/>
  <c r="BP11" i="66"/>
  <c r="BH11" i="66"/>
  <c r="AZ11" i="66"/>
  <c r="AR11" i="66"/>
  <c r="AJ11" i="66"/>
  <c r="CU11" i="66"/>
  <c r="CE11" i="66"/>
  <c r="BW11" i="66"/>
  <c r="BO11" i="66"/>
  <c r="BG11" i="66"/>
  <c r="AY11" i="66"/>
  <c r="AQ11" i="66"/>
  <c r="AI11" i="66"/>
  <c r="AL11" i="66"/>
  <c r="AV11" i="66"/>
  <c r="BR11" i="66"/>
  <c r="B10" i="66"/>
  <c r="D11" i="66"/>
  <c r="AM11" i="66"/>
  <c r="AW11" i="66"/>
  <c r="BI11" i="66"/>
  <c r="BS11" i="66"/>
  <c r="CO11" i="66"/>
  <c r="AN11" i="66"/>
  <c r="AX11" i="66"/>
  <c r="BJ11" i="66"/>
  <c r="BT11" i="66"/>
  <c r="CD11" i="66"/>
  <c r="CP11" i="66"/>
  <c r="A12" i="66"/>
  <c r="CE9" i="66"/>
  <c r="DC40" i="66"/>
  <c r="AO11" i="66"/>
  <c r="BK11" i="66"/>
  <c r="BU11" i="66"/>
  <c r="AA40" i="66"/>
  <c r="AZ9" i="66"/>
  <c r="DD40" i="66"/>
  <c r="AP11" i="66"/>
  <c r="BL11" i="66"/>
  <c r="BV11" i="66"/>
  <c r="CH11" i="66"/>
  <c r="CR11" i="66"/>
  <c r="AG11" i="66"/>
  <c r="AS11" i="66"/>
  <c r="BM11" i="66"/>
  <c r="BY11" i="66"/>
  <c r="CS11" i="66"/>
  <c r="DG12" i="66"/>
  <c r="DG15" i="66"/>
  <c r="DG24" i="66"/>
  <c r="DG23" i="66"/>
  <c r="DG33" i="66"/>
  <c r="DG37" i="66"/>
  <c r="DG29" i="66"/>
  <c r="DG39" i="66"/>
  <c r="DG32" i="66"/>
  <c r="DG35" i="66"/>
  <c r="H47" i="66"/>
  <c r="CP9" i="65"/>
  <c r="CH9" i="65"/>
  <c r="BZ9" i="65"/>
  <c r="BR9" i="65"/>
  <c r="BJ9" i="65"/>
  <c r="AT9" i="65"/>
  <c r="AL9" i="65"/>
  <c r="CW9" i="65"/>
  <c r="CO9" i="65"/>
  <c r="BY9" i="65"/>
  <c r="BQ9" i="65"/>
  <c r="BI9" i="65"/>
  <c r="AS9" i="65"/>
  <c r="AK9" i="65"/>
  <c r="D9" i="65"/>
  <c r="CU9" i="65"/>
  <c r="BW9" i="65"/>
  <c r="BO9" i="65"/>
  <c r="BG9" i="65"/>
  <c r="CT9" i="65"/>
  <c r="CD9" i="65"/>
  <c r="BV9" i="65"/>
  <c r="BN9" i="65"/>
  <c r="CV9" i="65"/>
  <c r="CF9" i="65"/>
  <c r="BP9" i="65"/>
  <c r="AQ9" i="65"/>
  <c r="AG9" i="65"/>
  <c r="CS9" i="65"/>
  <c r="BM9" i="65"/>
  <c r="AZ9" i="65"/>
  <c r="AP9" i="65"/>
  <c r="CR9" i="65"/>
  <c r="BL9" i="65"/>
  <c r="AY9" i="65"/>
  <c r="AO9" i="65"/>
  <c r="BK9" i="65"/>
  <c r="AX9" i="65"/>
  <c r="AN9" i="65"/>
  <c r="CN9" i="65"/>
  <c r="BX9" i="65"/>
  <c r="AW9" i="65"/>
  <c r="AM9" i="65"/>
  <c r="BU9" i="65"/>
  <c r="AV9" i="65"/>
  <c r="AJ9" i="65"/>
  <c r="BT9" i="65"/>
  <c r="AU9" i="65"/>
  <c r="AI9" i="65"/>
  <c r="BS9" i="65"/>
  <c r="AR9" i="65"/>
  <c r="AH9" i="65"/>
  <c r="AA39" i="65"/>
  <c r="DC39" i="65"/>
  <c r="DG16" i="65"/>
  <c r="AB39" i="65"/>
  <c r="DE39" i="65"/>
  <c r="AC39" i="65"/>
  <c r="DF39" i="65"/>
  <c r="DG19" i="65"/>
  <c r="DG9" i="65"/>
  <c r="DG28" i="65"/>
  <c r="DG30" i="65"/>
  <c r="DG32" i="65"/>
  <c r="DG38" i="65"/>
  <c r="DG34" i="65"/>
  <c r="D66" i="65"/>
  <c r="H42" i="65" s="1"/>
  <c r="H46" i="65"/>
  <c r="B10" i="64"/>
  <c r="A11" i="64"/>
  <c r="DG9" i="64"/>
  <c r="DA40" i="64"/>
  <c r="DG17" i="64"/>
  <c r="DB40" i="64"/>
  <c r="DG25" i="64"/>
  <c r="DG28" i="64"/>
  <c r="DG32" i="64"/>
  <c r="DG39" i="64"/>
  <c r="DG33" i="64"/>
  <c r="DG35" i="64"/>
  <c r="D66" i="64"/>
  <c r="DG23" i="63"/>
  <c r="DG27" i="63"/>
  <c r="DG9" i="63"/>
  <c r="DG13" i="63"/>
  <c r="DG12" i="63"/>
  <c r="DG15" i="63"/>
  <c r="DG20" i="63"/>
  <c r="DG21" i="63"/>
  <c r="DG25" i="63"/>
  <c r="BC39" i="63"/>
  <c r="DG19" i="63"/>
  <c r="DG22" i="63"/>
  <c r="AA39" i="63"/>
  <c r="DC39" i="63"/>
  <c r="DG11" i="63"/>
  <c r="DG18" i="63"/>
  <c r="DG24" i="63"/>
  <c r="AB39" i="63"/>
  <c r="DD39" i="63"/>
  <c r="B9" i="63"/>
  <c r="AP9" i="63" s="1"/>
  <c r="BU10" i="63"/>
  <c r="AN10" i="63"/>
  <c r="A11" i="63"/>
  <c r="AM10" i="63"/>
  <c r="BL10" i="63"/>
  <c r="AV10" i="63"/>
  <c r="BM10" i="63"/>
  <c r="AH10" i="63"/>
  <c r="BO9" i="63"/>
  <c r="AO10" i="63"/>
  <c r="CY39" i="63"/>
  <c r="AU10" i="63"/>
  <c r="AZ9" i="63"/>
  <c r="BH9" i="63"/>
  <c r="AW10" i="63"/>
  <c r="CP10" i="63"/>
  <c r="BZ10" i="63"/>
  <c r="BR10" i="63"/>
  <c r="BJ10" i="63"/>
  <c r="AT10" i="63"/>
  <c r="AL10" i="63"/>
  <c r="CW10" i="63"/>
  <c r="CO10" i="63"/>
  <c r="BY10" i="63"/>
  <c r="BQ10" i="63"/>
  <c r="BI10" i="63"/>
  <c r="AS10" i="63"/>
  <c r="AK10" i="63"/>
  <c r="D10" i="63"/>
  <c r="CU10" i="63"/>
  <c r="CE10" i="63"/>
  <c r="BW10" i="63"/>
  <c r="BG10" i="63"/>
  <c r="AY10" i="63"/>
  <c r="CV10" i="63"/>
  <c r="CN10" i="63"/>
  <c r="CF10" i="63"/>
  <c r="BX10" i="63"/>
  <c r="BP10" i="63"/>
  <c r="BH10" i="63"/>
  <c r="AZ10" i="63"/>
  <c r="AR10" i="63"/>
  <c r="AJ10" i="63"/>
  <c r="BO10" i="63"/>
  <c r="AQ10" i="63"/>
  <c r="AI10" i="63"/>
  <c r="CT10" i="63"/>
  <c r="CD10" i="63"/>
  <c r="BV10" i="63"/>
  <c r="BN10" i="63"/>
  <c r="AX10" i="63"/>
  <c r="AP10" i="63"/>
  <c r="CS10" i="63"/>
  <c r="AG10" i="63"/>
  <c r="BT10" i="63"/>
  <c r="CR10" i="63"/>
  <c r="BD39" i="63"/>
  <c r="AE39" i="63"/>
  <c r="CZ39" i="63"/>
  <c r="BE39" i="63"/>
  <c r="CC39" i="63"/>
  <c r="DA39" i="63"/>
  <c r="CB39" i="63"/>
  <c r="BF39" i="63"/>
  <c r="DB39" i="63"/>
  <c r="DG16" i="63"/>
  <c r="DG28" i="63"/>
  <c r="DG29" i="63"/>
  <c r="DG36" i="63"/>
  <c r="DG32" i="63"/>
  <c r="DG31" i="63"/>
  <c r="DG34" i="63"/>
  <c r="DG37" i="63"/>
  <c r="DG38" i="63"/>
  <c r="DG35" i="63"/>
  <c r="DG33" i="63"/>
  <c r="D65" i="63"/>
  <c r="H46" i="63"/>
  <c r="A48" i="41"/>
  <c r="CI9" i="68" l="1"/>
  <c r="CL9" i="68"/>
  <c r="CJ9" i="68"/>
  <c r="CG9" i="68"/>
  <c r="CQ9" i="68"/>
  <c r="CM9" i="68"/>
  <c r="CI10" i="69"/>
  <c r="CJ10" i="69"/>
  <c r="CQ10" i="69"/>
  <c r="CK10" i="69"/>
  <c r="CM10" i="69"/>
  <c r="CI11" i="67"/>
  <c r="CL11" i="67"/>
  <c r="CQ11" i="67"/>
  <c r="CJ11" i="67"/>
  <c r="CK11" i="67"/>
  <c r="CM11" i="67"/>
  <c r="CG11" i="67"/>
  <c r="CI10" i="73"/>
  <c r="CJ10" i="73"/>
  <c r="CQ10" i="73"/>
  <c r="CK10" i="73"/>
  <c r="CL10" i="73"/>
  <c r="CM10" i="73"/>
  <c r="CG10" i="73"/>
  <c r="CU9" i="71"/>
  <c r="CQ9" i="71"/>
  <c r="CM9" i="71"/>
  <c r="CL9" i="71"/>
  <c r="CK9" i="71"/>
  <c r="CG9" i="71"/>
  <c r="CJ9" i="71"/>
  <c r="CH10" i="71"/>
  <c r="CQ10" i="71"/>
  <c r="CK10" i="71"/>
  <c r="CL10" i="71"/>
  <c r="CM10" i="71"/>
  <c r="CI10" i="71"/>
  <c r="CG10" i="71"/>
  <c r="CI9" i="69"/>
  <c r="CM9" i="69"/>
  <c r="CL9" i="69"/>
  <c r="CG9" i="69"/>
  <c r="CJ9" i="69"/>
  <c r="CQ9" i="69"/>
  <c r="BZ9" i="66"/>
  <c r="CI9" i="66"/>
  <c r="CL9" i="66"/>
  <c r="CK9" i="66"/>
  <c r="CJ9" i="66"/>
  <c r="CQ9" i="66"/>
  <c r="CM9" i="66"/>
  <c r="CI10" i="66"/>
  <c r="CQ10" i="66"/>
  <c r="CK10" i="66"/>
  <c r="CL10" i="66"/>
  <c r="CM10" i="66"/>
  <c r="CG10" i="66"/>
  <c r="CJ10" i="66"/>
  <c r="CI9" i="64"/>
  <c r="CK9" i="64"/>
  <c r="CQ9" i="64"/>
  <c r="CG9" i="64"/>
  <c r="CJ9" i="64"/>
  <c r="CM9" i="64"/>
  <c r="CL9" i="64"/>
  <c r="CI10" i="64"/>
  <c r="CL10" i="64"/>
  <c r="CM10" i="64"/>
  <c r="CG10" i="64"/>
  <c r="CQ10" i="64"/>
  <c r="CJ10" i="64"/>
  <c r="CK10" i="64"/>
  <c r="CH9" i="63"/>
  <c r="CI9" i="63"/>
  <c r="CK9" i="63"/>
  <c r="CM9" i="63"/>
  <c r="CJ9" i="63"/>
  <c r="CL9" i="63"/>
  <c r="CQ9" i="63"/>
  <c r="D67" i="66"/>
  <c r="H43" i="66" s="1"/>
  <c r="B10" i="70"/>
  <c r="AT10" i="70" s="1"/>
  <c r="B11" i="70"/>
  <c r="D67" i="71"/>
  <c r="H43" i="71" s="1"/>
  <c r="H46" i="71" s="1"/>
  <c r="F52" i="50"/>
  <c r="AY9" i="71"/>
  <c r="AN9" i="71"/>
  <c r="CP9" i="71"/>
  <c r="F43" i="50"/>
  <c r="F41" i="50"/>
  <c r="AV9" i="69"/>
  <c r="BZ9" i="69"/>
  <c r="BL9" i="69"/>
  <c r="AH9" i="69"/>
  <c r="AN9" i="69"/>
  <c r="CR9" i="69"/>
  <c r="AP10" i="73"/>
  <c r="BW10" i="73"/>
  <c r="CF10" i="73"/>
  <c r="CW10" i="73"/>
  <c r="D9" i="71"/>
  <c r="AM9" i="71"/>
  <c r="CT9" i="71"/>
  <c r="CF9" i="71"/>
  <c r="CV9" i="71"/>
  <c r="BX9" i="71"/>
  <c r="AH9" i="71"/>
  <c r="BY9" i="71"/>
  <c r="BS9" i="71"/>
  <c r="AO9" i="71"/>
  <c r="AP9" i="71"/>
  <c r="BZ9" i="71"/>
  <c r="BO9" i="71"/>
  <c r="CO9" i="71"/>
  <c r="BI9" i="71"/>
  <c r="AW9" i="71"/>
  <c r="AX9" i="71"/>
  <c r="BP9" i="71"/>
  <c r="AU9" i="71"/>
  <c r="BJ9" i="71"/>
  <c r="AQ9" i="71"/>
  <c r="BR9" i="71"/>
  <c r="BM9" i="71"/>
  <c r="BN9" i="71"/>
  <c r="AV9" i="71"/>
  <c r="AZ9" i="71"/>
  <c r="CR9" i="71"/>
  <c r="BU9" i="71"/>
  <c r="AL9" i="71"/>
  <c r="BT9" i="69"/>
  <c r="AU9" i="69"/>
  <c r="B10" i="67"/>
  <c r="CH9" i="69"/>
  <c r="BK9" i="69"/>
  <c r="AM9" i="69"/>
  <c r="BR9" i="69"/>
  <c r="BJ9" i="69"/>
  <c r="AT9" i="69"/>
  <c r="CD9" i="66"/>
  <c r="AR9" i="66"/>
  <c r="BW9" i="66"/>
  <c r="BY9" i="66"/>
  <c r="AX9" i="66"/>
  <c r="BS9" i="66"/>
  <c r="AS9" i="66"/>
  <c r="AP9" i="66"/>
  <c r="AH9" i="66"/>
  <c r="AM9" i="66"/>
  <c r="BQ9" i="66"/>
  <c r="AT9" i="66"/>
  <c r="CV9" i="66"/>
  <c r="AJ9" i="66"/>
  <c r="BG9" i="66"/>
  <c r="BM9" i="66"/>
  <c r="AN9" i="66"/>
  <c r="BI9" i="66"/>
  <c r="AG9" i="66"/>
  <c r="BR9" i="66"/>
  <c r="CN9" i="66"/>
  <c r="AY9" i="66"/>
  <c r="AO9" i="66"/>
  <c r="CR9" i="66"/>
  <c r="BT9" i="66"/>
  <c r="AU9" i="66"/>
  <c r="D9" i="66"/>
  <c r="CF9" i="66"/>
  <c r="AQ9" i="66"/>
  <c r="CH9" i="66"/>
  <c r="AK9" i="66"/>
  <c r="BN9" i="66"/>
  <c r="BX9" i="66"/>
  <c r="AI9" i="66"/>
  <c r="CS9" i="66"/>
  <c r="BU9" i="66"/>
  <c r="AV9" i="66"/>
  <c r="CO9" i="66"/>
  <c r="CW9" i="66"/>
  <c r="BP9" i="66"/>
  <c r="CU9" i="66"/>
  <c r="BK9" i="66"/>
  <c r="AL9" i="66"/>
  <c r="BL9" i="66"/>
  <c r="BH9" i="66"/>
  <c r="CT9" i="66"/>
  <c r="BV9" i="66"/>
  <c r="AW9" i="66"/>
  <c r="CP9" i="66"/>
  <c r="CU9" i="64"/>
  <c r="AY9" i="64"/>
  <c r="BT9" i="64"/>
  <c r="BZ9" i="64"/>
  <c r="BY9" i="64"/>
  <c r="CN9" i="64"/>
  <c r="AQ9" i="64"/>
  <c r="CD9" i="64"/>
  <c r="BU9" i="64"/>
  <c r="BL9" i="64"/>
  <c r="BS9" i="64"/>
  <c r="BR9" i="64"/>
  <c r="BQ9" i="64"/>
  <c r="CF9" i="64"/>
  <c r="AI9" i="64"/>
  <c r="BJ9" i="64"/>
  <c r="BN9" i="64"/>
  <c r="AW9" i="64"/>
  <c r="AN9" i="64"/>
  <c r="AU9" i="64"/>
  <c r="AT9" i="64"/>
  <c r="AS9" i="64"/>
  <c r="BP9" i="64"/>
  <c r="BM9" i="64"/>
  <c r="CE9" i="64"/>
  <c r="AX9" i="64"/>
  <c r="AO9" i="64"/>
  <c r="AM9" i="64"/>
  <c r="AL9" i="64"/>
  <c r="AK9" i="64"/>
  <c r="BH9" i="64"/>
  <c r="BI9" i="64"/>
  <c r="AG9" i="64"/>
  <c r="CW9" i="64"/>
  <c r="D9" i="64"/>
  <c r="BV9" i="64"/>
  <c r="BK9" i="64"/>
  <c r="BW9" i="64"/>
  <c r="AZ9" i="64"/>
  <c r="BO9" i="64"/>
  <c r="AH9" i="64"/>
  <c r="CR9" i="64"/>
  <c r="CP9" i="64"/>
  <c r="CO9" i="64"/>
  <c r="AR9" i="64"/>
  <c r="AV9" i="64"/>
  <c r="BX9" i="64"/>
  <c r="AP9" i="64"/>
  <c r="BG9" i="64"/>
  <c r="CT9" i="64"/>
  <c r="CS9" i="64"/>
  <c r="CH9" i="64"/>
  <c r="CV9" i="64"/>
  <c r="AJ9" i="64"/>
  <c r="AY9" i="63"/>
  <c r="CF9" i="63"/>
  <c r="BT9" i="63"/>
  <c r="BW9" i="63"/>
  <c r="BQ9" i="63"/>
  <c r="AN9" i="63"/>
  <c r="AX9" i="63"/>
  <c r="BI9" i="63"/>
  <c r="AU9" i="63"/>
  <c r="AV9" i="63"/>
  <c r="BN9" i="63"/>
  <c r="AJ9" i="63"/>
  <c r="BL9" i="63"/>
  <c r="AI9" i="63"/>
  <c r="CO9" i="63"/>
  <c r="BZ9" i="63"/>
  <c r="AW9" i="63"/>
  <c r="BP9" i="63"/>
  <c r="BR9" i="63"/>
  <c r="BS9" i="63"/>
  <c r="AT9" i="63"/>
  <c r="BG9" i="63"/>
  <c r="CS9" i="63"/>
  <c r="AL9" i="63"/>
  <c r="BM9" i="63"/>
  <c r="AM9" i="63"/>
  <c r="CN9" i="63"/>
  <c r="BU9" i="63"/>
  <c r="CT9" i="63"/>
  <c r="BY9" i="63"/>
  <c r="D66" i="63"/>
  <c r="H42" i="63" s="1"/>
  <c r="F42" i="50"/>
  <c r="F32" i="50"/>
  <c r="CX9" i="67"/>
  <c r="P9" i="67" s="1"/>
  <c r="CX9" i="70"/>
  <c r="P9" i="70" s="1"/>
  <c r="CX9" i="73"/>
  <c r="P9" i="73" s="1"/>
  <c r="CR10" i="73"/>
  <c r="AX10" i="73"/>
  <c r="CE10" i="73"/>
  <c r="CN10" i="73"/>
  <c r="AL10" i="73"/>
  <c r="AG10" i="73"/>
  <c r="CD10" i="73"/>
  <c r="CV10" i="73"/>
  <c r="BR10" i="73"/>
  <c r="AO10" i="73"/>
  <c r="CU10" i="73"/>
  <c r="D10" i="73"/>
  <c r="BZ10" i="73"/>
  <c r="BU10" i="73"/>
  <c r="CT10" i="73"/>
  <c r="AJ10" i="73"/>
  <c r="BI10" i="73"/>
  <c r="CH10" i="73"/>
  <c r="A11" i="73"/>
  <c r="A12" i="73" s="1"/>
  <c r="AI10" i="73"/>
  <c r="AR10" i="73"/>
  <c r="BQ10" i="73"/>
  <c r="CP10" i="73"/>
  <c r="BL10" i="73"/>
  <c r="AQ10" i="73"/>
  <c r="BP10" i="73"/>
  <c r="BY10" i="73"/>
  <c r="AM10" i="73"/>
  <c r="CS10" i="73"/>
  <c r="BT10" i="73"/>
  <c r="AH10" i="73"/>
  <c r="AY10" i="73"/>
  <c r="BX10" i="73"/>
  <c r="CO10" i="73"/>
  <c r="AU10" i="73"/>
  <c r="AK9" i="71"/>
  <c r="AT9" i="71"/>
  <c r="BW9" i="71"/>
  <c r="AR9" i="71"/>
  <c r="AJ9" i="71"/>
  <c r="AI9" i="71"/>
  <c r="BH9" i="71"/>
  <c r="AG9" i="71"/>
  <c r="CH9" i="71"/>
  <c r="B10" i="65"/>
  <c r="BK9" i="63"/>
  <c r="AR9" i="63"/>
  <c r="D9" i="63"/>
  <c r="BB11" i="66"/>
  <c r="AN10" i="73"/>
  <c r="AW10" i="73"/>
  <c r="BN10" i="73"/>
  <c r="BG10" i="73"/>
  <c r="AZ10" i="73"/>
  <c r="AK10" i="73"/>
  <c r="AT10" i="73"/>
  <c r="BK10" i="73"/>
  <c r="AV10" i="73"/>
  <c r="BM10" i="73"/>
  <c r="BV10" i="73"/>
  <c r="BO10" i="73"/>
  <c r="BH10" i="73"/>
  <c r="AS10" i="73"/>
  <c r="BJ10" i="73"/>
  <c r="BS10" i="73"/>
  <c r="CW9" i="71"/>
  <c r="BK9" i="71"/>
  <c r="CE9" i="71"/>
  <c r="AS9" i="71"/>
  <c r="BT9" i="71"/>
  <c r="D67" i="73"/>
  <c r="H43" i="73" s="1"/>
  <c r="D66" i="70"/>
  <c r="H42" i="70" s="1"/>
  <c r="D67" i="69"/>
  <c r="H43" i="69" s="1"/>
  <c r="D67" i="64"/>
  <c r="H43" i="64" s="1"/>
  <c r="H46" i="64" s="1"/>
  <c r="D66" i="72"/>
  <c r="H42" i="72" s="1"/>
  <c r="BB9" i="72"/>
  <c r="D64" i="68"/>
  <c r="H40" i="68" s="1"/>
  <c r="D67" i="67"/>
  <c r="H43" i="67" s="1"/>
  <c r="BB9" i="73"/>
  <c r="BA9" i="72"/>
  <c r="N9" i="72" s="1"/>
  <c r="BA10" i="71"/>
  <c r="N10" i="71" s="1"/>
  <c r="BA9" i="70"/>
  <c r="N9" i="70" s="1"/>
  <c r="BB9" i="65"/>
  <c r="BA9" i="73"/>
  <c r="DG40" i="73"/>
  <c r="CA9" i="73"/>
  <c r="A11" i="72"/>
  <c r="B10" i="72"/>
  <c r="DG39" i="72"/>
  <c r="A12" i="71"/>
  <c r="B11" i="71"/>
  <c r="BB10" i="71"/>
  <c r="DG40" i="71"/>
  <c r="BB9" i="70"/>
  <c r="CA9" i="70"/>
  <c r="BR10" i="70"/>
  <c r="AL10" i="70"/>
  <c r="BP10" i="70"/>
  <c r="AJ10" i="70"/>
  <c r="AR10" i="70"/>
  <c r="CS10" i="70"/>
  <c r="BL10" i="70"/>
  <c r="BU10" i="70"/>
  <c r="AX10" i="70"/>
  <c r="BS10" i="70"/>
  <c r="CS11" i="70"/>
  <c r="BU11" i="70"/>
  <c r="BM11" i="70"/>
  <c r="AW11" i="70"/>
  <c r="AO11" i="70"/>
  <c r="AG11" i="70"/>
  <c r="CR11" i="70"/>
  <c r="BT11" i="70"/>
  <c r="BL11" i="70"/>
  <c r="AV11" i="70"/>
  <c r="AN11" i="70"/>
  <c r="CO11" i="70"/>
  <c r="CE11" i="70"/>
  <c r="BW11" i="70"/>
  <c r="BK11" i="70"/>
  <c r="AS11" i="70"/>
  <c r="AI11" i="70"/>
  <c r="CN11" i="70"/>
  <c r="CD11" i="70"/>
  <c r="BV11" i="70"/>
  <c r="BJ11" i="70"/>
  <c r="AR11" i="70"/>
  <c r="AH11" i="70"/>
  <c r="CW11" i="70"/>
  <c r="BS11" i="70"/>
  <c r="BI11" i="70"/>
  <c r="AQ11" i="70"/>
  <c r="CV11" i="70"/>
  <c r="BR11" i="70"/>
  <c r="BH11" i="70"/>
  <c r="AZ11" i="70"/>
  <c r="AP11" i="70"/>
  <c r="D11" i="70"/>
  <c r="CU11" i="70"/>
  <c r="BQ11" i="70"/>
  <c r="BG11" i="70"/>
  <c r="AY11" i="70"/>
  <c r="AM11" i="70"/>
  <c r="CT11" i="70"/>
  <c r="CH11" i="70"/>
  <c r="BZ11" i="70"/>
  <c r="BP11" i="70"/>
  <c r="AX11" i="70"/>
  <c r="AL11" i="70"/>
  <c r="BY11" i="70"/>
  <c r="BO11" i="70"/>
  <c r="AU11" i="70"/>
  <c r="AK11" i="70"/>
  <c r="CP11" i="70"/>
  <c r="CF11" i="70"/>
  <c r="BX11" i="70"/>
  <c r="BN11" i="70"/>
  <c r="AT11" i="70"/>
  <c r="AJ11" i="70"/>
  <c r="B12" i="70"/>
  <c r="A13" i="70"/>
  <c r="DG39" i="70"/>
  <c r="BB9" i="69"/>
  <c r="CR10" i="69"/>
  <c r="BL10" i="69"/>
  <c r="AV10" i="69"/>
  <c r="AN10" i="69"/>
  <c r="BS10" i="69"/>
  <c r="BK10" i="69"/>
  <c r="AU10" i="69"/>
  <c r="AM10" i="69"/>
  <c r="CP10" i="69"/>
  <c r="CH10" i="69"/>
  <c r="BZ10" i="69"/>
  <c r="BR10" i="69"/>
  <c r="AT10" i="69"/>
  <c r="AL10" i="69"/>
  <c r="CW10" i="69"/>
  <c r="CO10" i="69"/>
  <c r="BY10" i="69"/>
  <c r="BQ10" i="69"/>
  <c r="BI10" i="69"/>
  <c r="AS10" i="69"/>
  <c r="AK10" i="69"/>
  <c r="D10" i="69"/>
  <c r="CV10" i="69"/>
  <c r="CN10" i="69"/>
  <c r="CF10" i="69"/>
  <c r="BX10" i="69"/>
  <c r="BP10" i="69"/>
  <c r="BH10" i="69"/>
  <c r="AZ10" i="69"/>
  <c r="AR10" i="69"/>
  <c r="AJ10" i="69"/>
  <c r="CT10" i="69"/>
  <c r="AP10" i="69"/>
  <c r="CS10" i="69"/>
  <c r="BW10" i="69"/>
  <c r="AO10" i="69"/>
  <c r="BV10" i="69"/>
  <c r="AI10" i="69"/>
  <c r="CU10" i="69"/>
  <c r="BU10" i="69"/>
  <c r="AH10" i="69"/>
  <c r="BG10" i="69"/>
  <c r="AQ10" i="69"/>
  <c r="AY10" i="69"/>
  <c r="AG10" i="69"/>
  <c r="CE10" i="69"/>
  <c r="BN10" i="69"/>
  <c r="AX10" i="69"/>
  <c r="CD10" i="69"/>
  <c r="BM10" i="69"/>
  <c r="AW10" i="69"/>
  <c r="A12" i="69"/>
  <c r="B11" i="69"/>
  <c r="DG40" i="69"/>
  <c r="DG37" i="68"/>
  <c r="BB10" i="68"/>
  <c r="A12" i="68"/>
  <c r="B11" i="68"/>
  <c r="CS9" i="68"/>
  <c r="BU9" i="68"/>
  <c r="BM9" i="68"/>
  <c r="AW9" i="68"/>
  <c r="AO9" i="68"/>
  <c r="AG9" i="68"/>
  <c r="CR9" i="68"/>
  <c r="BT9" i="68"/>
  <c r="BL9" i="68"/>
  <c r="AV9" i="68"/>
  <c r="AN9" i="68"/>
  <c r="CN9" i="68"/>
  <c r="CD9" i="68"/>
  <c r="BV9" i="68"/>
  <c r="BJ9" i="68"/>
  <c r="AR9" i="68"/>
  <c r="AH9" i="68"/>
  <c r="CW9" i="68"/>
  <c r="AQ9" i="68"/>
  <c r="CV9" i="68"/>
  <c r="BR9" i="68"/>
  <c r="BH9" i="68"/>
  <c r="AZ9" i="68"/>
  <c r="AP9" i="68"/>
  <c r="D9" i="68"/>
  <c r="CU9" i="68"/>
  <c r="BQ9" i="68"/>
  <c r="BG9" i="68"/>
  <c r="AY9" i="68"/>
  <c r="AM9" i="68"/>
  <c r="CT9" i="68"/>
  <c r="CH9" i="68"/>
  <c r="BZ9" i="68"/>
  <c r="BP9" i="68"/>
  <c r="AX9" i="68"/>
  <c r="AL9" i="68"/>
  <c r="BY9" i="68"/>
  <c r="BO9" i="68"/>
  <c r="AU9" i="68"/>
  <c r="AK9" i="68"/>
  <c r="BX9" i="68"/>
  <c r="AT9" i="68"/>
  <c r="AJ9" i="68"/>
  <c r="CO9" i="68"/>
  <c r="CE9" i="68"/>
  <c r="BW9" i="68"/>
  <c r="BK9" i="68"/>
  <c r="AS9" i="68"/>
  <c r="AI9" i="68"/>
  <c r="BA10" i="68"/>
  <c r="N10" i="68" s="1"/>
  <c r="DG40" i="67"/>
  <c r="CA9" i="67"/>
  <c r="BB9" i="67"/>
  <c r="BA9" i="67"/>
  <c r="CS11" i="67"/>
  <c r="BU11" i="67"/>
  <c r="BM11" i="67"/>
  <c r="AW11" i="67"/>
  <c r="AO11" i="67"/>
  <c r="AG11" i="67"/>
  <c r="CR11" i="67"/>
  <c r="BT11" i="67"/>
  <c r="BL11" i="67"/>
  <c r="AV11" i="67"/>
  <c r="AN11" i="67"/>
  <c r="CU11" i="67"/>
  <c r="BQ11" i="67"/>
  <c r="BG11" i="67"/>
  <c r="AY11" i="67"/>
  <c r="AM11" i="67"/>
  <c r="CT11" i="67"/>
  <c r="CH11" i="67"/>
  <c r="BZ11" i="67"/>
  <c r="BP11" i="67"/>
  <c r="AX11" i="67"/>
  <c r="AL11" i="67"/>
  <c r="BY11" i="67"/>
  <c r="BO11" i="67"/>
  <c r="AU11" i="67"/>
  <c r="AK11" i="67"/>
  <c r="CP11" i="67"/>
  <c r="CF11" i="67"/>
  <c r="BX11" i="67"/>
  <c r="BN11" i="67"/>
  <c r="AT11" i="67"/>
  <c r="AJ11" i="67"/>
  <c r="CO11" i="67"/>
  <c r="CE11" i="67"/>
  <c r="BW11" i="67"/>
  <c r="BK11" i="67"/>
  <c r="AS11" i="67"/>
  <c r="AI11" i="67"/>
  <c r="CN11" i="67"/>
  <c r="CD11" i="67"/>
  <c r="BV11" i="67"/>
  <c r="BJ11" i="67"/>
  <c r="AR11" i="67"/>
  <c r="AH11" i="67"/>
  <c r="CW11" i="67"/>
  <c r="BS11" i="67"/>
  <c r="BI11" i="67"/>
  <c r="AQ11" i="67"/>
  <c r="CV11" i="67"/>
  <c r="BR11" i="67"/>
  <c r="BH11" i="67"/>
  <c r="AZ11" i="67"/>
  <c r="AP11" i="67"/>
  <c r="D11" i="67"/>
  <c r="B12" i="67"/>
  <c r="A13" i="67"/>
  <c r="H46" i="66"/>
  <c r="DG40" i="66"/>
  <c r="CS10" i="66"/>
  <c r="CR10" i="66"/>
  <c r="CV10" i="66"/>
  <c r="BT10" i="66"/>
  <c r="BL10" i="66"/>
  <c r="AV10" i="66"/>
  <c r="AN10" i="66"/>
  <c r="CU10" i="66"/>
  <c r="BS10" i="66"/>
  <c r="AU10" i="66"/>
  <c r="AM10" i="66"/>
  <c r="CT10" i="66"/>
  <c r="BZ10" i="66"/>
  <c r="BR10" i="66"/>
  <c r="BJ10" i="66"/>
  <c r="AT10" i="66"/>
  <c r="AL10" i="66"/>
  <c r="BY10" i="66"/>
  <c r="BQ10" i="66"/>
  <c r="BI10" i="66"/>
  <c r="AS10" i="66"/>
  <c r="AK10" i="66"/>
  <c r="D10" i="66"/>
  <c r="CP10" i="66"/>
  <c r="CF10" i="66"/>
  <c r="BX10" i="66"/>
  <c r="BH10" i="66"/>
  <c r="AZ10" i="66"/>
  <c r="AR10" i="66"/>
  <c r="AJ10" i="66"/>
  <c r="CO10" i="66"/>
  <c r="CE10" i="66"/>
  <c r="BW10" i="66"/>
  <c r="BO10" i="66"/>
  <c r="BG10" i="66"/>
  <c r="AY10" i="66"/>
  <c r="AQ10" i="66"/>
  <c r="AI10" i="66"/>
  <c r="CN10" i="66"/>
  <c r="CD10" i="66"/>
  <c r="BV10" i="66"/>
  <c r="BN10" i="66"/>
  <c r="AX10" i="66"/>
  <c r="AP10" i="66"/>
  <c r="AH10" i="66"/>
  <c r="CW10" i="66"/>
  <c r="BU10" i="66"/>
  <c r="BM10" i="66"/>
  <c r="AW10" i="66"/>
  <c r="AO10" i="66"/>
  <c r="AG10" i="66"/>
  <c r="BA11" i="66"/>
  <c r="N11" i="66" s="1"/>
  <c r="A13" i="66"/>
  <c r="B12" i="66"/>
  <c r="CA11" i="66"/>
  <c r="O11" i="66" s="1"/>
  <c r="H45" i="65"/>
  <c r="BA9" i="65"/>
  <c r="DG39" i="65"/>
  <c r="B11" i="65"/>
  <c r="A12" i="65"/>
  <c r="A12" i="64"/>
  <c r="B11" i="64"/>
  <c r="CP10" i="64"/>
  <c r="CH10" i="64"/>
  <c r="BZ10" i="64"/>
  <c r="BR10" i="64"/>
  <c r="BJ10" i="64"/>
  <c r="AT10" i="64"/>
  <c r="AL10" i="64"/>
  <c r="CW10" i="64"/>
  <c r="CO10" i="64"/>
  <c r="BY10" i="64"/>
  <c r="BQ10" i="64"/>
  <c r="BI10" i="64"/>
  <c r="AS10" i="64"/>
  <c r="AK10" i="64"/>
  <c r="D10" i="64"/>
  <c r="CV10" i="64"/>
  <c r="CN10" i="64"/>
  <c r="CF10" i="64"/>
  <c r="BX10" i="64"/>
  <c r="BP10" i="64"/>
  <c r="BH10" i="64"/>
  <c r="AZ10" i="64"/>
  <c r="AR10" i="64"/>
  <c r="AJ10" i="64"/>
  <c r="CU10" i="64"/>
  <c r="CE10" i="64"/>
  <c r="BW10" i="64"/>
  <c r="BO10" i="64"/>
  <c r="BG10" i="64"/>
  <c r="AY10" i="64"/>
  <c r="AQ10" i="64"/>
  <c r="AI10" i="64"/>
  <c r="CT10" i="64"/>
  <c r="CD10" i="64"/>
  <c r="BV10" i="64"/>
  <c r="BN10" i="64"/>
  <c r="AX10" i="64"/>
  <c r="AP10" i="64"/>
  <c r="AH10" i="64"/>
  <c r="CS10" i="64"/>
  <c r="BU10" i="64"/>
  <c r="BM10" i="64"/>
  <c r="AW10" i="64"/>
  <c r="AO10" i="64"/>
  <c r="AG10" i="64"/>
  <c r="CR10" i="64"/>
  <c r="BT10" i="64"/>
  <c r="BL10" i="64"/>
  <c r="AV10" i="64"/>
  <c r="AN10" i="64"/>
  <c r="BS10" i="64"/>
  <c r="BK10" i="64"/>
  <c r="AU10" i="64"/>
  <c r="AM10" i="64"/>
  <c r="DG40" i="64"/>
  <c r="CP9" i="63"/>
  <c r="AQ9" i="63"/>
  <c r="AK9" i="63"/>
  <c r="AG9" i="63"/>
  <c r="CR9" i="63"/>
  <c r="CW9" i="63"/>
  <c r="AS9" i="63"/>
  <c r="CE9" i="63"/>
  <c r="AO9" i="63"/>
  <c r="AH9" i="63"/>
  <c r="CV9" i="63"/>
  <c r="BV9" i="63"/>
  <c r="CU9" i="63"/>
  <c r="CD9" i="63"/>
  <c r="BX9" i="63"/>
  <c r="BA10" i="63"/>
  <c r="N10" i="63" s="1"/>
  <c r="A12" i="63"/>
  <c r="B11" i="63"/>
  <c r="BB10" i="63"/>
  <c r="DG39" i="63"/>
  <c r="T62" i="41"/>
  <c r="V44" i="41" s="1"/>
  <c r="A1" i="39"/>
  <c r="G69" i="1"/>
  <c r="F69" i="1"/>
  <c r="G60" i="1"/>
  <c r="F60" i="1"/>
  <c r="G51" i="1"/>
  <c r="G42" i="1"/>
  <c r="F42" i="1"/>
  <c r="E15" i="62"/>
  <c r="I42" i="65" s="1"/>
  <c r="E7" i="62"/>
  <c r="F6" i="62"/>
  <c r="A1" i="23" s="1"/>
  <c r="AO1" i="61"/>
  <c r="E76" i="1"/>
  <c r="J35" i="1"/>
  <c r="BT10" i="70" l="1"/>
  <c r="BV10" i="70"/>
  <c r="BN10" i="70"/>
  <c r="D10" i="70"/>
  <c r="BZ10" i="70"/>
  <c r="CN10" i="70"/>
  <c r="CF10" i="70"/>
  <c r="BX10" i="70"/>
  <c r="AS10" i="70"/>
  <c r="CP10" i="70"/>
  <c r="AO10" i="70"/>
  <c r="CR10" i="70"/>
  <c r="AI10" i="70"/>
  <c r="BI10" i="70"/>
  <c r="AW10" i="70"/>
  <c r="AY10" i="70"/>
  <c r="AG10" i="70"/>
  <c r="BO10" i="70"/>
  <c r="BQ10" i="70"/>
  <c r="BG10" i="70"/>
  <c r="BK10" i="70"/>
  <c r="BM10" i="70"/>
  <c r="CU10" i="70"/>
  <c r="CO10" i="70"/>
  <c r="AN10" i="70"/>
  <c r="AP10" i="70"/>
  <c r="AH10" i="70"/>
  <c r="AV10" i="70"/>
  <c r="BJ10" i="70"/>
  <c r="BY10" i="70"/>
  <c r="CH10" i="70"/>
  <c r="BH10" i="70"/>
  <c r="CE10" i="70"/>
  <c r="AQ10" i="70"/>
  <c r="CT10" i="70"/>
  <c r="CV10" i="70"/>
  <c r="CW10" i="70"/>
  <c r="AM10" i="70"/>
  <c r="CD10" i="70"/>
  <c r="AZ10" i="70"/>
  <c r="BW10" i="70"/>
  <c r="AU10" i="70"/>
  <c r="AK10" i="70"/>
  <c r="CI11" i="68"/>
  <c r="CK11" i="68"/>
  <c r="CG11" i="68"/>
  <c r="CL11" i="68"/>
  <c r="CQ11" i="68"/>
  <c r="CJ11" i="68"/>
  <c r="CJ10" i="72"/>
  <c r="CG10" i="72"/>
  <c r="CK10" i="72"/>
  <c r="CQ10" i="72"/>
  <c r="CL10" i="72"/>
  <c r="CI10" i="72"/>
  <c r="BJ10" i="67"/>
  <c r="CI10" i="67"/>
  <c r="CJ10" i="67"/>
  <c r="CQ10" i="67"/>
  <c r="CK10" i="67"/>
  <c r="CG10" i="67"/>
  <c r="CL10" i="67"/>
  <c r="CM10" i="67"/>
  <c r="CI12" i="67"/>
  <c r="CQ12" i="67"/>
  <c r="CG12" i="67"/>
  <c r="CJ12" i="67"/>
  <c r="CL12" i="67"/>
  <c r="CM12" i="67"/>
  <c r="CI11" i="70"/>
  <c r="CK11" i="70"/>
  <c r="CL11" i="70"/>
  <c r="CM11" i="70"/>
  <c r="CG11" i="70"/>
  <c r="CQ11" i="70"/>
  <c r="CJ11" i="70"/>
  <c r="CI11" i="69"/>
  <c r="CQ11" i="69"/>
  <c r="CJ11" i="69"/>
  <c r="CK11" i="69"/>
  <c r="CL11" i="69"/>
  <c r="CG11" i="69"/>
  <c r="CI12" i="70"/>
  <c r="CJ12" i="70"/>
  <c r="CK12" i="70"/>
  <c r="CL12" i="70"/>
  <c r="CG12" i="70"/>
  <c r="CM12" i="70"/>
  <c r="CQ12" i="70"/>
  <c r="CI10" i="70"/>
  <c r="CJ10" i="70"/>
  <c r="CG10" i="70"/>
  <c r="CK10" i="70"/>
  <c r="CQ10" i="70"/>
  <c r="CL10" i="70"/>
  <c r="CM10" i="70"/>
  <c r="CM11" i="71"/>
  <c r="CQ11" i="71"/>
  <c r="CJ11" i="71"/>
  <c r="CI11" i="71"/>
  <c r="CL11" i="71"/>
  <c r="CG11" i="71"/>
  <c r="CI12" i="66"/>
  <c r="CK12" i="66"/>
  <c r="CL12" i="66"/>
  <c r="CQ12" i="66"/>
  <c r="CM12" i="66"/>
  <c r="CJ12" i="66"/>
  <c r="CG12" i="66"/>
  <c r="CI11" i="65"/>
  <c r="CQ11" i="65"/>
  <c r="CJ11" i="65"/>
  <c r="CK11" i="65"/>
  <c r="CL11" i="65"/>
  <c r="CM11" i="65"/>
  <c r="BN10" i="65"/>
  <c r="CI10" i="65"/>
  <c r="CJ10" i="65"/>
  <c r="CG10" i="65"/>
  <c r="CK10" i="65"/>
  <c r="CQ10" i="65"/>
  <c r="CL10" i="65"/>
  <c r="CM10" i="65"/>
  <c r="CI11" i="64"/>
  <c r="CJ11" i="64"/>
  <c r="CG11" i="64"/>
  <c r="CK11" i="64"/>
  <c r="CL11" i="64"/>
  <c r="CQ11" i="64"/>
  <c r="CM11" i="64"/>
  <c r="CI11" i="63"/>
  <c r="CJ11" i="63"/>
  <c r="CK11" i="63"/>
  <c r="CL11" i="63"/>
  <c r="CM11" i="63"/>
  <c r="CG11" i="63"/>
  <c r="CQ11" i="63"/>
  <c r="CD10" i="67"/>
  <c r="AL10" i="65"/>
  <c r="AT10" i="65"/>
  <c r="AU10" i="65"/>
  <c r="BK10" i="65"/>
  <c r="CR10" i="65"/>
  <c r="D10" i="65"/>
  <c r="BG10" i="65"/>
  <c r="AI10" i="65"/>
  <c r="CU10" i="65"/>
  <c r="AJ10" i="65"/>
  <c r="CV10" i="65"/>
  <c r="CS10" i="65"/>
  <c r="B11" i="73"/>
  <c r="BN11" i="73" s="1"/>
  <c r="BZ10" i="65"/>
  <c r="AR10" i="65"/>
  <c r="AK10" i="65"/>
  <c r="AX10" i="65"/>
  <c r="AO10" i="65"/>
  <c r="AP10" i="65"/>
  <c r="BO10" i="65"/>
  <c r="BJ10" i="65"/>
  <c r="AG10" i="65"/>
  <c r="AQ10" i="65"/>
  <c r="BH10" i="65"/>
  <c r="CO10" i="65"/>
  <c r="BS10" i="65"/>
  <c r="AZ10" i="65"/>
  <c r="AS10" i="65"/>
  <c r="BR10" i="65"/>
  <c r="BV10" i="65"/>
  <c r="BW10" i="65"/>
  <c r="BQ10" i="65"/>
  <c r="AN10" i="65"/>
  <c r="AW10" i="65"/>
  <c r="CD10" i="65"/>
  <c r="AY10" i="65"/>
  <c r="BP10" i="65"/>
  <c r="BY10" i="65"/>
  <c r="CH10" i="65"/>
  <c r="AV10" i="65"/>
  <c r="BM10" i="65"/>
  <c r="CE10" i="65"/>
  <c r="BX10" i="65"/>
  <c r="CP10" i="65"/>
  <c r="BL10" i="65"/>
  <c r="BU10" i="65"/>
  <c r="CT10" i="65"/>
  <c r="CN10" i="65"/>
  <c r="CW10" i="65"/>
  <c r="AM10" i="65"/>
  <c r="BT10" i="65"/>
  <c r="BB9" i="66"/>
  <c r="F44" i="50"/>
  <c r="I43" i="69"/>
  <c r="I42" i="70"/>
  <c r="I43" i="73"/>
  <c r="I42" i="63"/>
  <c r="I43" i="67"/>
  <c r="I40" i="68"/>
  <c r="I43" i="66"/>
  <c r="I42" i="72"/>
  <c r="I43" i="71"/>
  <c r="I43" i="64"/>
  <c r="F50" i="50"/>
  <c r="F53" i="50" s="1"/>
  <c r="BA9" i="69"/>
  <c r="N9" i="69" s="1"/>
  <c r="AZ10" i="67"/>
  <c r="BI10" i="67"/>
  <c r="BR10" i="67"/>
  <c r="AR10" i="67"/>
  <c r="AW10" i="67"/>
  <c r="AG10" i="67"/>
  <c r="CN10" i="67"/>
  <c r="BL10" i="67"/>
  <c r="BZ10" i="67"/>
  <c r="BN10" i="67"/>
  <c r="BX10" i="67"/>
  <c r="AO10" i="67"/>
  <c r="CH10" i="67"/>
  <c r="CU10" i="67"/>
  <c r="BG10" i="67"/>
  <c r="BQ10" i="67"/>
  <c r="AQ10" i="67"/>
  <c r="AJ10" i="67"/>
  <c r="BS10" i="67"/>
  <c r="BV10" i="67"/>
  <c r="BY10" i="67"/>
  <c r="BM10" i="67"/>
  <c r="AV10" i="67"/>
  <c r="AY10" i="67"/>
  <c r="CF10" i="67"/>
  <c r="CO10" i="67"/>
  <c r="CP10" i="67"/>
  <c r="BW10" i="67"/>
  <c r="CT10" i="67"/>
  <c r="BP10" i="67"/>
  <c r="AN10" i="67"/>
  <c r="BK10" i="67"/>
  <c r="CR10" i="67"/>
  <c r="CW10" i="67"/>
  <c r="AI10" i="67"/>
  <c r="AX10" i="67"/>
  <c r="BU10" i="67"/>
  <c r="D10" i="67"/>
  <c r="AL10" i="67"/>
  <c r="CS10" i="67"/>
  <c r="AU10" i="67"/>
  <c r="CV10" i="67"/>
  <c r="BH10" i="67"/>
  <c r="CE10" i="67"/>
  <c r="AK10" i="67"/>
  <c r="AT10" i="67"/>
  <c r="AH10" i="67"/>
  <c r="BO10" i="67"/>
  <c r="AM10" i="67"/>
  <c r="BT10" i="67"/>
  <c r="AP10" i="67"/>
  <c r="AS10" i="67"/>
  <c r="BA9" i="66"/>
  <c r="N9" i="66" s="1"/>
  <c r="AH10" i="65"/>
  <c r="CX9" i="64"/>
  <c r="P9" i="64" s="1"/>
  <c r="BB9" i="64"/>
  <c r="CA9" i="64"/>
  <c r="O9" i="64" s="1"/>
  <c r="BA9" i="64"/>
  <c r="N9" i="64" s="1"/>
  <c r="H45" i="63"/>
  <c r="I44" i="71"/>
  <c r="I45" i="73"/>
  <c r="I44" i="73"/>
  <c r="I44" i="72"/>
  <c r="I44" i="66"/>
  <c r="I44" i="63"/>
  <c r="I44" i="65"/>
  <c r="I43" i="70"/>
  <c r="I43" i="72"/>
  <c r="I45" i="69"/>
  <c r="I43" i="63"/>
  <c r="I44" i="69"/>
  <c r="I42" i="68"/>
  <c r="I41" i="68"/>
  <c r="I45" i="64"/>
  <c r="I44" i="64"/>
  <c r="I45" i="71"/>
  <c r="I43" i="65"/>
  <c r="I44" i="70"/>
  <c r="I45" i="66"/>
  <c r="I45" i="67"/>
  <c r="I44" i="67"/>
  <c r="H46" i="73"/>
  <c r="H45" i="70"/>
  <c r="H46" i="69"/>
  <c r="F33" i="50"/>
  <c r="F5" i="50"/>
  <c r="F24" i="50" s="1"/>
  <c r="CX10" i="73"/>
  <c r="P10" i="73" s="1"/>
  <c r="CX10" i="64"/>
  <c r="P10" i="64" s="1"/>
  <c r="CX11" i="67"/>
  <c r="P11" i="67" s="1"/>
  <c r="BB9" i="71"/>
  <c r="CA10" i="73"/>
  <c r="O10" i="73" s="1"/>
  <c r="Z9" i="73" s="1"/>
  <c r="BA9" i="71"/>
  <c r="N9" i="71" s="1"/>
  <c r="J23" i="1"/>
  <c r="BA10" i="73"/>
  <c r="N10" i="73" s="1"/>
  <c r="BB9" i="63"/>
  <c r="H43" i="68"/>
  <c r="BB10" i="73"/>
  <c r="H46" i="67"/>
  <c r="H45" i="72"/>
  <c r="N9" i="73"/>
  <c r="O9" i="73"/>
  <c r="AH11" i="73"/>
  <c r="BL11" i="73"/>
  <c r="AV11" i="73"/>
  <c r="BS11" i="73"/>
  <c r="BK11" i="73"/>
  <c r="BJ11" i="73"/>
  <c r="AT11" i="73"/>
  <c r="CO11" i="73"/>
  <c r="BQ11" i="73"/>
  <c r="AK11" i="73"/>
  <c r="CF11" i="73"/>
  <c r="BX11" i="73"/>
  <c r="BP11" i="73"/>
  <c r="BH11" i="73"/>
  <c r="AZ11" i="73"/>
  <c r="AR11" i="73"/>
  <c r="CE11" i="73"/>
  <c r="BW11" i="73"/>
  <c r="BO11" i="73"/>
  <c r="BG11" i="73"/>
  <c r="AY11" i="73"/>
  <c r="AQ11" i="73"/>
  <c r="AI11" i="73"/>
  <c r="B12" i="73"/>
  <c r="A13" i="73"/>
  <c r="CS10" i="72"/>
  <c r="BU10" i="72"/>
  <c r="BM10" i="72"/>
  <c r="AW10" i="72"/>
  <c r="AO10" i="72"/>
  <c r="AG10" i="72"/>
  <c r="CR10" i="72"/>
  <c r="BT10" i="72"/>
  <c r="BL10" i="72"/>
  <c r="AV10" i="72"/>
  <c r="AN10" i="72"/>
  <c r="BS10" i="72"/>
  <c r="AU10" i="72"/>
  <c r="AM10" i="72"/>
  <c r="CP10" i="72"/>
  <c r="BR10" i="72"/>
  <c r="BJ10" i="72"/>
  <c r="AT10" i="72"/>
  <c r="AL10" i="72"/>
  <c r="CO10" i="72"/>
  <c r="BY10" i="72"/>
  <c r="BQ10" i="72"/>
  <c r="BI10" i="72"/>
  <c r="AS10" i="72"/>
  <c r="AK10" i="72"/>
  <c r="D10" i="72"/>
  <c r="CV10" i="72"/>
  <c r="CN10" i="72"/>
  <c r="CF10" i="72"/>
  <c r="BX10" i="72"/>
  <c r="BH10" i="72"/>
  <c r="AZ10" i="72"/>
  <c r="AR10" i="72"/>
  <c r="AJ10" i="72"/>
  <c r="CU10" i="72"/>
  <c r="CE10" i="72"/>
  <c r="BW10" i="72"/>
  <c r="BO10" i="72"/>
  <c r="BG10" i="72"/>
  <c r="AY10" i="72"/>
  <c r="AQ10" i="72"/>
  <c r="AI10" i="72"/>
  <c r="CT10" i="72"/>
  <c r="CD10" i="72"/>
  <c r="BV10" i="72"/>
  <c r="BN10" i="72"/>
  <c r="AX10" i="72"/>
  <c r="AP10" i="72"/>
  <c r="AH10" i="72"/>
  <c r="B11" i="72"/>
  <c r="A12" i="72"/>
  <c r="CR11" i="71"/>
  <c r="BT11" i="71"/>
  <c r="BL11" i="71"/>
  <c r="AV11" i="71"/>
  <c r="AN11" i="71"/>
  <c r="BK11" i="71"/>
  <c r="AU11" i="71"/>
  <c r="AM11" i="71"/>
  <c r="CH11" i="71"/>
  <c r="BZ11" i="71"/>
  <c r="BR11" i="71"/>
  <c r="BJ11" i="71"/>
  <c r="AT11" i="71"/>
  <c r="AL11" i="71"/>
  <c r="CW11" i="71"/>
  <c r="CO11" i="71"/>
  <c r="BY11" i="71"/>
  <c r="BQ11" i="71"/>
  <c r="AS11" i="71"/>
  <c r="AK11" i="71"/>
  <c r="D11" i="71"/>
  <c r="BW11" i="71"/>
  <c r="BG11" i="71"/>
  <c r="AW11" i="71"/>
  <c r="AG11" i="71"/>
  <c r="BV11" i="71"/>
  <c r="AR11" i="71"/>
  <c r="CV11" i="71"/>
  <c r="BU11" i="71"/>
  <c r="AQ11" i="71"/>
  <c r="CE11" i="71"/>
  <c r="BP11" i="71"/>
  <c r="AP11" i="71"/>
  <c r="CT11" i="71"/>
  <c r="CD11" i="71"/>
  <c r="BO11" i="71"/>
  <c r="AO11" i="71"/>
  <c r="CS11" i="71"/>
  <c r="AZ11" i="71"/>
  <c r="AJ11" i="71"/>
  <c r="CN11" i="71"/>
  <c r="BM11" i="71"/>
  <c r="AY11" i="71"/>
  <c r="AI11" i="71"/>
  <c r="BH11" i="71"/>
  <c r="AX11" i="71"/>
  <c r="AH11" i="71"/>
  <c r="A13" i="71"/>
  <c r="B12" i="71"/>
  <c r="BB11" i="70"/>
  <c r="BA11" i="70"/>
  <c r="N11" i="70" s="1"/>
  <c r="A14" i="70"/>
  <c r="B13" i="70"/>
  <c r="O9" i="70"/>
  <c r="Q9" i="70" s="1"/>
  <c r="CV12" i="70"/>
  <c r="CN12" i="70"/>
  <c r="CF12" i="70"/>
  <c r="BX12" i="70"/>
  <c r="BP12" i="70"/>
  <c r="BH12" i="70"/>
  <c r="AZ12" i="70"/>
  <c r="AR12" i="70"/>
  <c r="AJ12" i="70"/>
  <c r="CU12" i="70"/>
  <c r="CE12" i="70"/>
  <c r="BW12" i="70"/>
  <c r="BO12" i="70"/>
  <c r="BG12" i="70"/>
  <c r="AY12" i="70"/>
  <c r="AQ12" i="70"/>
  <c r="AI12" i="70"/>
  <c r="BR12" i="70"/>
  <c r="AV12" i="70"/>
  <c r="AL12" i="70"/>
  <c r="CW12" i="70"/>
  <c r="BQ12" i="70"/>
  <c r="AU12" i="70"/>
  <c r="AK12" i="70"/>
  <c r="CT12" i="70"/>
  <c r="BZ12" i="70"/>
  <c r="BN12" i="70"/>
  <c r="AT12" i="70"/>
  <c r="AH12" i="70"/>
  <c r="CS12" i="70"/>
  <c r="BY12" i="70"/>
  <c r="BM12" i="70"/>
  <c r="AS12" i="70"/>
  <c r="AG12" i="70"/>
  <c r="CR12" i="70"/>
  <c r="CH12" i="70"/>
  <c r="BV12" i="70"/>
  <c r="BL12" i="70"/>
  <c r="AP12" i="70"/>
  <c r="BU12" i="70"/>
  <c r="BK12" i="70"/>
  <c r="AO12" i="70"/>
  <c r="CP12" i="70"/>
  <c r="CD12" i="70"/>
  <c r="BT12" i="70"/>
  <c r="BJ12" i="70"/>
  <c r="AX12" i="70"/>
  <c r="AN12" i="70"/>
  <c r="CO12" i="70"/>
  <c r="BS12" i="70"/>
  <c r="BI12" i="70"/>
  <c r="AW12" i="70"/>
  <c r="AM12" i="70"/>
  <c r="D12" i="70"/>
  <c r="BB10" i="70"/>
  <c r="CA11" i="70"/>
  <c r="O11" i="70" s="1"/>
  <c r="B12" i="69"/>
  <c r="A13" i="69"/>
  <c r="CU11" i="69"/>
  <c r="CE11" i="69"/>
  <c r="BW11" i="69"/>
  <c r="BO11" i="69"/>
  <c r="BG11" i="69"/>
  <c r="AY11" i="69"/>
  <c r="AQ11" i="69"/>
  <c r="AI11" i="69"/>
  <c r="CT11" i="69"/>
  <c r="CD11" i="69"/>
  <c r="BV11" i="69"/>
  <c r="BN11" i="69"/>
  <c r="AX11" i="69"/>
  <c r="AP11" i="69"/>
  <c r="AH11" i="69"/>
  <c r="CS11" i="69"/>
  <c r="BM11" i="69"/>
  <c r="AW11" i="69"/>
  <c r="AO11" i="69"/>
  <c r="AG11" i="69"/>
  <c r="BT11" i="69"/>
  <c r="BL11" i="69"/>
  <c r="AV11" i="69"/>
  <c r="AN11" i="69"/>
  <c r="BS11" i="69"/>
  <c r="AU11" i="69"/>
  <c r="AM11" i="69"/>
  <c r="CW11" i="69"/>
  <c r="CO11" i="69"/>
  <c r="BY11" i="69"/>
  <c r="BQ11" i="69"/>
  <c r="BI11" i="69"/>
  <c r="AR11" i="69"/>
  <c r="AL11" i="69"/>
  <c r="AS11" i="69"/>
  <c r="BZ11" i="69"/>
  <c r="AK11" i="69"/>
  <c r="CF11" i="69"/>
  <c r="CV11" i="69"/>
  <c r="BX11" i="69"/>
  <c r="AJ11" i="69"/>
  <c r="CP11" i="69"/>
  <c r="BR11" i="69"/>
  <c r="D11" i="69"/>
  <c r="CN11" i="69"/>
  <c r="AZ11" i="69"/>
  <c r="BJ11" i="69"/>
  <c r="AT11" i="69"/>
  <c r="BH11" i="69"/>
  <c r="BB10" i="69"/>
  <c r="BA10" i="69"/>
  <c r="BB9" i="68"/>
  <c r="BA9" i="68"/>
  <c r="BS11" i="68"/>
  <c r="AU11" i="68"/>
  <c r="AM11" i="68"/>
  <c r="CP11" i="68"/>
  <c r="BZ11" i="68"/>
  <c r="BR11" i="68"/>
  <c r="BJ11" i="68"/>
  <c r="AT11" i="68"/>
  <c r="AL11" i="68"/>
  <c r="CS11" i="68"/>
  <c r="BW11" i="68"/>
  <c r="BM11" i="68"/>
  <c r="AR11" i="68"/>
  <c r="AH11" i="68"/>
  <c r="CF11" i="68"/>
  <c r="BV11" i="68"/>
  <c r="BL11" i="68"/>
  <c r="AQ11" i="68"/>
  <c r="AG11" i="68"/>
  <c r="CO11" i="68"/>
  <c r="CE11" i="68"/>
  <c r="BI11" i="68"/>
  <c r="AZ11" i="68"/>
  <c r="AP11" i="68"/>
  <c r="CN11" i="68"/>
  <c r="CD11" i="68"/>
  <c r="BT11" i="68"/>
  <c r="BH11" i="68"/>
  <c r="AY11" i="68"/>
  <c r="AO11" i="68"/>
  <c r="D11" i="68"/>
  <c r="CW11" i="68"/>
  <c r="BQ11" i="68"/>
  <c r="BG11" i="68"/>
  <c r="AX11" i="68"/>
  <c r="AN11" i="68"/>
  <c r="CV11" i="68"/>
  <c r="AW11" i="68"/>
  <c r="AK11" i="68"/>
  <c r="CU11" i="68"/>
  <c r="BY11" i="68"/>
  <c r="BO11" i="68"/>
  <c r="AV11" i="68"/>
  <c r="AJ11" i="68"/>
  <c r="CT11" i="68"/>
  <c r="BX11" i="68"/>
  <c r="BN11" i="68"/>
  <c r="AS11" i="68"/>
  <c r="AI11" i="68"/>
  <c r="A13" i="68"/>
  <c r="B12" i="68"/>
  <c r="N9" i="67"/>
  <c r="CA11" i="67"/>
  <c r="O11" i="67" s="1"/>
  <c r="O9" i="67"/>
  <c r="A14" i="67"/>
  <c r="B13" i="67"/>
  <c r="CW12" i="67"/>
  <c r="CO12" i="67"/>
  <c r="CV12" i="67"/>
  <c r="CN12" i="67"/>
  <c r="BX12" i="67"/>
  <c r="BP12" i="67"/>
  <c r="BH12" i="67"/>
  <c r="AZ12" i="67"/>
  <c r="AR12" i="67"/>
  <c r="AJ12" i="67"/>
  <c r="CU12" i="67"/>
  <c r="CE12" i="67"/>
  <c r="BW12" i="67"/>
  <c r="BO12" i="67"/>
  <c r="BG12" i="67"/>
  <c r="AY12" i="67"/>
  <c r="AQ12" i="67"/>
  <c r="AI12" i="67"/>
  <c r="CS12" i="67"/>
  <c r="CH12" i="67"/>
  <c r="BV12" i="67"/>
  <c r="BL12" i="67"/>
  <c r="AP12" i="67"/>
  <c r="CR12" i="67"/>
  <c r="BU12" i="67"/>
  <c r="BK12" i="67"/>
  <c r="AO12" i="67"/>
  <c r="CD12" i="67"/>
  <c r="BT12" i="67"/>
  <c r="BJ12" i="67"/>
  <c r="AX12" i="67"/>
  <c r="AN12" i="67"/>
  <c r="AW12" i="67"/>
  <c r="AM12" i="67"/>
  <c r="D12" i="67"/>
  <c r="BR12" i="67"/>
  <c r="AV12" i="67"/>
  <c r="AL12" i="67"/>
  <c r="BQ12" i="67"/>
  <c r="AU12" i="67"/>
  <c r="AK12" i="67"/>
  <c r="BZ12" i="67"/>
  <c r="AT12" i="67"/>
  <c r="AH12" i="67"/>
  <c r="CT12" i="67"/>
  <c r="BY12" i="67"/>
  <c r="BM12" i="67"/>
  <c r="AS12" i="67"/>
  <c r="AG12" i="67"/>
  <c r="BB11" i="67"/>
  <c r="BA11" i="67"/>
  <c r="N11" i="67" s="1"/>
  <c r="A14" i="66"/>
  <c r="B13" i="66"/>
  <c r="BS12" i="66"/>
  <c r="BK12" i="66"/>
  <c r="AU12" i="66"/>
  <c r="AM12" i="66"/>
  <c r="CP12" i="66"/>
  <c r="CH12" i="66"/>
  <c r="BZ12" i="66"/>
  <c r="BR12" i="66"/>
  <c r="BJ12" i="66"/>
  <c r="AT12" i="66"/>
  <c r="AL12" i="66"/>
  <c r="CO12" i="66"/>
  <c r="CE12" i="66"/>
  <c r="BU12" i="66"/>
  <c r="BI12" i="66"/>
  <c r="AZ12" i="66"/>
  <c r="AP12" i="66"/>
  <c r="CN12" i="66"/>
  <c r="CD12" i="66"/>
  <c r="BT12" i="66"/>
  <c r="BH12" i="66"/>
  <c r="AY12" i="66"/>
  <c r="AO12" i="66"/>
  <c r="D12" i="66"/>
  <c r="CW12" i="66"/>
  <c r="BQ12" i="66"/>
  <c r="BG12" i="66"/>
  <c r="AX12" i="66"/>
  <c r="AN12" i="66"/>
  <c r="CV12" i="66"/>
  <c r="BP12" i="66"/>
  <c r="AW12" i="66"/>
  <c r="AK12" i="66"/>
  <c r="CU12" i="66"/>
  <c r="BY12" i="66"/>
  <c r="BO12" i="66"/>
  <c r="AV12" i="66"/>
  <c r="AJ12" i="66"/>
  <c r="CT12" i="66"/>
  <c r="BX12" i="66"/>
  <c r="BN12" i="66"/>
  <c r="AS12" i="66"/>
  <c r="AI12" i="66"/>
  <c r="CS12" i="66"/>
  <c r="BW12" i="66"/>
  <c r="BM12" i="66"/>
  <c r="AR12" i="66"/>
  <c r="AH12" i="66"/>
  <c r="CR12" i="66"/>
  <c r="CF12" i="66"/>
  <c r="BV12" i="66"/>
  <c r="BL12" i="66"/>
  <c r="AQ12" i="66"/>
  <c r="AG12" i="66"/>
  <c r="BB10" i="66"/>
  <c r="BA10" i="66"/>
  <c r="N9" i="65"/>
  <c r="A13" i="65"/>
  <c r="B12" i="65"/>
  <c r="CW11" i="65"/>
  <c r="CO11" i="65"/>
  <c r="BY11" i="65"/>
  <c r="BQ11" i="65"/>
  <c r="BI11" i="65"/>
  <c r="AS11" i="65"/>
  <c r="AK11" i="65"/>
  <c r="D11" i="65"/>
  <c r="CV11" i="65"/>
  <c r="CN11" i="65"/>
  <c r="CF11" i="65"/>
  <c r="BX11" i="65"/>
  <c r="BP11" i="65"/>
  <c r="BH11" i="65"/>
  <c r="AZ11" i="65"/>
  <c r="AR11" i="65"/>
  <c r="AJ11" i="65"/>
  <c r="CU11" i="65"/>
  <c r="CE11" i="65"/>
  <c r="BW11" i="65"/>
  <c r="BO11" i="65"/>
  <c r="BG11" i="65"/>
  <c r="AY11" i="65"/>
  <c r="AQ11" i="65"/>
  <c r="AI11" i="65"/>
  <c r="CT11" i="65"/>
  <c r="CD11" i="65"/>
  <c r="BV11" i="65"/>
  <c r="BN11" i="65"/>
  <c r="AX11" i="65"/>
  <c r="AP11" i="65"/>
  <c r="AH11" i="65"/>
  <c r="CS11" i="65"/>
  <c r="BU11" i="65"/>
  <c r="BM11" i="65"/>
  <c r="AW11" i="65"/>
  <c r="AO11" i="65"/>
  <c r="AG11" i="65"/>
  <c r="CR11" i="65"/>
  <c r="BT11" i="65"/>
  <c r="BL11" i="65"/>
  <c r="AV11" i="65"/>
  <c r="AN11" i="65"/>
  <c r="BS11" i="65"/>
  <c r="BK11" i="65"/>
  <c r="AU11" i="65"/>
  <c r="AM11" i="65"/>
  <c r="CP11" i="65"/>
  <c r="CH11" i="65"/>
  <c r="BZ11" i="65"/>
  <c r="BR11" i="65"/>
  <c r="AT11" i="65"/>
  <c r="AL11" i="65"/>
  <c r="BB10" i="64"/>
  <c r="BA10" i="64"/>
  <c r="N10" i="64" s="1"/>
  <c r="CS11" i="64"/>
  <c r="BU11" i="64"/>
  <c r="BM11" i="64"/>
  <c r="AW11" i="64"/>
  <c r="AO11" i="64"/>
  <c r="AG11" i="64"/>
  <c r="CR11" i="64"/>
  <c r="BT11" i="64"/>
  <c r="BL11" i="64"/>
  <c r="AV11" i="64"/>
  <c r="AN11" i="64"/>
  <c r="BS11" i="64"/>
  <c r="BK11" i="64"/>
  <c r="AU11" i="64"/>
  <c r="AM11" i="64"/>
  <c r="CP11" i="64"/>
  <c r="CH11" i="64"/>
  <c r="BZ11" i="64"/>
  <c r="BR11" i="64"/>
  <c r="BJ11" i="64"/>
  <c r="AT11" i="64"/>
  <c r="AL11" i="64"/>
  <c r="CW11" i="64"/>
  <c r="CO11" i="64"/>
  <c r="BY11" i="64"/>
  <c r="BQ11" i="64"/>
  <c r="BI11" i="64"/>
  <c r="AS11" i="64"/>
  <c r="AK11" i="64"/>
  <c r="D11" i="64"/>
  <c r="CV11" i="64"/>
  <c r="CN11" i="64"/>
  <c r="CF11" i="64"/>
  <c r="BX11" i="64"/>
  <c r="BP11" i="64"/>
  <c r="BH11" i="64"/>
  <c r="AZ11" i="64"/>
  <c r="AR11" i="64"/>
  <c r="AJ11" i="64"/>
  <c r="CU11" i="64"/>
  <c r="CE11" i="64"/>
  <c r="BW11" i="64"/>
  <c r="BO11" i="64"/>
  <c r="AY11" i="64"/>
  <c r="AQ11" i="64"/>
  <c r="AI11" i="64"/>
  <c r="CT11" i="64"/>
  <c r="BV11" i="64"/>
  <c r="BN11" i="64"/>
  <c r="AX11" i="64"/>
  <c r="AP11" i="64"/>
  <c r="AH11" i="64"/>
  <c r="A13" i="64"/>
  <c r="B12" i="64"/>
  <c r="CA10" i="64"/>
  <c r="O10" i="64" s="1"/>
  <c r="BA9" i="63"/>
  <c r="N9" i="63" s="1"/>
  <c r="CS11" i="63"/>
  <c r="BU11" i="63"/>
  <c r="BM11" i="63"/>
  <c r="AW11" i="63"/>
  <c r="AO11" i="63"/>
  <c r="AG11" i="63"/>
  <c r="CR11" i="63"/>
  <c r="BT11" i="63"/>
  <c r="BL11" i="63"/>
  <c r="AV11" i="63"/>
  <c r="AN11" i="63"/>
  <c r="BR11" i="63"/>
  <c r="AT11" i="63"/>
  <c r="BS11" i="63"/>
  <c r="BK11" i="63"/>
  <c r="AU11" i="63"/>
  <c r="AM11" i="63"/>
  <c r="BJ11" i="63"/>
  <c r="CP11" i="63"/>
  <c r="CH11" i="63"/>
  <c r="BZ11" i="63"/>
  <c r="AL11" i="63"/>
  <c r="CW11" i="63"/>
  <c r="CO11" i="63"/>
  <c r="BY11" i="63"/>
  <c r="BQ11" i="63"/>
  <c r="BI11" i="63"/>
  <c r="AS11" i="63"/>
  <c r="AK11" i="63"/>
  <c r="D11" i="63"/>
  <c r="CV11" i="63"/>
  <c r="CN11" i="63"/>
  <c r="CF11" i="63"/>
  <c r="BX11" i="63"/>
  <c r="BP11" i="63"/>
  <c r="BH11" i="63"/>
  <c r="AZ11" i="63"/>
  <c r="AR11" i="63"/>
  <c r="AJ11" i="63"/>
  <c r="CT11" i="63"/>
  <c r="BV11" i="63"/>
  <c r="AY11" i="63"/>
  <c r="BO11" i="63"/>
  <c r="AX11" i="63"/>
  <c r="AP11" i="63"/>
  <c r="CD11" i="63"/>
  <c r="BW11" i="63"/>
  <c r="BN11" i="63"/>
  <c r="AQ11" i="63"/>
  <c r="BG11" i="63"/>
  <c r="AI11" i="63"/>
  <c r="CE11" i="63"/>
  <c r="AH11" i="63"/>
  <c r="CU11" i="63"/>
  <c r="B12" i="63"/>
  <c r="A13" i="63"/>
  <c r="G16" i="50"/>
  <c r="AA10" i="41"/>
  <c r="Z11" i="41"/>
  <c r="Z12" i="41"/>
  <c r="Z13" i="41"/>
  <c r="Z14" i="41"/>
  <c r="Z17" i="41"/>
  <c r="Z18" i="41"/>
  <c r="Z19" i="41"/>
  <c r="Z20" i="41"/>
  <c r="Z21" i="41"/>
  <c r="Z22" i="41"/>
  <c r="Z23" i="41"/>
  <c r="Z24" i="41"/>
  <c r="Z26" i="41"/>
  <c r="Z27" i="41"/>
  <c r="Z28" i="41"/>
  <c r="Z29" i="41"/>
  <c r="Z30" i="41"/>
  <c r="Z31" i="41"/>
  <c r="Z32" i="41"/>
  <c r="Z33" i="41"/>
  <c r="Z34" i="41"/>
  <c r="Z35" i="41"/>
  <c r="Z36" i="41"/>
  <c r="Z37" i="41"/>
  <c r="Z38" i="41"/>
  <c r="Z39" i="41"/>
  <c r="Z40" i="41"/>
  <c r="E4" i="47"/>
  <c r="A52" i="41"/>
  <c r="A47" i="41"/>
  <c r="A46" i="41"/>
  <c r="A45" i="41"/>
  <c r="A43" i="41"/>
  <c r="D5" i="48"/>
  <c r="D6" i="48"/>
  <c r="D7" i="48"/>
  <c r="D8" i="48"/>
  <c r="D9" i="48"/>
  <c r="D10" i="48"/>
  <c r="D11" i="48"/>
  <c r="D12" i="48"/>
  <c r="D13" i="48"/>
  <c r="D14" i="48"/>
  <c r="D15" i="48"/>
  <c r="D16" i="48"/>
  <c r="D17" i="48"/>
  <c r="D18" i="48"/>
  <c r="D19" i="48"/>
  <c r="D20" i="48"/>
  <c r="D21" i="48"/>
  <c r="D22" i="48"/>
  <c r="E5" i="48"/>
  <c r="F5" i="48"/>
  <c r="G5" i="48"/>
  <c r="E6" i="48"/>
  <c r="F6" i="48"/>
  <c r="G6" i="48"/>
  <c r="E7" i="48"/>
  <c r="F7" i="48"/>
  <c r="G7" i="48"/>
  <c r="E8" i="48"/>
  <c r="F8" i="48"/>
  <c r="G8" i="48"/>
  <c r="E9" i="48"/>
  <c r="F9" i="48"/>
  <c r="G9" i="48"/>
  <c r="E10" i="48"/>
  <c r="F10" i="48"/>
  <c r="G10" i="48"/>
  <c r="E11" i="48"/>
  <c r="F11" i="48"/>
  <c r="G11" i="48"/>
  <c r="E12" i="48"/>
  <c r="F12" i="48"/>
  <c r="G12" i="48"/>
  <c r="E13" i="48"/>
  <c r="F13" i="48"/>
  <c r="G13" i="48"/>
  <c r="E14" i="48"/>
  <c r="F14" i="48"/>
  <c r="G14" i="48"/>
  <c r="E15" i="48"/>
  <c r="F15" i="48"/>
  <c r="G15" i="48"/>
  <c r="E16" i="48"/>
  <c r="F16" i="48"/>
  <c r="G16" i="48"/>
  <c r="E17" i="48"/>
  <c r="F17" i="48"/>
  <c r="G17" i="48"/>
  <c r="E18" i="48"/>
  <c r="F18" i="48"/>
  <c r="G18" i="48"/>
  <c r="E19" i="48"/>
  <c r="F19" i="48"/>
  <c r="G19" i="48"/>
  <c r="E20" i="48"/>
  <c r="F20" i="48"/>
  <c r="G20" i="48"/>
  <c r="E21" i="48"/>
  <c r="F21" i="48"/>
  <c r="G21" i="48"/>
  <c r="E22" i="48"/>
  <c r="F22" i="48"/>
  <c r="G22" i="48"/>
  <c r="G4" i="48"/>
  <c r="F4" i="48"/>
  <c r="E4" i="48"/>
  <c r="D4" i="48"/>
  <c r="C4" i="48"/>
  <c r="C5" i="48"/>
  <c r="C6" i="48"/>
  <c r="C7" i="48"/>
  <c r="C8" i="48"/>
  <c r="C9" i="48"/>
  <c r="C10" i="48"/>
  <c r="C11" i="48"/>
  <c r="C12" i="48"/>
  <c r="C13" i="48"/>
  <c r="C14" i="48"/>
  <c r="C15" i="48"/>
  <c r="C16" i="48"/>
  <c r="C17" i="48"/>
  <c r="C18" i="48"/>
  <c r="C19" i="48"/>
  <c r="C20" i="48"/>
  <c r="C21" i="48"/>
  <c r="C22" i="48"/>
  <c r="D4" i="49"/>
  <c r="E4" i="49"/>
  <c r="F4" i="49"/>
  <c r="G4" i="49"/>
  <c r="C4" i="49"/>
  <c r="B17" i="48"/>
  <c r="B18" i="48"/>
  <c r="B19" i="48"/>
  <c r="B20" i="48"/>
  <c r="B21" i="48"/>
  <c r="B22" i="48"/>
  <c r="A17" i="48"/>
  <c r="A18" i="48"/>
  <c r="A19" i="48"/>
  <c r="A20" i="48"/>
  <c r="A21" i="48"/>
  <c r="A22" i="48"/>
  <c r="D5" i="49"/>
  <c r="E5" i="49"/>
  <c r="F5" i="49"/>
  <c r="G5" i="49"/>
  <c r="D6" i="49"/>
  <c r="E6" i="49"/>
  <c r="F6" i="49"/>
  <c r="G6" i="49"/>
  <c r="D7" i="49"/>
  <c r="E7" i="49"/>
  <c r="F7" i="49"/>
  <c r="G7" i="49"/>
  <c r="D8" i="49"/>
  <c r="E8" i="49"/>
  <c r="F8" i="49"/>
  <c r="G8" i="49"/>
  <c r="D9" i="49"/>
  <c r="E9" i="49"/>
  <c r="F9" i="49"/>
  <c r="G9" i="49"/>
  <c r="D10" i="49"/>
  <c r="E10" i="49"/>
  <c r="F10" i="49"/>
  <c r="G10" i="49"/>
  <c r="D11" i="49"/>
  <c r="E11" i="49"/>
  <c r="F11" i="49"/>
  <c r="G11" i="49"/>
  <c r="D12" i="49"/>
  <c r="E12" i="49"/>
  <c r="F12" i="49"/>
  <c r="G12" i="49"/>
  <c r="D13" i="49"/>
  <c r="E13" i="49"/>
  <c r="F13" i="49"/>
  <c r="G13" i="49"/>
  <c r="D14" i="49"/>
  <c r="E14" i="49"/>
  <c r="F14" i="49"/>
  <c r="G14" i="49"/>
  <c r="D15" i="49"/>
  <c r="E15" i="49"/>
  <c r="F15" i="49"/>
  <c r="G15" i="49"/>
  <c r="D16" i="49"/>
  <c r="E16" i="49"/>
  <c r="F16" i="49"/>
  <c r="G16" i="49"/>
  <c r="D17" i="49"/>
  <c r="E17" i="49"/>
  <c r="F17" i="49"/>
  <c r="G17" i="49"/>
  <c r="D18" i="49"/>
  <c r="E18" i="49"/>
  <c r="F18" i="49"/>
  <c r="G18" i="49"/>
  <c r="D19" i="49"/>
  <c r="E19" i="49"/>
  <c r="F19" i="49"/>
  <c r="G19" i="49"/>
  <c r="D20" i="49"/>
  <c r="E20" i="49"/>
  <c r="F20" i="49"/>
  <c r="G20" i="49"/>
  <c r="D21" i="49"/>
  <c r="E21" i="49"/>
  <c r="F21" i="49"/>
  <c r="G21" i="49"/>
  <c r="D22" i="49"/>
  <c r="E22" i="49"/>
  <c r="F22" i="49"/>
  <c r="G22" i="49"/>
  <c r="B17" i="49"/>
  <c r="B18" i="49"/>
  <c r="B19" i="49"/>
  <c r="B20" i="49"/>
  <c r="B21" i="49"/>
  <c r="B22" i="49"/>
  <c r="A17" i="49"/>
  <c r="A18" i="49"/>
  <c r="A19" i="49"/>
  <c r="A20" i="49"/>
  <c r="A21" i="49"/>
  <c r="A22" i="49"/>
  <c r="F2" i="47"/>
  <c r="D2" i="47"/>
  <c r="F2" i="49"/>
  <c r="D2" i="49"/>
  <c r="F2" i="48"/>
  <c r="D2" i="48"/>
  <c r="A1" i="48"/>
  <c r="A1" i="49"/>
  <c r="G4" i="47"/>
  <c r="D5" i="47"/>
  <c r="E5" i="47"/>
  <c r="F5" i="47"/>
  <c r="G5" i="47"/>
  <c r="D6" i="47"/>
  <c r="E6" i="47"/>
  <c r="F6" i="47"/>
  <c r="G6" i="47"/>
  <c r="D7" i="47"/>
  <c r="E7" i="47"/>
  <c r="F7" i="47"/>
  <c r="G7" i="47"/>
  <c r="D8" i="47"/>
  <c r="E8" i="47"/>
  <c r="F8" i="47"/>
  <c r="G8" i="47"/>
  <c r="D9" i="47"/>
  <c r="E9" i="47"/>
  <c r="F9" i="47"/>
  <c r="G9" i="47"/>
  <c r="D10" i="47"/>
  <c r="E10" i="47"/>
  <c r="F10" i="47"/>
  <c r="G10" i="47"/>
  <c r="D11" i="47"/>
  <c r="E11" i="47"/>
  <c r="F11" i="47"/>
  <c r="G11" i="47"/>
  <c r="D12" i="47"/>
  <c r="E12" i="47"/>
  <c r="F12" i="47"/>
  <c r="G12" i="47"/>
  <c r="D13" i="47"/>
  <c r="E13" i="47"/>
  <c r="F13" i="47"/>
  <c r="G13" i="47"/>
  <c r="D14" i="47"/>
  <c r="E14" i="47"/>
  <c r="F14" i="47"/>
  <c r="G14" i="47"/>
  <c r="D15" i="47"/>
  <c r="E15" i="47"/>
  <c r="F15" i="47"/>
  <c r="G15" i="47"/>
  <c r="D16" i="47"/>
  <c r="E16" i="47"/>
  <c r="F16" i="47"/>
  <c r="G16" i="47"/>
  <c r="D17" i="47"/>
  <c r="E17" i="47"/>
  <c r="F17" i="47"/>
  <c r="G17" i="47"/>
  <c r="D18" i="47"/>
  <c r="E18" i="47"/>
  <c r="F18" i="47"/>
  <c r="G18" i="47"/>
  <c r="D19" i="47"/>
  <c r="E19" i="47"/>
  <c r="F19" i="47"/>
  <c r="G19" i="47"/>
  <c r="D20" i="47"/>
  <c r="E20" i="47"/>
  <c r="F20" i="47"/>
  <c r="G20" i="47"/>
  <c r="D21" i="47"/>
  <c r="E21" i="47"/>
  <c r="F21" i="47"/>
  <c r="G21" i="47"/>
  <c r="D22" i="47"/>
  <c r="E22" i="47"/>
  <c r="F22" i="47"/>
  <c r="G22" i="47"/>
  <c r="F4" i="47"/>
  <c r="C5" i="47"/>
  <c r="C6" i="47"/>
  <c r="C7" i="47"/>
  <c r="C8" i="47"/>
  <c r="C9" i="47"/>
  <c r="C10" i="47"/>
  <c r="C11" i="47"/>
  <c r="C12" i="47"/>
  <c r="C13" i="47"/>
  <c r="C14" i="47"/>
  <c r="C15" i="47"/>
  <c r="C16" i="47"/>
  <c r="C17" i="47"/>
  <c r="C18" i="47"/>
  <c r="C19" i="47"/>
  <c r="C20" i="47"/>
  <c r="C21" i="47"/>
  <c r="C22" i="47"/>
  <c r="A17" i="47"/>
  <c r="A18" i="47"/>
  <c r="A19" i="47"/>
  <c r="B19" i="47"/>
  <c r="A20" i="47"/>
  <c r="B20" i="47"/>
  <c r="A21" i="47"/>
  <c r="B21" i="47"/>
  <c r="A22" i="47"/>
  <c r="B22" i="47"/>
  <c r="C5" i="49"/>
  <c r="C6" i="49"/>
  <c r="C7" i="49"/>
  <c r="C8" i="49"/>
  <c r="C9" i="49"/>
  <c r="C10" i="49"/>
  <c r="C11" i="49"/>
  <c r="C12" i="49"/>
  <c r="C13" i="49"/>
  <c r="C14" i="49"/>
  <c r="C15" i="49"/>
  <c r="C16" i="49"/>
  <c r="C17" i="49"/>
  <c r="C18" i="49"/>
  <c r="C19" i="49"/>
  <c r="C20" i="49"/>
  <c r="C21" i="49"/>
  <c r="C22" i="49"/>
  <c r="A1" i="47"/>
  <c r="D4" i="47"/>
  <c r="C4" i="47"/>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BA10" i="70" l="1"/>
  <c r="CX11" i="70"/>
  <c r="P11" i="70" s="1"/>
  <c r="Q11" i="70" s="1"/>
  <c r="CX10" i="70"/>
  <c r="P10" i="70" s="1"/>
  <c r="CA10" i="70"/>
  <c r="O10" i="70" s="1"/>
  <c r="BV11" i="73"/>
  <c r="BY11" i="73"/>
  <c r="AN11" i="73"/>
  <c r="AO11" i="73"/>
  <c r="CU11" i="73"/>
  <c r="CN11" i="73"/>
  <c r="BR11" i="73"/>
  <c r="AW11" i="73"/>
  <c r="AJ11" i="73"/>
  <c r="BB11" i="73" s="1"/>
  <c r="CV11" i="73"/>
  <c r="CP11" i="73"/>
  <c r="BU11" i="73"/>
  <c r="CD11" i="73"/>
  <c r="BM11" i="73"/>
  <c r="AP11" i="73"/>
  <c r="AS11" i="73"/>
  <c r="BZ11" i="73"/>
  <c r="CR11" i="73"/>
  <c r="AX11" i="73"/>
  <c r="BI11" i="73"/>
  <c r="CH11" i="73"/>
  <c r="AG11" i="73"/>
  <c r="CG12" i="73"/>
  <c r="CI12" i="73"/>
  <c r="CJ12" i="73"/>
  <c r="CK12" i="73"/>
  <c r="CL12" i="73"/>
  <c r="CQ12" i="73"/>
  <c r="CM12" i="73"/>
  <c r="CI12" i="68"/>
  <c r="CG12" i="68"/>
  <c r="CJ12" i="68"/>
  <c r="CK12" i="68"/>
  <c r="CL12" i="68"/>
  <c r="CQ12" i="68"/>
  <c r="CM12" i="68"/>
  <c r="CJ12" i="71"/>
  <c r="CK12" i="71"/>
  <c r="CQ12" i="71"/>
  <c r="CM12" i="71"/>
  <c r="CI12" i="71"/>
  <c r="CI12" i="69"/>
  <c r="CJ12" i="69"/>
  <c r="CK12" i="69"/>
  <c r="CL12" i="69"/>
  <c r="CQ12" i="69"/>
  <c r="CM12" i="69"/>
  <c r="CG12" i="69"/>
  <c r="CI13" i="67"/>
  <c r="CQ13" i="67"/>
  <c r="CM13" i="67"/>
  <c r="CJ13" i="67"/>
  <c r="CK13" i="67"/>
  <c r="CI11" i="72"/>
  <c r="CJ11" i="72"/>
  <c r="CK11" i="72"/>
  <c r="CL11" i="72"/>
  <c r="CM11" i="72"/>
  <c r="CG11" i="72"/>
  <c r="CQ11" i="72"/>
  <c r="CI13" i="70"/>
  <c r="CQ13" i="70"/>
  <c r="CK13" i="70"/>
  <c r="CL13" i="70"/>
  <c r="CM13" i="70"/>
  <c r="CG13" i="70"/>
  <c r="CJ13" i="70"/>
  <c r="CT11" i="73"/>
  <c r="CK11" i="73"/>
  <c r="CG11" i="73"/>
  <c r="CI11" i="73"/>
  <c r="CL11" i="73"/>
  <c r="CM11" i="73"/>
  <c r="CQ11" i="73"/>
  <c r="CJ11" i="73"/>
  <c r="CI13" i="66"/>
  <c r="CG13" i="66"/>
  <c r="CQ13" i="66"/>
  <c r="CJ13" i="66"/>
  <c r="CK13" i="66"/>
  <c r="CL13" i="66"/>
  <c r="CM13" i="66"/>
  <c r="CI12" i="65"/>
  <c r="CJ12" i="65"/>
  <c r="CK12" i="65"/>
  <c r="CL12" i="65"/>
  <c r="CG12" i="65"/>
  <c r="CM12" i="65"/>
  <c r="CQ12" i="65"/>
  <c r="CI12" i="64"/>
  <c r="CL12" i="64"/>
  <c r="CM12" i="64"/>
  <c r="CG12" i="64"/>
  <c r="CQ12" i="64"/>
  <c r="CJ12" i="64"/>
  <c r="CK12" i="64"/>
  <c r="CI12" i="63"/>
  <c r="CJ12" i="63"/>
  <c r="CK12" i="63"/>
  <c r="CL12" i="63"/>
  <c r="CM12" i="63"/>
  <c r="CG12" i="63"/>
  <c r="CQ12" i="63"/>
  <c r="BB10" i="67"/>
  <c r="CW11" i="73"/>
  <c r="AM11" i="73"/>
  <c r="BT11" i="73"/>
  <c r="D11" i="73"/>
  <c r="AL11" i="73"/>
  <c r="AU11" i="73"/>
  <c r="CS11" i="73"/>
  <c r="BB10" i="65"/>
  <c r="BA10" i="65"/>
  <c r="N10" i="65" s="1"/>
  <c r="CX10" i="67"/>
  <c r="P10" i="67" s="1"/>
  <c r="BA10" i="67"/>
  <c r="N10" i="67" s="1"/>
  <c r="CA10" i="67"/>
  <c r="O10" i="67" s="1"/>
  <c r="F25" i="50"/>
  <c r="I45" i="63"/>
  <c r="C5" i="50" s="1"/>
  <c r="C24" i="50" s="1"/>
  <c r="CX12" i="70"/>
  <c r="P12" i="70" s="1"/>
  <c r="Q10" i="73"/>
  <c r="Q11" i="67"/>
  <c r="I46" i="71"/>
  <c r="C13" i="50" s="1"/>
  <c r="C50" i="50" s="1"/>
  <c r="I46" i="73"/>
  <c r="C15" i="50" s="1"/>
  <c r="C52" i="50" s="1"/>
  <c r="I46" i="66"/>
  <c r="C8" i="50" s="1"/>
  <c r="C33" i="50" s="1"/>
  <c r="I45" i="70"/>
  <c r="C12" i="50" s="1"/>
  <c r="C43" i="50" s="1"/>
  <c r="I46" i="69"/>
  <c r="C11" i="50" s="1"/>
  <c r="C42" i="50" s="1"/>
  <c r="I43" i="68"/>
  <c r="C10" i="50" s="1"/>
  <c r="C41" i="50" s="1"/>
  <c r="I46" i="64"/>
  <c r="C6" i="50" s="1"/>
  <c r="C25" i="50" s="1"/>
  <c r="I46" i="67"/>
  <c r="C9" i="50" s="1"/>
  <c r="C34" i="50" s="1"/>
  <c r="I45" i="65"/>
  <c r="C7" i="50" s="1"/>
  <c r="C32" i="50" s="1"/>
  <c r="I45" i="72"/>
  <c r="C14" i="50" s="1"/>
  <c r="C51" i="50" s="1"/>
  <c r="A14" i="73"/>
  <c r="B13" i="73"/>
  <c r="CW12" i="73"/>
  <c r="CV12" i="73"/>
  <c r="CN12" i="73"/>
  <c r="CF12" i="73"/>
  <c r="BX12" i="73"/>
  <c r="BP12" i="73"/>
  <c r="CS12" i="73"/>
  <c r="BR12" i="73"/>
  <c r="BI12" i="73"/>
  <c r="AS12" i="73"/>
  <c r="AK12" i="73"/>
  <c r="D12" i="73"/>
  <c r="CR12" i="73"/>
  <c r="BZ12" i="73"/>
  <c r="BQ12" i="73"/>
  <c r="BH12" i="73"/>
  <c r="AZ12" i="73"/>
  <c r="AR12" i="73"/>
  <c r="AJ12" i="73"/>
  <c r="CH12" i="73"/>
  <c r="BY12" i="73"/>
  <c r="BO12" i="73"/>
  <c r="BG12" i="73"/>
  <c r="AY12" i="73"/>
  <c r="AQ12" i="73"/>
  <c r="AI12" i="73"/>
  <c r="CP12" i="73"/>
  <c r="BW12" i="73"/>
  <c r="BN12" i="73"/>
  <c r="AX12" i="73"/>
  <c r="AP12" i="73"/>
  <c r="AH12" i="73"/>
  <c r="CO12" i="73"/>
  <c r="CE12" i="73"/>
  <c r="BV12" i="73"/>
  <c r="BM12" i="73"/>
  <c r="AW12" i="73"/>
  <c r="AO12" i="73"/>
  <c r="AG12" i="73"/>
  <c r="CD12" i="73"/>
  <c r="BU12" i="73"/>
  <c r="BL12" i="73"/>
  <c r="AV12" i="73"/>
  <c r="AN12" i="73"/>
  <c r="CU12" i="73"/>
  <c r="BT12" i="73"/>
  <c r="BK12" i="73"/>
  <c r="AU12" i="73"/>
  <c r="AM12" i="73"/>
  <c r="CT12" i="73"/>
  <c r="BS12" i="73"/>
  <c r="BJ12" i="73"/>
  <c r="AT12" i="73"/>
  <c r="AL12" i="73"/>
  <c r="Q9" i="73"/>
  <c r="CV11" i="72"/>
  <c r="CN11" i="72"/>
  <c r="CF11" i="72"/>
  <c r="BX11" i="72"/>
  <c r="BP11" i="72"/>
  <c r="BH11" i="72"/>
  <c r="AZ11" i="72"/>
  <c r="AR11" i="72"/>
  <c r="AJ11" i="72"/>
  <c r="CU11" i="72"/>
  <c r="CE11" i="72"/>
  <c r="BW11" i="72"/>
  <c r="BO11" i="72"/>
  <c r="BG11" i="72"/>
  <c r="AY11" i="72"/>
  <c r="AQ11" i="72"/>
  <c r="AI11" i="72"/>
  <c r="CT11" i="72"/>
  <c r="CD11" i="72"/>
  <c r="BV11" i="72"/>
  <c r="BN11" i="72"/>
  <c r="AX11" i="72"/>
  <c r="AP11" i="72"/>
  <c r="AH11" i="72"/>
  <c r="CS11" i="72"/>
  <c r="BU11" i="72"/>
  <c r="BM11" i="72"/>
  <c r="AW11" i="72"/>
  <c r="AO11" i="72"/>
  <c r="AG11" i="72"/>
  <c r="CR11" i="72"/>
  <c r="BT11" i="72"/>
  <c r="BL11" i="72"/>
  <c r="AV11" i="72"/>
  <c r="AN11" i="72"/>
  <c r="BS11" i="72"/>
  <c r="BK11" i="72"/>
  <c r="AU11" i="72"/>
  <c r="AM11" i="72"/>
  <c r="CP11" i="72"/>
  <c r="CH11" i="72"/>
  <c r="BZ11" i="72"/>
  <c r="BR11" i="72"/>
  <c r="BJ11" i="72"/>
  <c r="AT11" i="72"/>
  <c r="AL11" i="72"/>
  <c r="CW11" i="72"/>
  <c r="CO11" i="72"/>
  <c r="BY11" i="72"/>
  <c r="BQ11" i="72"/>
  <c r="BI11" i="72"/>
  <c r="AS11" i="72"/>
  <c r="AK11" i="72"/>
  <c r="D11" i="72"/>
  <c r="BB10" i="72"/>
  <c r="BA10" i="72"/>
  <c r="B12" i="72"/>
  <c r="A13" i="72"/>
  <c r="B13" i="71"/>
  <c r="A14" i="71"/>
  <c r="BB11" i="71"/>
  <c r="BA11" i="71"/>
  <c r="CU12" i="71"/>
  <c r="CE12" i="71"/>
  <c r="BW12" i="71"/>
  <c r="BG12" i="71"/>
  <c r="AY12" i="71"/>
  <c r="AQ12" i="71"/>
  <c r="AI12" i="71"/>
  <c r="CT12" i="71"/>
  <c r="CD12" i="71"/>
  <c r="BV12" i="71"/>
  <c r="BN12" i="71"/>
  <c r="AX12" i="71"/>
  <c r="AP12" i="71"/>
  <c r="AH12" i="71"/>
  <c r="CS12" i="71"/>
  <c r="BU12" i="71"/>
  <c r="BM12" i="71"/>
  <c r="AW12" i="71"/>
  <c r="AO12" i="71"/>
  <c r="AG12" i="71"/>
  <c r="CR12" i="71"/>
  <c r="BL12" i="71"/>
  <c r="AV12" i="71"/>
  <c r="AN12" i="71"/>
  <c r="CF12" i="71"/>
  <c r="BR12" i="71"/>
  <c r="AS12" i="71"/>
  <c r="BQ12" i="71"/>
  <c r="AR12" i="71"/>
  <c r="CP12" i="71"/>
  <c r="BP12" i="71"/>
  <c r="AM12" i="71"/>
  <c r="CO12" i="71"/>
  <c r="BK12" i="71"/>
  <c r="AL12" i="71"/>
  <c r="CN12" i="71"/>
  <c r="BZ12" i="71"/>
  <c r="AK12" i="71"/>
  <c r="BI12" i="71"/>
  <c r="AZ12" i="71"/>
  <c r="AJ12" i="71"/>
  <c r="CH12" i="71"/>
  <c r="BX12" i="71"/>
  <c r="BH12" i="71"/>
  <c r="AU12" i="71"/>
  <c r="CW12" i="71"/>
  <c r="BS12" i="71"/>
  <c r="AT12" i="71"/>
  <c r="D12" i="71"/>
  <c r="BB12" i="70"/>
  <c r="BA12" i="70"/>
  <c r="N12" i="70" s="1"/>
  <c r="BS13" i="70"/>
  <c r="BK13" i="70"/>
  <c r="AU13" i="70"/>
  <c r="AM13" i="70"/>
  <c r="CP13" i="70"/>
  <c r="CH13" i="70"/>
  <c r="BZ13" i="70"/>
  <c r="BR13" i="70"/>
  <c r="BJ13" i="70"/>
  <c r="AT13" i="70"/>
  <c r="AL13" i="70"/>
  <c r="CT13" i="70"/>
  <c r="BX13" i="70"/>
  <c r="BN13" i="70"/>
  <c r="AS13" i="70"/>
  <c r="AI13" i="70"/>
  <c r="CS13" i="70"/>
  <c r="BW13" i="70"/>
  <c r="BM13" i="70"/>
  <c r="AR13" i="70"/>
  <c r="AH13" i="70"/>
  <c r="CR13" i="70"/>
  <c r="CF13" i="70"/>
  <c r="BV13" i="70"/>
  <c r="BL13" i="70"/>
  <c r="AQ13" i="70"/>
  <c r="AG13" i="70"/>
  <c r="CO13" i="70"/>
  <c r="CE13" i="70"/>
  <c r="BU13" i="70"/>
  <c r="BI13" i="70"/>
  <c r="AZ13" i="70"/>
  <c r="AP13" i="70"/>
  <c r="CN13" i="70"/>
  <c r="CD13" i="70"/>
  <c r="BT13" i="70"/>
  <c r="BH13" i="70"/>
  <c r="AY13" i="70"/>
  <c r="AO13" i="70"/>
  <c r="D13" i="70"/>
  <c r="CW13" i="70"/>
  <c r="BQ13" i="70"/>
  <c r="BG13" i="70"/>
  <c r="AX13" i="70"/>
  <c r="AN13" i="70"/>
  <c r="CV13" i="70"/>
  <c r="BP13" i="70"/>
  <c r="AW13" i="70"/>
  <c r="AK13" i="70"/>
  <c r="CU13" i="70"/>
  <c r="BY13" i="70"/>
  <c r="BO13" i="70"/>
  <c r="AV13" i="70"/>
  <c r="AJ13" i="70"/>
  <c r="CA12" i="70"/>
  <c r="B14" i="70"/>
  <c r="A15" i="70"/>
  <c r="N10" i="70"/>
  <c r="N10" i="69"/>
  <c r="BB11" i="69"/>
  <c r="BA11" i="69"/>
  <c r="N11" i="69" s="1"/>
  <c r="A14" i="69"/>
  <c r="B13" i="69"/>
  <c r="CP12" i="69"/>
  <c r="CH12" i="69"/>
  <c r="BZ12" i="69"/>
  <c r="BR12" i="69"/>
  <c r="BJ12" i="69"/>
  <c r="AT12" i="69"/>
  <c r="AL12" i="69"/>
  <c r="CW12" i="69"/>
  <c r="CO12" i="69"/>
  <c r="BY12" i="69"/>
  <c r="BQ12" i="69"/>
  <c r="BI12" i="69"/>
  <c r="AS12" i="69"/>
  <c r="AK12" i="69"/>
  <c r="D12" i="69"/>
  <c r="CV12" i="69"/>
  <c r="CN12" i="69"/>
  <c r="CF12" i="69"/>
  <c r="BX12" i="69"/>
  <c r="BP12" i="69"/>
  <c r="BH12" i="69"/>
  <c r="AZ12" i="69"/>
  <c r="AR12" i="69"/>
  <c r="AJ12" i="69"/>
  <c r="CU12" i="69"/>
  <c r="CE12" i="69"/>
  <c r="BW12" i="69"/>
  <c r="BO12" i="69"/>
  <c r="BG12" i="69"/>
  <c r="AY12" i="69"/>
  <c r="AQ12" i="69"/>
  <c r="AI12" i="69"/>
  <c r="CT12" i="69"/>
  <c r="CD12" i="69"/>
  <c r="BV12" i="69"/>
  <c r="BN12" i="69"/>
  <c r="AX12" i="69"/>
  <c r="AP12" i="69"/>
  <c r="AH12" i="69"/>
  <c r="CS12" i="69"/>
  <c r="BU12" i="69"/>
  <c r="BM12" i="69"/>
  <c r="AW12" i="69"/>
  <c r="AO12" i="69"/>
  <c r="AG12" i="69"/>
  <c r="CR12" i="69"/>
  <c r="BT12" i="69"/>
  <c r="BL12" i="69"/>
  <c r="AV12" i="69"/>
  <c r="AN12" i="69"/>
  <c r="AU12" i="69"/>
  <c r="AM12" i="69"/>
  <c r="BS12" i="69"/>
  <c r="BK12" i="69"/>
  <c r="CR12" i="68"/>
  <c r="BT12" i="68"/>
  <c r="BL12" i="68"/>
  <c r="AV12" i="68"/>
  <c r="AN12" i="68"/>
  <c r="BS12" i="68"/>
  <c r="BK12" i="68"/>
  <c r="AU12" i="68"/>
  <c r="AM12" i="68"/>
  <c r="CS12" i="68"/>
  <c r="BX12" i="68"/>
  <c r="BN12" i="68"/>
  <c r="AT12" i="68"/>
  <c r="AJ12" i="68"/>
  <c r="CP12" i="68"/>
  <c r="CF12" i="68"/>
  <c r="BW12" i="68"/>
  <c r="BM12" i="68"/>
  <c r="AS12" i="68"/>
  <c r="AI12" i="68"/>
  <c r="CN12" i="68"/>
  <c r="BO12" i="68"/>
  <c r="AQ12" i="68"/>
  <c r="D12" i="68"/>
  <c r="BZ12" i="68"/>
  <c r="BJ12" i="68"/>
  <c r="AP12" i="68"/>
  <c r="BY12" i="68"/>
  <c r="BI12" i="68"/>
  <c r="AO12" i="68"/>
  <c r="CW12" i="68"/>
  <c r="BV12" i="68"/>
  <c r="BH12" i="68"/>
  <c r="AZ12" i="68"/>
  <c r="AL12" i="68"/>
  <c r="CV12" i="68"/>
  <c r="CH12" i="68"/>
  <c r="BU12" i="68"/>
  <c r="BG12" i="68"/>
  <c r="AY12" i="68"/>
  <c r="AK12" i="68"/>
  <c r="CU12" i="68"/>
  <c r="CE12" i="68"/>
  <c r="BR12" i="68"/>
  <c r="AX12" i="68"/>
  <c r="AH12" i="68"/>
  <c r="CT12" i="68"/>
  <c r="CD12" i="68"/>
  <c r="BQ12" i="68"/>
  <c r="AW12" i="68"/>
  <c r="AG12" i="68"/>
  <c r="CO12" i="68"/>
  <c r="BP12" i="68"/>
  <c r="AR12" i="68"/>
  <c r="B13" i="68"/>
  <c r="A14" i="68"/>
  <c r="N9" i="68"/>
  <c r="BB11" i="68"/>
  <c r="BA11" i="68"/>
  <c r="N11" i="68" s="1"/>
  <c r="CR13" i="67"/>
  <c r="BL13" i="67"/>
  <c r="AV13" i="67"/>
  <c r="AN13" i="67"/>
  <c r="BS13" i="67"/>
  <c r="BK13" i="67"/>
  <c r="AU13" i="67"/>
  <c r="AM13" i="67"/>
  <c r="CP13" i="67"/>
  <c r="CH13" i="67"/>
  <c r="BZ13" i="67"/>
  <c r="BR13" i="67"/>
  <c r="AT13" i="67"/>
  <c r="AL13" i="67"/>
  <c r="CW13" i="67"/>
  <c r="CO13" i="67"/>
  <c r="BY13" i="67"/>
  <c r="BQ13" i="67"/>
  <c r="BI13" i="67"/>
  <c r="AS13" i="67"/>
  <c r="AK13" i="67"/>
  <c r="D13" i="67"/>
  <c r="CS13" i="67"/>
  <c r="CT13" i="67"/>
  <c r="BM13" i="67"/>
  <c r="AY13" i="67"/>
  <c r="AI13" i="67"/>
  <c r="CN13" i="67"/>
  <c r="BX13" i="67"/>
  <c r="BH13" i="67"/>
  <c r="AX13" i="67"/>
  <c r="AH13" i="67"/>
  <c r="BW13" i="67"/>
  <c r="BG13" i="67"/>
  <c r="AW13" i="67"/>
  <c r="AG13" i="67"/>
  <c r="BV13" i="67"/>
  <c r="AR13" i="67"/>
  <c r="CF13" i="67"/>
  <c r="BU13" i="67"/>
  <c r="AQ13" i="67"/>
  <c r="CE13" i="67"/>
  <c r="BP13" i="67"/>
  <c r="AP13" i="67"/>
  <c r="CV13" i="67"/>
  <c r="CD13" i="67"/>
  <c r="AO13" i="67"/>
  <c r="CU13" i="67"/>
  <c r="BN13" i="67"/>
  <c r="AZ13" i="67"/>
  <c r="AJ13" i="67"/>
  <c r="A15" i="67"/>
  <c r="B14" i="67"/>
  <c r="BB12" i="67"/>
  <c r="BA12" i="67"/>
  <c r="N12" i="67" s="1"/>
  <c r="Y11" i="67" s="1"/>
  <c r="Q9" i="67"/>
  <c r="N10" i="66"/>
  <c r="CT13" i="66"/>
  <c r="BV13" i="66"/>
  <c r="BN13" i="66"/>
  <c r="AX13" i="66"/>
  <c r="AP13" i="66"/>
  <c r="AH13" i="66"/>
  <c r="CS13" i="66"/>
  <c r="BU13" i="66"/>
  <c r="BM13" i="66"/>
  <c r="AW13" i="66"/>
  <c r="AO13" i="66"/>
  <c r="AG13" i="66"/>
  <c r="CU13" i="66"/>
  <c r="BZ13" i="66"/>
  <c r="BP13" i="66"/>
  <c r="AV13" i="66"/>
  <c r="AL13" i="66"/>
  <c r="CR13" i="66"/>
  <c r="CH13" i="66"/>
  <c r="BY13" i="66"/>
  <c r="BO13" i="66"/>
  <c r="AU13" i="66"/>
  <c r="AK13" i="66"/>
  <c r="BX13" i="66"/>
  <c r="AT13" i="66"/>
  <c r="AJ13" i="66"/>
  <c r="CP13" i="66"/>
  <c r="CF13" i="66"/>
  <c r="BW13" i="66"/>
  <c r="BK13" i="66"/>
  <c r="AS13" i="66"/>
  <c r="AI13" i="66"/>
  <c r="CO13" i="66"/>
  <c r="CE13" i="66"/>
  <c r="BT13" i="66"/>
  <c r="BJ13" i="66"/>
  <c r="AR13" i="66"/>
  <c r="CN13" i="66"/>
  <c r="BS13" i="66"/>
  <c r="BI13" i="66"/>
  <c r="AQ13" i="66"/>
  <c r="CW13" i="66"/>
  <c r="BR13" i="66"/>
  <c r="BH13" i="66"/>
  <c r="AZ13" i="66"/>
  <c r="AN13" i="66"/>
  <c r="D13" i="66"/>
  <c r="CV13" i="66"/>
  <c r="BQ13" i="66"/>
  <c r="AY13" i="66"/>
  <c r="AM13" i="66"/>
  <c r="B14" i="66"/>
  <c r="A15" i="66"/>
  <c r="CA12" i="66"/>
  <c r="BB12" i="66"/>
  <c r="BA12" i="66"/>
  <c r="N12" i="66" s="1"/>
  <c r="Y11" i="66" s="1"/>
  <c r="BB11" i="65"/>
  <c r="BA11" i="65"/>
  <c r="N11" i="65" s="1"/>
  <c r="CR12" i="65"/>
  <c r="BT12" i="65"/>
  <c r="BL12" i="65"/>
  <c r="AV12" i="65"/>
  <c r="AN12" i="65"/>
  <c r="BS12" i="65"/>
  <c r="AU12" i="65"/>
  <c r="AM12" i="65"/>
  <c r="CP12" i="65"/>
  <c r="BZ12" i="65"/>
  <c r="BR12" i="65"/>
  <c r="BJ12" i="65"/>
  <c r="AT12" i="65"/>
  <c r="AL12" i="65"/>
  <c r="CW12" i="65"/>
  <c r="CO12" i="65"/>
  <c r="BY12" i="65"/>
  <c r="BQ12" i="65"/>
  <c r="BI12" i="65"/>
  <c r="AS12" i="65"/>
  <c r="AK12" i="65"/>
  <c r="D12" i="65"/>
  <c r="CV12" i="65"/>
  <c r="CN12" i="65"/>
  <c r="CF12" i="65"/>
  <c r="BX12" i="65"/>
  <c r="BP12" i="65"/>
  <c r="BH12" i="65"/>
  <c r="AZ12" i="65"/>
  <c r="AR12" i="65"/>
  <c r="AJ12" i="65"/>
  <c r="CU12" i="65"/>
  <c r="CE12" i="65"/>
  <c r="BW12" i="65"/>
  <c r="BO12" i="65"/>
  <c r="BG12" i="65"/>
  <c r="AY12" i="65"/>
  <c r="AQ12" i="65"/>
  <c r="AI12" i="65"/>
  <c r="CT12" i="65"/>
  <c r="CD12" i="65"/>
  <c r="BV12" i="65"/>
  <c r="BN12" i="65"/>
  <c r="AX12" i="65"/>
  <c r="AP12" i="65"/>
  <c r="AH12" i="65"/>
  <c r="CS12" i="65"/>
  <c r="BU12" i="65"/>
  <c r="BM12" i="65"/>
  <c r="AW12" i="65"/>
  <c r="AO12" i="65"/>
  <c r="AG12" i="65"/>
  <c r="A14" i="65"/>
  <c r="B13" i="65"/>
  <c r="Q10" i="64"/>
  <c r="BB11" i="64"/>
  <c r="BA11" i="64"/>
  <c r="N11" i="64" s="1"/>
  <c r="CS12" i="64"/>
  <c r="BU12" i="64"/>
  <c r="BM12" i="64"/>
  <c r="AW12" i="64"/>
  <c r="AO12" i="64"/>
  <c r="AG12" i="64"/>
  <c r="CR12" i="64"/>
  <c r="BT12" i="64"/>
  <c r="BL12" i="64"/>
  <c r="AV12" i="64"/>
  <c r="AN12" i="64"/>
  <c r="CU12" i="64"/>
  <c r="BQ12" i="64"/>
  <c r="BG12" i="64"/>
  <c r="AY12" i="64"/>
  <c r="AM12" i="64"/>
  <c r="CT12" i="64"/>
  <c r="CH12" i="64"/>
  <c r="BZ12" i="64"/>
  <c r="BP12" i="64"/>
  <c r="AX12" i="64"/>
  <c r="AL12" i="64"/>
  <c r="BY12" i="64"/>
  <c r="BO12" i="64"/>
  <c r="AU12" i="64"/>
  <c r="AK12" i="64"/>
  <c r="CP12" i="64"/>
  <c r="CF12" i="64"/>
  <c r="BX12" i="64"/>
  <c r="BN12" i="64"/>
  <c r="AT12" i="64"/>
  <c r="AJ12" i="64"/>
  <c r="CO12" i="64"/>
  <c r="BW12" i="64"/>
  <c r="BK12" i="64"/>
  <c r="AS12" i="64"/>
  <c r="AI12" i="64"/>
  <c r="CN12" i="64"/>
  <c r="CD12" i="64"/>
  <c r="BV12" i="64"/>
  <c r="BJ12" i="64"/>
  <c r="AR12" i="64"/>
  <c r="AH12" i="64"/>
  <c r="CW12" i="64"/>
  <c r="BS12" i="64"/>
  <c r="BI12" i="64"/>
  <c r="AQ12" i="64"/>
  <c r="CV12" i="64"/>
  <c r="BR12" i="64"/>
  <c r="AZ12" i="64"/>
  <c r="AP12" i="64"/>
  <c r="D12" i="64"/>
  <c r="B13" i="64"/>
  <c r="A14" i="64"/>
  <c r="Q9" i="64"/>
  <c r="B13" i="63"/>
  <c r="A14" i="63"/>
  <c r="CV12" i="63"/>
  <c r="CN12" i="63"/>
  <c r="CF12" i="63"/>
  <c r="BX12" i="63"/>
  <c r="BP12" i="63"/>
  <c r="BH12" i="63"/>
  <c r="AZ12" i="63"/>
  <c r="AR12" i="63"/>
  <c r="AJ12" i="63"/>
  <c r="CU12" i="63"/>
  <c r="CE12" i="63"/>
  <c r="BW12" i="63"/>
  <c r="BO12" i="63"/>
  <c r="BG12" i="63"/>
  <c r="AY12" i="63"/>
  <c r="AQ12" i="63"/>
  <c r="AI12" i="63"/>
  <c r="CT12" i="63"/>
  <c r="CD12" i="63"/>
  <c r="BV12" i="63"/>
  <c r="BN12" i="63"/>
  <c r="AX12" i="63"/>
  <c r="AP12" i="63"/>
  <c r="AH12" i="63"/>
  <c r="BM12" i="63"/>
  <c r="AW12" i="63"/>
  <c r="AO12" i="63"/>
  <c r="AG12" i="63"/>
  <c r="CS12" i="63"/>
  <c r="BU12" i="63"/>
  <c r="CR12" i="63"/>
  <c r="BT12" i="63"/>
  <c r="BL12" i="63"/>
  <c r="AV12" i="63"/>
  <c r="AN12" i="63"/>
  <c r="BS12" i="63"/>
  <c r="BK12" i="63"/>
  <c r="AU12" i="63"/>
  <c r="AM12" i="63"/>
  <c r="CP12" i="63"/>
  <c r="CH12" i="63"/>
  <c r="BZ12" i="63"/>
  <c r="BR12" i="63"/>
  <c r="BJ12" i="63"/>
  <c r="AT12" i="63"/>
  <c r="CW12" i="63"/>
  <c r="CO12" i="63"/>
  <c r="BY12" i="63"/>
  <c r="BQ12" i="63"/>
  <c r="BI12" i="63"/>
  <c r="AL12" i="63"/>
  <c r="AK12" i="63"/>
  <c r="AS12" i="63"/>
  <c r="D12" i="63"/>
  <c r="CA11" i="63"/>
  <c r="BB11" i="63"/>
  <c r="BA11" i="63"/>
  <c r="CA11" i="73" l="1"/>
  <c r="O11" i="73" s="1"/>
  <c r="CI13" i="71"/>
  <c r="CM13" i="71"/>
  <c r="CQ13" i="71"/>
  <c r="CJ13" i="71"/>
  <c r="CK13" i="71"/>
  <c r="CL13" i="71"/>
  <c r="CG13" i="71"/>
  <c r="CI13" i="69"/>
  <c r="CG13" i="69"/>
  <c r="CQ13" i="69"/>
  <c r="CJ13" i="69"/>
  <c r="CK13" i="69"/>
  <c r="CL13" i="69"/>
  <c r="CM13" i="69"/>
  <c r="CI14" i="70"/>
  <c r="CQ14" i="70"/>
  <c r="CJ14" i="70"/>
  <c r="CK14" i="70"/>
  <c r="CL14" i="70"/>
  <c r="CM14" i="70"/>
  <c r="CG14" i="70"/>
  <c r="CQ12" i="72"/>
  <c r="CI12" i="72"/>
  <c r="CJ12" i="72"/>
  <c r="CK12" i="72"/>
  <c r="CL12" i="72"/>
  <c r="CG12" i="72"/>
  <c r="CM12" i="72"/>
  <c r="CI14" i="67"/>
  <c r="CK14" i="67"/>
  <c r="CQ14" i="67"/>
  <c r="CJ14" i="67"/>
  <c r="CL14" i="67"/>
  <c r="CG14" i="67"/>
  <c r="CK13" i="73"/>
  <c r="CL13" i="73"/>
  <c r="CM13" i="73"/>
  <c r="CG13" i="73"/>
  <c r="CI13" i="73"/>
  <c r="CQ13" i="73"/>
  <c r="CJ13" i="73"/>
  <c r="CI13" i="68"/>
  <c r="CK13" i="68"/>
  <c r="CL13" i="68"/>
  <c r="CM13" i="68"/>
  <c r="CG13" i="68"/>
  <c r="CQ13" i="68"/>
  <c r="CJ13" i="68"/>
  <c r="CI14" i="66"/>
  <c r="CK14" i="66"/>
  <c r="CJ14" i="66"/>
  <c r="CL14" i="66"/>
  <c r="CM14" i="66"/>
  <c r="CQ14" i="66"/>
  <c r="CG14" i="66"/>
  <c r="CI13" i="65"/>
  <c r="CG13" i="65"/>
  <c r="CJ13" i="65"/>
  <c r="CQ13" i="65"/>
  <c r="CK13" i="65"/>
  <c r="CL13" i="65"/>
  <c r="CM13" i="65"/>
  <c r="CI13" i="64"/>
  <c r="CJ13" i="64"/>
  <c r="CK13" i="64"/>
  <c r="CL13" i="64"/>
  <c r="CG13" i="64"/>
  <c r="CM13" i="64"/>
  <c r="CQ13" i="64"/>
  <c r="CI13" i="63"/>
  <c r="CJ13" i="63"/>
  <c r="CK13" i="63"/>
  <c r="CL13" i="63"/>
  <c r="CM13" i="63"/>
  <c r="CG13" i="63"/>
  <c r="CQ13" i="63"/>
  <c r="BA11" i="73"/>
  <c r="N11" i="73" s="1"/>
  <c r="CX11" i="73"/>
  <c r="P11" i="73" s="1"/>
  <c r="Q10" i="67"/>
  <c r="C53" i="50"/>
  <c r="F34" i="50"/>
  <c r="F35" i="50" s="1"/>
  <c r="C35" i="50"/>
  <c r="C44" i="50"/>
  <c r="CX12" i="69"/>
  <c r="P12" i="69" s="1"/>
  <c r="CX12" i="73"/>
  <c r="P12" i="73" s="1"/>
  <c r="CX12" i="68"/>
  <c r="P12" i="68" s="1"/>
  <c r="CX13" i="70"/>
  <c r="P13" i="70" s="1"/>
  <c r="BB12" i="73"/>
  <c r="BA12" i="73"/>
  <c r="N12" i="73" s="1"/>
  <c r="CA12" i="73"/>
  <c r="CS13" i="73"/>
  <c r="BU13" i="73"/>
  <c r="BM13" i="73"/>
  <c r="AW13" i="73"/>
  <c r="AO13" i="73"/>
  <c r="AG13" i="73"/>
  <c r="CR13" i="73"/>
  <c r="BT13" i="73"/>
  <c r="BL13" i="73"/>
  <c r="AV13" i="73"/>
  <c r="AN13" i="73"/>
  <c r="BS13" i="73"/>
  <c r="BK13" i="73"/>
  <c r="AU13" i="73"/>
  <c r="AM13" i="73"/>
  <c r="CP13" i="73"/>
  <c r="CH13" i="73"/>
  <c r="BZ13" i="73"/>
  <c r="BR13" i="73"/>
  <c r="BJ13" i="73"/>
  <c r="AT13" i="73"/>
  <c r="AL13" i="73"/>
  <c r="BX13" i="73"/>
  <c r="BH13" i="73"/>
  <c r="AY13" i="73"/>
  <c r="AI13" i="73"/>
  <c r="CW13" i="73"/>
  <c r="BW13" i="73"/>
  <c r="BG13" i="73"/>
  <c r="AX13" i="73"/>
  <c r="AH13" i="73"/>
  <c r="D13" i="73"/>
  <c r="CV13" i="73"/>
  <c r="CF13" i="73"/>
  <c r="BV13" i="73"/>
  <c r="AS13" i="73"/>
  <c r="CU13" i="73"/>
  <c r="CE13" i="73"/>
  <c r="BQ13" i="73"/>
  <c r="AR13" i="73"/>
  <c r="CT13" i="73"/>
  <c r="CD13" i="73"/>
  <c r="BP13" i="73"/>
  <c r="AQ13" i="73"/>
  <c r="CO13" i="73"/>
  <c r="BO13" i="73"/>
  <c r="AP13" i="73"/>
  <c r="CN13" i="73"/>
  <c r="BN13" i="73"/>
  <c r="AK13" i="73"/>
  <c r="BY13" i="73"/>
  <c r="BI13" i="73"/>
  <c r="AZ13" i="73"/>
  <c r="AJ13" i="73"/>
  <c r="B14" i="73"/>
  <c r="A15" i="73"/>
  <c r="N10" i="72"/>
  <c r="CA11" i="72"/>
  <c r="O11" i="72" s="1"/>
  <c r="A14" i="72"/>
  <c r="B13" i="72"/>
  <c r="BS12" i="72"/>
  <c r="BK12" i="72"/>
  <c r="AU12" i="72"/>
  <c r="AM12" i="72"/>
  <c r="CP12" i="72"/>
  <c r="CH12" i="72"/>
  <c r="BZ12" i="72"/>
  <c r="BR12" i="72"/>
  <c r="BJ12" i="72"/>
  <c r="AT12" i="72"/>
  <c r="AL12" i="72"/>
  <c r="CW12" i="72"/>
  <c r="CO12" i="72"/>
  <c r="BY12" i="72"/>
  <c r="BQ12" i="72"/>
  <c r="BI12" i="72"/>
  <c r="AS12" i="72"/>
  <c r="AK12" i="72"/>
  <c r="D12" i="72"/>
  <c r="CV12" i="72"/>
  <c r="CN12" i="72"/>
  <c r="CF12" i="72"/>
  <c r="BX12" i="72"/>
  <c r="BP12" i="72"/>
  <c r="BH12" i="72"/>
  <c r="AZ12" i="72"/>
  <c r="AR12" i="72"/>
  <c r="AJ12" i="72"/>
  <c r="CU12" i="72"/>
  <c r="CE12" i="72"/>
  <c r="BW12" i="72"/>
  <c r="BO12" i="72"/>
  <c r="BG12" i="72"/>
  <c r="AY12" i="72"/>
  <c r="AQ12" i="72"/>
  <c r="AI12" i="72"/>
  <c r="CT12" i="72"/>
  <c r="CD12" i="72"/>
  <c r="BV12" i="72"/>
  <c r="BN12" i="72"/>
  <c r="AX12" i="72"/>
  <c r="AP12" i="72"/>
  <c r="AH12" i="72"/>
  <c r="CS12" i="72"/>
  <c r="BU12" i="72"/>
  <c r="BM12" i="72"/>
  <c r="AW12" i="72"/>
  <c r="AO12" i="72"/>
  <c r="AG12" i="72"/>
  <c r="CR12" i="72"/>
  <c r="BT12" i="72"/>
  <c r="BL12" i="72"/>
  <c r="AV12" i="72"/>
  <c r="AN12" i="72"/>
  <c r="BB11" i="72"/>
  <c r="BA11" i="72"/>
  <c r="N11" i="72" s="1"/>
  <c r="BB12" i="71"/>
  <c r="BA12" i="71"/>
  <c r="N12" i="71" s="1"/>
  <c r="N11" i="71"/>
  <c r="A15" i="71"/>
  <c r="B14" i="71"/>
  <c r="CP13" i="71"/>
  <c r="CH13" i="71"/>
  <c r="BZ13" i="71"/>
  <c r="BR13" i="71"/>
  <c r="BJ13" i="71"/>
  <c r="AT13" i="71"/>
  <c r="AL13" i="71"/>
  <c r="CW13" i="71"/>
  <c r="CO13" i="71"/>
  <c r="BY13" i="71"/>
  <c r="BQ13" i="71"/>
  <c r="BI13" i="71"/>
  <c r="AS13" i="71"/>
  <c r="AK13" i="71"/>
  <c r="D13" i="71"/>
  <c r="CV13" i="71"/>
  <c r="CN13" i="71"/>
  <c r="CF13" i="71"/>
  <c r="BX13" i="71"/>
  <c r="BP13" i="71"/>
  <c r="BH13" i="71"/>
  <c r="AZ13" i="71"/>
  <c r="AR13" i="71"/>
  <c r="AJ13" i="71"/>
  <c r="CU13" i="71"/>
  <c r="CE13" i="71"/>
  <c r="BW13" i="71"/>
  <c r="BO13" i="71"/>
  <c r="BG13" i="71"/>
  <c r="AY13" i="71"/>
  <c r="AQ13" i="71"/>
  <c r="AI13" i="71"/>
  <c r="CT13" i="71"/>
  <c r="CD13" i="71"/>
  <c r="BV13" i="71"/>
  <c r="BN13" i="71"/>
  <c r="AX13" i="71"/>
  <c r="CS13" i="71"/>
  <c r="BU13" i="71"/>
  <c r="BM13" i="71"/>
  <c r="AW13" i="71"/>
  <c r="CR13" i="71"/>
  <c r="BT13" i="71"/>
  <c r="BL13" i="71"/>
  <c r="AV13" i="71"/>
  <c r="AN13" i="71"/>
  <c r="BK13" i="71"/>
  <c r="AM13" i="71"/>
  <c r="AH13" i="71"/>
  <c r="AG13" i="71"/>
  <c r="AU13" i="71"/>
  <c r="AP13" i="71"/>
  <c r="BS13" i="71"/>
  <c r="AO13" i="71"/>
  <c r="CT14" i="70"/>
  <c r="CD14" i="70"/>
  <c r="BV14" i="70"/>
  <c r="BN14" i="70"/>
  <c r="AX14" i="70"/>
  <c r="AP14" i="70"/>
  <c r="AH14" i="70"/>
  <c r="CS14" i="70"/>
  <c r="BU14" i="70"/>
  <c r="BM14" i="70"/>
  <c r="AW14" i="70"/>
  <c r="AO14" i="70"/>
  <c r="AG14" i="70"/>
  <c r="CN14" i="70"/>
  <c r="BS14" i="70"/>
  <c r="BI14" i="70"/>
  <c r="AQ14" i="70"/>
  <c r="CW14" i="70"/>
  <c r="BR14" i="70"/>
  <c r="BH14" i="70"/>
  <c r="AZ14" i="70"/>
  <c r="AN14" i="70"/>
  <c r="D14" i="70"/>
  <c r="CV14" i="70"/>
  <c r="BQ14" i="70"/>
  <c r="BG14" i="70"/>
  <c r="AY14" i="70"/>
  <c r="AM14" i="70"/>
  <c r="CU14" i="70"/>
  <c r="BZ14" i="70"/>
  <c r="BP14" i="70"/>
  <c r="AV14" i="70"/>
  <c r="AL14" i="70"/>
  <c r="CR14" i="70"/>
  <c r="CH14" i="70"/>
  <c r="BY14" i="70"/>
  <c r="BO14" i="70"/>
  <c r="AU14" i="70"/>
  <c r="AK14" i="70"/>
  <c r="BX14" i="70"/>
  <c r="BL14" i="70"/>
  <c r="AT14" i="70"/>
  <c r="AJ14" i="70"/>
  <c r="CP14" i="70"/>
  <c r="CF14" i="70"/>
  <c r="BW14" i="70"/>
  <c r="BK14" i="70"/>
  <c r="AS14" i="70"/>
  <c r="AI14" i="70"/>
  <c r="CO14" i="70"/>
  <c r="CE14" i="70"/>
  <c r="BT14" i="70"/>
  <c r="BJ14" i="70"/>
  <c r="AR14" i="70"/>
  <c r="BB13" i="70"/>
  <c r="BA13" i="70"/>
  <c r="Q10" i="70"/>
  <c r="O12" i="70"/>
  <c r="Q12" i="70" s="1"/>
  <c r="B15" i="70"/>
  <c r="A16" i="70"/>
  <c r="CA13" i="70"/>
  <c r="O13" i="70" s="1"/>
  <c r="CA12" i="69"/>
  <c r="O12" i="69" s="1"/>
  <c r="B14" i="69"/>
  <c r="A15" i="69"/>
  <c r="BB12" i="69"/>
  <c r="BA12" i="69"/>
  <c r="N12" i="69" s="1"/>
  <c r="CS13" i="69"/>
  <c r="BU13" i="69"/>
  <c r="BM13" i="69"/>
  <c r="AW13" i="69"/>
  <c r="AO13" i="69"/>
  <c r="AG13" i="69"/>
  <c r="CR13" i="69"/>
  <c r="BT13" i="69"/>
  <c r="BL13" i="69"/>
  <c r="AV13" i="69"/>
  <c r="AN13" i="69"/>
  <c r="BS13" i="69"/>
  <c r="BK13" i="69"/>
  <c r="AU13" i="69"/>
  <c r="AM13" i="69"/>
  <c r="CP13" i="69"/>
  <c r="CH13" i="69"/>
  <c r="BZ13" i="69"/>
  <c r="BR13" i="69"/>
  <c r="BJ13" i="69"/>
  <c r="AT13" i="69"/>
  <c r="AL13" i="69"/>
  <c r="CW13" i="69"/>
  <c r="CO13" i="69"/>
  <c r="BY13" i="69"/>
  <c r="BQ13" i="69"/>
  <c r="BI13" i="69"/>
  <c r="AS13" i="69"/>
  <c r="AK13" i="69"/>
  <c r="D13" i="69"/>
  <c r="CV13" i="69"/>
  <c r="CN13" i="69"/>
  <c r="CF13" i="69"/>
  <c r="BX13" i="69"/>
  <c r="BP13" i="69"/>
  <c r="BH13" i="69"/>
  <c r="AZ13" i="69"/>
  <c r="AR13" i="69"/>
  <c r="AJ13" i="69"/>
  <c r="CU13" i="69"/>
  <c r="CE13" i="69"/>
  <c r="BW13" i="69"/>
  <c r="BO13" i="69"/>
  <c r="BG13" i="69"/>
  <c r="AY13" i="69"/>
  <c r="AQ13" i="69"/>
  <c r="AI13" i="69"/>
  <c r="CD13" i="69"/>
  <c r="AX13" i="69"/>
  <c r="AP13" i="69"/>
  <c r="BV13" i="69"/>
  <c r="AH13" i="69"/>
  <c r="BN13" i="69"/>
  <c r="CT13" i="69"/>
  <c r="B14" i="68"/>
  <c r="A15" i="68"/>
  <c r="CA12" i="68"/>
  <c r="O12" i="68" s="1"/>
  <c r="CU13" i="68"/>
  <c r="CE13" i="68"/>
  <c r="BW13" i="68"/>
  <c r="BO13" i="68"/>
  <c r="BG13" i="68"/>
  <c r="AY13" i="68"/>
  <c r="AQ13" i="68"/>
  <c r="AI13" i="68"/>
  <c r="CT13" i="68"/>
  <c r="CD13" i="68"/>
  <c r="BV13" i="68"/>
  <c r="BN13" i="68"/>
  <c r="AX13" i="68"/>
  <c r="AP13" i="68"/>
  <c r="AH13" i="68"/>
  <c r="CO13" i="68"/>
  <c r="BS13" i="68"/>
  <c r="BI13" i="68"/>
  <c r="AZ13" i="68"/>
  <c r="AN13" i="68"/>
  <c r="CN13" i="68"/>
  <c r="BR13" i="68"/>
  <c r="BH13" i="68"/>
  <c r="AW13" i="68"/>
  <c r="AM13" i="68"/>
  <c r="D13" i="68"/>
  <c r="CR13" i="68"/>
  <c r="CF13" i="68"/>
  <c r="BT13" i="68"/>
  <c r="AS13" i="68"/>
  <c r="BQ13" i="68"/>
  <c r="AR13" i="68"/>
  <c r="CP13" i="68"/>
  <c r="BP13" i="68"/>
  <c r="AO13" i="68"/>
  <c r="BM13" i="68"/>
  <c r="AL13" i="68"/>
  <c r="BZ13" i="68"/>
  <c r="BL13" i="68"/>
  <c r="AK13" i="68"/>
  <c r="CW13" i="68"/>
  <c r="BY13" i="68"/>
  <c r="BK13" i="68"/>
  <c r="AV13" i="68"/>
  <c r="AJ13" i="68"/>
  <c r="CV13" i="68"/>
  <c r="CH13" i="68"/>
  <c r="BX13" i="68"/>
  <c r="BJ13" i="68"/>
  <c r="AU13" i="68"/>
  <c r="AG13" i="68"/>
  <c r="CS13" i="68"/>
  <c r="BU13" i="68"/>
  <c r="AT13" i="68"/>
  <c r="BB12" i="68"/>
  <c r="BA12" i="68"/>
  <c r="N12" i="68" s="1"/>
  <c r="Y12" i="68" s="1"/>
  <c r="CU14" i="67"/>
  <c r="CE14" i="67"/>
  <c r="BW14" i="67"/>
  <c r="BO14" i="67"/>
  <c r="BG14" i="67"/>
  <c r="AY14" i="67"/>
  <c r="AQ14" i="67"/>
  <c r="AI14" i="67"/>
  <c r="CT14" i="67"/>
  <c r="CD14" i="67"/>
  <c r="BV14" i="67"/>
  <c r="BN14" i="67"/>
  <c r="AX14" i="67"/>
  <c r="AP14" i="67"/>
  <c r="AH14" i="67"/>
  <c r="CS14" i="67"/>
  <c r="BM14" i="67"/>
  <c r="AW14" i="67"/>
  <c r="AO14" i="67"/>
  <c r="AG14" i="67"/>
  <c r="BT14" i="67"/>
  <c r="BL14" i="67"/>
  <c r="AV14" i="67"/>
  <c r="AN14" i="67"/>
  <c r="BS14" i="67"/>
  <c r="AU14" i="67"/>
  <c r="AM14" i="67"/>
  <c r="CP14" i="67"/>
  <c r="BZ14" i="67"/>
  <c r="BR14" i="67"/>
  <c r="BJ14" i="67"/>
  <c r="AT14" i="67"/>
  <c r="AL14" i="67"/>
  <c r="CW14" i="67"/>
  <c r="CO14" i="67"/>
  <c r="BY14" i="67"/>
  <c r="BQ14" i="67"/>
  <c r="BI14" i="67"/>
  <c r="AS14" i="67"/>
  <c r="AK14" i="67"/>
  <c r="CV14" i="67"/>
  <c r="CN14" i="67"/>
  <c r="CF14" i="67"/>
  <c r="BX14" i="67"/>
  <c r="BH14" i="67"/>
  <c r="AZ14" i="67"/>
  <c r="AR14" i="67"/>
  <c r="AJ14" i="67"/>
  <c r="D14" i="67"/>
  <c r="BB13" i="67"/>
  <c r="BA13" i="67"/>
  <c r="B15" i="67"/>
  <c r="A16" i="67"/>
  <c r="A16" i="66"/>
  <c r="B15" i="66"/>
  <c r="CW14" i="66"/>
  <c r="CO14" i="66"/>
  <c r="BY14" i="66"/>
  <c r="BQ14" i="66"/>
  <c r="BI14" i="66"/>
  <c r="AS14" i="66"/>
  <c r="AK14" i="66"/>
  <c r="D14" i="66"/>
  <c r="CV14" i="66"/>
  <c r="CN14" i="66"/>
  <c r="CF14" i="66"/>
  <c r="BX14" i="66"/>
  <c r="BP14" i="66"/>
  <c r="AZ14" i="66"/>
  <c r="AR14" i="66"/>
  <c r="AJ14" i="66"/>
  <c r="CR14" i="66"/>
  <c r="CH14" i="66"/>
  <c r="BV14" i="66"/>
  <c r="BL14" i="66"/>
  <c r="AP14" i="66"/>
  <c r="BU14" i="66"/>
  <c r="BK14" i="66"/>
  <c r="AY14" i="66"/>
  <c r="AO14" i="66"/>
  <c r="CP14" i="66"/>
  <c r="CD14" i="66"/>
  <c r="BT14" i="66"/>
  <c r="BJ14" i="66"/>
  <c r="AX14" i="66"/>
  <c r="AN14" i="66"/>
  <c r="BS14" i="66"/>
  <c r="BG14" i="66"/>
  <c r="AW14" i="66"/>
  <c r="AM14" i="66"/>
  <c r="BR14" i="66"/>
  <c r="AV14" i="66"/>
  <c r="AL14" i="66"/>
  <c r="CU14" i="66"/>
  <c r="BO14" i="66"/>
  <c r="AU14" i="66"/>
  <c r="AI14" i="66"/>
  <c r="CT14" i="66"/>
  <c r="BZ14" i="66"/>
  <c r="BN14" i="66"/>
  <c r="AT14" i="66"/>
  <c r="AH14" i="66"/>
  <c r="CS14" i="66"/>
  <c r="BW14" i="66"/>
  <c r="AQ14" i="66"/>
  <c r="AG14" i="66"/>
  <c r="O12" i="66"/>
  <c r="BB13" i="66"/>
  <c r="BA13" i="66"/>
  <c r="N13" i="66" s="1"/>
  <c r="CU13" i="65"/>
  <c r="CE13" i="65"/>
  <c r="BW13" i="65"/>
  <c r="BO13" i="65"/>
  <c r="BG13" i="65"/>
  <c r="AY13" i="65"/>
  <c r="AQ13" i="65"/>
  <c r="AI13" i="65"/>
  <c r="CT13" i="65"/>
  <c r="CD13" i="65"/>
  <c r="BV13" i="65"/>
  <c r="BN13" i="65"/>
  <c r="AX13" i="65"/>
  <c r="AP13" i="65"/>
  <c r="AH13" i="65"/>
  <c r="CS13" i="65"/>
  <c r="BU13" i="65"/>
  <c r="BM13" i="65"/>
  <c r="AW13" i="65"/>
  <c r="AO13" i="65"/>
  <c r="AG13" i="65"/>
  <c r="CR13" i="65"/>
  <c r="BT13" i="65"/>
  <c r="BL13" i="65"/>
  <c r="AV13" i="65"/>
  <c r="AN13" i="65"/>
  <c r="BS13" i="65"/>
  <c r="BK13" i="65"/>
  <c r="AU13" i="65"/>
  <c r="AM13" i="65"/>
  <c r="CP13" i="65"/>
  <c r="CH13" i="65"/>
  <c r="BZ13" i="65"/>
  <c r="BR13" i="65"/>
  <c r="BJ13" i="65"/>
  <c r="AT13" i="65"/>
  <c r="AL13" i="65"/>
  <c r="CW13" i="65"/>
  <c r="CO13" i="65"/>
  <c r="BY13" i="65"/>
  <c r="BQ13" i="65"/>
  <c r="BI13" i="65"/>
  <c r="AS13" i="65"/>
  <c r="AK13" i="65"/>
  <c r="D13" i="65"/>
  <c r="CV13" i="65"/>
  <c r="CN13" i="65"/>
  <c r="CF13" i="65"/>
  <c r="BX13" i="65"/>
  <c r="BP13" i="65"/>
  <c r="BH13" i="65"/>
  <c r="AZ13" i="65"/>
  <c r="AR13" i="65"/>
  <c r="AJ13" i="65"/>
  <c r="B14" i="65"/>
  <c r="A15" i="65"/>
  <c r="BB12" i="65"/>
  <c r="BA12" i="65"/>
  <c r="BB12" i="64"/>
  <c r="BA12" i="64"/>
  <c r="B14" i="64"/>
  <c r="A15" i="64"/>
  <c r="CV13" i="64"/>
  <c r="CN13" i="64"/>
  <c r="BX13" i="64"/>
  <c r="BP13" i="64"/>
  <c r="BH13" i="64"/>
  <c r="AZ13" i="64"/>
  <c r="AR13" i="64"/>
  <c r="AJ13" i="64"/>
  <c r="CU13" i="64"/>
  <c r="CE13" i="64"/>
  <c r="BW13" i="64"/>
  <c r="BO13" i="64"/>
  <c r="BG13" i="64"/>
  <c r="AY13" i="64"/>
  <c r="AQ13" i="64"/>
  <c r="AI13" i="64"/>
  <c r="CR13" i="64"/>
  <c r="CH13" i="64"/>
  <c r="BV13" i="64"/>
  <c r="BL13" i="64"/>
  <c r="AP13" i="64"/>
  <c r="BU13" i="64"/>
  <c r="BK13" i="64"/>
  <c r="AO13" i="64"/>
  <c r="CP13" i="64"/>
  <c r="CD13" i="64"/>
  <c r="BT13" i="64"/>
  <c r="BJ13" i="64"/>
  <c r="AX13" i="64"/>
  <c r="AN13" i="64"/>
  <c r="CO13" i="64"/>
  <c r="BS13" i="64"/>
  <c r="AW13" i="64"/>
  <c r="AM13" i="64"/>
  <c r="D13" i="64"/>
  <c r="BR13" i="64"/>
  <c r="AV13" i="64"/>
  <c r="AL13" i="64"/>
  <c r="CW13" i="64"/>
  <c r="BQ13" i="64"/>
  <c r="AU13" i="64"/>
  <c r="AK13" i="64"/>
  <c r="CT13" i="64"/>
  <c r="BZ13" i="64"/>
  <c r="BN13" i="64"/>
  <c r="AT13" i="64"/>
  <c r="AH13" i="64"/>
  <c r="CS13" i="64"/>
  <c r="BY13" i="64"/>
  <c r="BM13" i="64"/>
  <c r="AS13" i="64"/>
  <c r="AG13" i="64"/>
  <c r="O11" i="63"/>
  <c r="CA12" i="63"/>
  <c r="O12" i="63" s="1"/>
  <c r="A15" i="63"/>
  <c r="B14" i="63"/>
  <c r="BB12" i="63"/>
  <c r="BA12" i="63"/>
  <c r="N12" i="63" s="1"/>
  <c r="BS13" i="63"/>
  <c r="BK13" i="63"/>
  <c r="AU13" i="63"/>
  <c r="AM13" i="63"/>
  <c r="CP13" i="63"/>
  <c r="CH13" i="63"/>
  <c r="BZ13" i="63"/>
  <c r="BR13" i="63"/>
  <c r="BJ13" i="63"/>
  <c r="AT13" i="63"/>
  <c r="AL13" i="63"/>
  <c r="CW13" i="63"/>
  <c r="CO13" i="63"/>
  <c r="BY13" i="63"/>
  <c r="BQ13" i="63"/>
  <c r="BI13" i="63"/>
  <c r="AS13" i="63"/>
  <c r="AK13" i="63"/>
  <c r="D13" i="63"/>
  <c r="CV13" i="63"/>
  <c r="CN13" i="63"/>
  <c r="CF13" i="63"/>
  <c r="BX13" i="63"/>
  <c r="BP13" i="63"/>
  <c r="BH13" i="63"/>
  <c r="AZ13" i="63"/>
  <c r="AR13" i="63"/>
  <c r="AJ13" i="63"/>
  <c r="CU13" i="63"/>
  <c r="CE13" i="63"/>
  <c r="BW13" i="63"/>
  <c r="BO13" i="63"/>
  <c r="AY13" i="63"/>
  <c r="AQ13" i="63"/>
  <c r="AI13" i="63"/>
  <c r="CT13" i="63"/>
  <c r="BV13" i="63"/>
  <c r="BN13" i="63"/>
  <c r="AX13" i="63"/>
  <c r="AP13" i="63"/>
  <c r="AH13" i="63"/>
  <c r="CS13" i="63"/>
  <c r="BU13" i="63"/>
  <c r="BM13" i="63"/>
  <c r="AW13" i="63"/>
  <c r="AO13" i="63"/>
  <c r="AG13" i="63"/>
  <c r="CR13" i="63"/>
  <c r="BT13" i="63"/>
  <c r="BL13" i="63"/>
  <c r="AV13" i="63"/>
  <c r="AN13" i="63"/>
  <c r="N11" i="63"/>
  <c r="Y11" i="63" s="1"/>
  <c r="CI15" i="70" l="1"/>
  <c r="CK15" i="70"/>
  <c r="CG15" i="70"/>
  <c r="CL15" i="70"/>
  <c r="CQ15" i="70"/>
  <c r="CM15" i="70"/>
  <c r="CJ15" i="70"/>
  <c r="CI14" i="71"/>
  <c r="CJ14" i="71"/>
  <c r="CK14" i="71"/>
  <c r="CL14" i="71"/>
  <c r="CM14" i="71"/>
  <c r="CQ14" i="71"/>
  <c r="CG14" i="71"/>
  <c r="CJ14" i="68"/>
  <c r="CG14" i="68"/>
  <c r="CK14" i="68"/>
  <c r="CL14" i="68"/>
  <c r="CM14" i="68"/>
  <c r="CQ14" i="68"/>
  <c r="CQ14" i="73"/>
  <c r="CJ14" i="73"/>
  <c r="CG14" i="73"/>
  <c r="CI14" i="73"/>
  <c r="CK14" i="73"/>
  <c r="CL14" i="73"/>
  <c r="CM14" i="73"/>
  <c r="CJ14" i="69"/>
  <c r="CK14" i="69"/>
  <c r="CG14" i="69"/>
  <c r="CL14" i="69"/>
  <c r="CM14" i="69"/>
  <c r="CQ14" i="69"/>
  <c r="CI15" i="67"/>
  <c r="CQ15" i="67"/>
  <c r="CL15" i="67"/>
  <c r="CJ15" i="67"/>
  <c r="CK15" i="67"/>
  <c r="CM15" i="67"/>
  <c r="CG15" i="67"/>
  <c r="CJ13" i="72"/>
  <c r="CQ13" i="72"/>
  <c r="CK13" i="72"/>
  <c r="CI13" i="72"/>
  <c r="CL13" i="72"/>
  <c r="CM13" i="72"/>
  <c r="CG13" i="72"/>
  <c r="CI15" i="66"/>
  <c r="CG15" i="66"/>
  <c r="CJ15" i="66"/>
  <c r="CK15" i="66"/>
  <c r="CM15" i="66"/>
  <c r="CQ15" i="66"/>
  <c r="CL15" i="66"/>
  <c r="CI14" i="65"/>
  <c r="CJ14" i="65"/>
  <c r="CK14" i="65"/>
  <c r="CL14" i="65"/>
  <c r="CM14" i="65"/>
  <c r="CG14" i="65"/>
  <c r="CQ14" i="65"/>
  <c r="CI14" i="64"/>
  <c r="CL14" i="64"/>
  <c r="CM14" i="64"/>
  <c r="CJ14" i="64"/>
  <c r="CK14" i="64"/>
  <c r="CQ14" i="64"/>
  <c r="CI14" i="63"/>
  <c r="CJ14" i="63"/>
  <c r="CK14" i="63"/>
  <c r="CL14" i="63"/>
  <c r="CM14" i="63"/>
  <c r="CG14" i="63"/>
  <c r="CQ14" i="63"/>
  <c r="CX13" i="65"/>
  <c r="P13" i="65" s="1"/>
  <c r="CX13" i="69"/>
  <c r="P13" i="69" s="1"/>
  <c r="CX13" i="71"/>
  <c r="P13" i="71" s="1"/>
  <c r="CX13" i="73"/>
  <c r="P13" i="73" s="1"/>
  <c r="CX13" i="68"/>
  <c r="P13" i="68" s="1"/>
  <c r="CX14" i="70"/>
  <c r="P14" i="70" s="1"/>
  <c r="Q12" i="69"/>
  <c r="Q12" i="68"/>
  <c r="B15" i="73"/>
  <c r="A16" i="73"/>
  <c r="CA13" i="73"/>
  <c r="O13" i="73" s="1"/>
  <c r="O12" i="73"/>
  <c r="BB13" i="73"/>
  <c r="BA13" i="73"/>
  <c r="N13" i="73" s="1"/>
  <c r="Q11" i="73"/>
  <c r="CV14" i="73"/>
  <c r="CN14" i="73"/>
  <c r="CF14" i="73"/>
  <c r="BX14" i="73"/>
  <c r="BP14" i="73"/>
  <c r="BH14" i="73"/>
  <c r="AZ14" i="73"/>
  <c r="AR14" i="73"/>
  <c r="AJ14" i="73"/>
  <c r="CU14" i="73"/>
  <c r="CE14" i="73"/>
  <c r="BW14" i="73"/>
  <c r="BO14" i="73"/>
  <c r="BG14" i="73"/>
  <c r="AY14" i="73"/>
  <c r="AQ14" i="73"/>
  <c r="AI14" i="73"/>
  <c r="CT14" i="73"/>
  <c r="CD14" i="73"/>
  <c r="BV14" i="73"/>
  <c r="BN14" i="73"/>
  <c r="AX14" i="73"/>
  <c r="AP14" i="73"/>
  <c r="AH14" i="73"/>
  <c r="CS14" i="73"/>
  <c r="BU14" i="73"/>
  <c r="BM14" i="73"/>
  <c r="AW14" i="73"/>
  <c r="AO14" i="73"/>
  <c r="AG14" i="73"/>
  <c r="CH14" i="73"/>
  <c r="BS14" i="73"/>
  <c r="AS14" i="73"/>
  <c r="CW14" i="73"/>
  <c r="BR14" i="73"/>
  <c r="AN14" i="73"/>
  <c r="CR14" i="73"/>
  <c r="BQ14" i="73"/>
  <c r="AM14" i="73"/>
  <c r="BL14" i="73"/>
  <c r="AL14" i="73"/>
  <c r="CP14" i="73"/>
  <c r="BK14" i="73"/>
  <c r="AK14" i="73"/>
  <c r="CO14" i="73"/>
  <c r="BZ14" i="73"/>
  <c r="BJ14" i="73"/>
  <c r="AV14" i="73"/>
  <c r="BY14" i="73"/>
  <c r="BI14" i="73"/>
  <c r="AU14" i="73"/>
  <c r="BT14" i="73"/>
  <c r="AT14" i="73"/>
  <c r="D14" i="73"/>
  <c r="CV13" i="72"/>
  <c r="CN13" i="72"/>
  <c r="CF13" i="72"/>
  <c r="BX13" i="72"/>
  <c r="BP13" i="72"/>
  <c r="BH13" i="72"/>
  <c r="AZ13" i="72"/>
  <c r="CT13" i="72"/>
  <c r="CD13" i="72"/>
  <c r="BV13" i="72"/>
  <c r="BN13" i="72"/>
  <c r="CR13" i="72"/>
  <c r="BT13" i="72"/>
  <c r="CW13" i="72"/>
  <c r="CO13" i="72"/>
  <c r="BY13" i="72"/>
  <c r="CU13" i="72"/>
  <c r="CE13" i="72"/>
  <c r="BR13" i="72"/>
  <c r="BG13" i="72"/>
  <c r="AX13" i="72"/>
  <c r="AP13" i="72"/>
  <c r="AH13" i="72"/>
  <c r="CS13" i="72"/>
  <c r="BQ13" i="72"/>
  <c r="AW13" i="72"/>
  <c r="AO13" i="72"/>
  <c r="AG13" i="72"/>
  <c r="BO13" i="72"/>
  <c r="AV13" i="72"/>
  <c r="AN13" i="72"/>
  <c r="CP13" i="72"/>
  <c r="BM13" i="72"/>
  <c r="AU13" i="72"/>
  <c r="AM13" i="72"/>
  <c r="BZ13" i="72"/>
  <c r="BL13" i="72"/>
  <c r="AT13" i="72"/>
  <c r="AL13" i="72"/>
  <c r="BW13" i="72"/>
  <c r="BK13" i="72"/>
  <c r="AS13" i="72"/>
  <c r="AK13" i="72"/>
  <c r="D13" i="72"/>
  <c r="BU13" i="72"/>
  <c r="BJ13" i="72"/>
  <c r="AR13" i="72"/>
  <c r="AJ13" i="72"/>
  <c r="CH13" i="72"/>
  <c r="BS13" i="72"/>
  <c r="BI13" i="72"/>
  <c r="AY13" i="72"/>
  <c r="AQ13" i="72"/>
  <c r="AI13" i="72"/>
  <c r="A15" i="72"/>
  <c r="B14" i="72"/>
  <c r="BB12" i="72"/>
  <c r="BA12" i="72"/>
  <c r="N12" i="72" s="1"/>
  <c r="CA12" i="72"/>
  <c r="O12" i="72" s="1"/>
  <c r="BB13" i="71"/>
  <c r="BA13" i="71"/>
  <c r="N13" i="71" s="1"/>
  <c r="B15" i="71"/>
  <c r="A16" i="71"/>
  <c r="CA13" i="71"/>
  <c r="O13" i="71" s="1"/>
  <c r="CT14" i="71"/>
  <c r="CS14" i="71"/>
  <c r="CV14" i="71"/>
  <c r="BU14" i="71"/>
  <c r="BM14" i="71"/>
  <c r="AW14" i="71"/>
  <c r="AO14" i="71"/>
  <c r="AG14" i="71"/>
  <c r="CU14" i="71"/>
  <c r="BT14" i="71"/>
  <c r="BL14" i="71"/>
  <c r="AV14" i="71"/>
  <c r="AN14" i="71"/>
  <c r="CR14" i="71"/>
  <c r="BS14" i="71"/>
  <c r="BK14" i="71"/>
  <c r="AU14" i="71"/>
  <c r="AM14" i="71"/>
  <c r="CH14" i="71"/>
  <c r="BZ14" i="71"/>
  <c r="BR14" i="71"/>
  <c r="BJ14" i="71"/>
  <c r="AT14" i="71"/>
  <c r="AL14" i="71"/>
  <c r="CP14" i="71"/>
  <c r="BY14" i="71"/>
  <c r="BQ14" i="71"/>
  <c r="BI14" i="71"/>
  <c r="AS14" i="71"/>
  <c r="AK14" i="71"/>
  <c r="D14" i="71"/>
  <c r="CO14" i="71"/>
  <c r="CF14" i="71"/>
  <c r="BX14" i="71"/>
  <c r="BP14" i="71"/>
  <c r="BH14" i="71"/>
  <c r="AZ14" i="71"/>
  <c r="AR14" i="71"/>
  <c r="AJ14" i="71"/>
  <c r="CN14" i="71"/>
  <c r="CE14" i="71"/>
  <c r="BW14" i="71"/>
  <c r="BO14" i="71"/>
  <c r="BG14" i="71"/>
  <c r="AY14" i="71"/>
  <c r="AQ14" i="71"/>
  <c r="AI14" i="71"/>
  <c r="CW14" i="71"/>
  <c r="CD14" i="71"/>
  <c r="BV14" i="71"/>
  <c r="BN14" i="71"/>
  <c r="AX14" i="71"/>
  <c r="AP14" i="71"/>
  <c r="AH14" i="71"/>
  <c r="BB14" i="70"/>
  <c r="BA14" i="70"/>
  <c r="N14" i="70" s="1"/>
  <c r="CA14" i="70"/>
  <c r="N13" i="70"/>
  <c r="A17" i="70"/>
  <c r="B16" i="70"/>
  <c r="CW15" i="70"/>
  <c r="CO15" i="70"/>
  <c r="BY15" i="70"/>
  <c r="BQ15" i="70"/>
  <c r="BI15" i="70"/>
  <c r="AS15" i="70"/>
  <c r="AK15" i="70"/>
  <c r="D15" i="70"/>
  <c r="CV15" i="70"/>
  <c r="CN15" i="70"/>
  <c r="CF15" i="70"/>
  <c r="BX15" i="70"/>
  <c r="BP15" i="70"/>
  <c r="BH15" i="70"/>
  <c r="AZ15" i="70"/>
  <c r="AR15" i="70"/>
  <c r="AJ15" i="70"/>
  <c r="CU15" i="70"/>
  <c r="BO15" i="70"/>
  <c r="AU15" i="70"/>
  <c r="AI15" i="70"/>
  <c r="CT15" i="70"/>
  <c r="BZ15" i="70"/>
  <c r="BN15" i="70"/>
  <c r="AT15" i="70"/>
  <c r="AH15" i="70"/>
  <c r="CS15" i="70"/>
  <c r="BW15" i="70"/>
  <c r="BM15" i="70"/>
  <c r="AQ15" i="70"/>
  <c r="AG15" i="70"/>
  <c r="CR15" i="70"/>
  <c r="CH15" i="70"/>
  <c r="BV15" i="70"/>
  <c r="BL15" i="70"/>
  <c r="AP15" i="70"/>
  <c r="CE15" i="70"/>
  <c r="BU15" i="70"/>
  <c r="BK15" i="70"/>
  <c r="AY15" i="70"/>
  <c r="AO15" i="70"/>
  <c r="CP15" i="70"/>
  <c r="CD15" i="70"/>
  <c r="BT15" i="70"/>
  <c r="BJ15" i="70"/>
  <c r="AX15" i="70"/>
  <c r="AN15" i="70"/>
  <c r="BS15" i="70"/>
  <c r="BG15" i="70"/>
  <c r="AW15" i="70"/>
  <c r="AM15" i="70"/>
  <c r="BR15" i="70"/>
  <c r="AV15" i="70"/>
  <c r="AL15" i="70"/>
  <c r="A16" i="69"/>
  <c r="B15" i="69"/>
  <c r="CV14" i="69"/>
  <c r="CF14" i="69"/>
  <c r="BX14" i="69"/>
  <c r="BP14" i="69"/>
  <c r="BH14" i="69"/>
  <c r="AZ14" i="69"/>
  <c r="AR14" i="69"/>
  <c r="AJ14" i="69"/>
  <c r="CU14" i="69"/>
  <c r="CE14" i="69"/>
  <c r="BW14" i="69"/>
  <c r="BO14" i="69"/>
  <c r="AY14" i="69"/>
  <c r="AQ14" i="69"/>
  <c r="AI14" i="69"/>
  <c r="CT14" i="69"/>
  <c r="BV14" i="69"/>
  <c r="BN14" i="69"/>
  <c r="AX14" i="69"/>
  <c r="AP14" i="69"/>
  <c r="AH14" i="69"/>
  <c r="CS14" i="69"/>
  <c r="BU14" i="69"/>
  <c r="BM14" i="69"/>
  <c r="AW14" i="69"/>
  <c r="AO14" i="69"/>
  <c r="AG14" i="69"/>
  <c r="CR14" i="69"/>
  <c r="BT14" i="69"/>
  <c r="AV14" i="69"/>
  <c r="AN14" i="69"/>
  <c r="BS14" i="69"/>
  <c r="BK14" i="69"/>
  <c r="AU14" i="69"/>
  <c r="AM14" i="69"/>
  <c r="CP14" i="69"/>
  <c r="CH14" i="69"/>
  <c r="BZ14" i="69"/>
  <c r="BR14" i="69"/>
  <c r="BJ14" i="69"/>
  <c r="AT14" i="69"/>
  <c r="AL14" i="69"/>
  <c r="CO14" i="69"/>
  <c r="BY14" i="69"/>
  <c r="AS14" i="69"/>
  <c r="AK14" i="69"/>
  <c r="D14" i="69"/>
  <c r="BI14" i="69"/>
  <c r="CW14" i="69"/>
  <c r="BB13" i="69"/>
  <c r="BA13" i="69"/>
  <c r="CA13" i="69"/>
  <c r="O13" i="69" s="1"/>
  <c r="BB13" i="68"/>
  <c r="BA13" i="68"/>
  <c r="A16" i="68"/>
  <c r="B15" i="68"/>
  <c r="CA13" i="68"/>
  <c r="CP14" i="68"/>
  <c r="CH14" i="68"/>
  <c r="BZ14" i="68"/>
  <c r="BR14" i="68"/>
  <c r="BJ14" i="68"/>
  <c r="AT14" i="68"/>
  <c r="AL14" i="68"/>
  <c r="CW14" i="68"/>
  <c r="CO14" i="68"/>
  <c r="BY14" i="68"/>
  <c r="BI14" i="68"/>
  <c r="AS14" i="68"/>
  <c r="AK14" i="68"/>
  <c r="D14" i="68"/>
  <c r="CV14" i="68"/>
  <c r="BP14" i="68"/>
  <c r="AV14" i="68"/>
  <c r="AJ14" i="68"/>
  <c r="CU14" i="68"/>
  <c r="BO14" i="68"/>
  <c r="AU14" i="68"/>
  <c r="AI14" i="68"/>
  <c r="CS14" i="68"/>
  <c r="CE14" i="68"/>
  <c r="BT14" i="68"/>
  <c r="AR14" i="68"/>
  <c r="CR14" i="68"/>
  <c r="BS14" i="68"/>
  <c r="AQ14" i="68"/>
  <c r="BN14" i="68"/>
  <c r="AP14" i="68"/>
  <c r="BM14" i="68"/>
  <c r="AO14" i="68"/>
  <c r="BX14" i="68"/>
  <c r="AZ14" i="68"/>
  <c r="AN14" i="68"/>
  <c r="BW14" i="68"/>
  <c r="BK14" i="68"/>
  <c r="AY14" i="68"/>
  <c r="AM14" i="68"/>
  <c r="BV14" i="68"/>
  <c r="BH14" i="68"/>
  <c r="AX14" i="68"/>
  <c r="AH14" i="68"/>
  <c r="CT14" i="68"/>
  <c r="CF14" i="68"/>
  <c r="BU14" i="68"/>
  <c r="AW14" i="68"/>
  <c r="AG14" i="68"/>
  <c r="N13" i="67"/>
  <c r="CP15" i="67"/>
  <c r="CH15" i="67"/>
  <c r="BZ15" i="67"/>
  <c r="BR15" i="67"/>
  <c r="BJ15" i="67"/>
  <c r="AT15" i="67"/>
  <c r="AL15" i="67"/>
  <c r="CW15" i="67"/>
  <c r="CO15" i="67"/>
  <c r="BY15" i="67"/>
  <c r="BQ15" i="67"/>
  <c r="BI15" i="67"/>
  <c r="AS15" i="67"/>
  <c r="AK15" i="67"/>
  <c r="D15" i="67"/>
  <c r="CV15" i="67"/>
  <c r="CN15" i="67"/>
  <c r="CF15" i="67"/>
  <c r="BX15" i="67"/>
  <c r="BP15" i="67"/>
  <c r="BH15" i="67"/>
  <c r="AZ15" i="67"/>
  <c r="AR15" i="67"/>
  <c r="AJ15" i="67"/>
  <c r="CU15" i="67"/>
  <c r="CE15" i="67"/>
  <c r="BW15" i="67"/>
  <c r="BO15" i="67"/>
  <c r="BG15" i="67"/>
  <c r="AY15" i="67"/>
  <c r="AQ15" i="67"/>
  <c r="AI15" i="67"/>
  <c r="CT15" i="67"/>
  <c r="CD15" i="67"/>
  <c r="BV15" i="67"/>
  <c r="BN15" i="67"/>
  <c r="AX15" i="67"/>
  <c r="AP15" i="67"/>
  <c r="AH15" i="67"/>
  <c r="CS15" i="67"/>
  <c r="BU15" i="67"/>
  <c r="BM15" i="67"/>
  <c r="AW15" i="67"/>
  <c r="AO15" i="67"/>
  <c r="AG15" i="67"/>
  <c r="CR15" i="67"/>
  <c r="BT15" i="67"/>
  <c r="BL15" i="67"/>
  <c r="AV15" i="67"/>
  <c r="AN15" i="67"/>
  <c r="BS15" i="67"/>
  <c r="BK15" i="67"/>
  <c r="AU15" i="67"/>
  <c r="AM15" i="67"/>
  <c r="BB14" i="67"/>
  <c r="BA14" i="67"/>
  <c r="N14" i="67" s="1"/>
  <c r="A17" i="67"/>
  <c r="B16" i="67"/>
  <c r="BB14" i="66"/>
  <c r="BA14" i="66"/>
  <c r="N14" i="66" s="1"/>
  <c r="CS15" i="66"/>
  <c r="BU15" i="66"/>
  <c r="BM15" i="66"/>
  <c r="AW15" i="66"/>
  <c r="AO15" i="66"/>
  <c r="AG15" i="66"/>
  <c r="CR15" i="66"/>
  <c r="BT15" i="66"/>
  <c r="BL15" i="66"/>
  <c r="AV15" i="66"/>
  <c r="AN15" i="66"/>
  <c r="BS15" i="66"/>
  <c r="BK15" i="66"/>
  <c r="AU15" i="66"/>
  <c r="AM15" i="66"/>
  <c r="CP15" i="66"/>
  <c r="CH15" i="66"/>
  <c r="BZ15" i="66"/>
  <c r="BR15" i="66"/>
  <c r="BJ15" i="66"/>
  <c r="AT15" i="66"/>
  <c r="AL15" i="66"/>
  <c r="CV15" i="66"/>
  <c r="CN15" i="66"/>
  <c r="BW15" i="66"/>
  <c r="BG15" i="66"/>
  <c r="AX15" i="66"/>
  <c r="AH15" i="66"/>
  <c r="D15" i="66"/>
  <c r="BV15" i="66"/>
  <c r="AS15" i="66"/>
  <c r="CW15" i="66"/>
  <c r="CE15" i="66"/>
  <c r="BQ15" i="66"/>
  <c r="AR15" i="66"/>
  <c r="CU15" i="66"/>
  <c r="CD15" i="66"/>
  <c r="BP15" i="66"/>
  <c r="AQ15" i="66"/>
  <c r="CT15" i="66"/>
  <c r="BO15" i="66"/>
  <c r="AP15" i="66"/>
  <c r="CO15" i="66"/>
  <c r="AK15" i="66"/>
  <c r="BY15" i="66"/>
  <c r="AZ15" i="66"/>
  <c r="AJ15" i="66"/>
  <c r="BX15" i="66"/>
  <c r="BH15" i="66"/>
  <c r="AY15" i="66"/>
  <c r="AI15" i="66"/>
  <c r="B16" i="66"/>
  <c r="A17" i="66"/>
  <c r="CA13" i="65"/>
  <c r="B15" i="65"/>
  <c r="A16" i="65"/>
  <c r="CP14" i="65"/>
  <c r="CH14" i="65"/>
  <c r="BZ14" i="65"/>
  <c r="BR14" i="65"/>
  <c r="BJ14" i="65"/>
  <c r="AT14" i="65"/>
  <c r="AL14" i="65"/>
  <c r="CW14" i="65"/>
  <c r="CO14" i="65"/>
  <c r="BY14" i="65"/>
  <c r="BQ14" i="65"/>
  <c r="BI14" i="65"/>
  <c r="AS14" i="65"/>
  <c r="AK14" i="65"/>
  <c r="D14" i="65"/>
  <c r="CV14" i="65"/>
  <c r="CN14" i="65"/>
  <c r="CF14" i="65"/>
  <c r="BX14" i="65"/>
  <c r="BP14" i="65"/>
  <c r="BH14" i="65"/>
  <c r="AZ14" i="65"/>
  <c r="AR14" i="65"/>
  <c r="AJ14" i="65"/>
  <c r="CU14" i="65"/>
  <c r="CE14" i="65"/>
  <c r="BW14" i="65"/>
  <c r="BO14" i="65"/>
  <c r="BG14" i="65"/>
  <c r="AY14" i="65"/>
  <c r="AQ14" i="65"/>
  <c r="AI14" i="65"/>
  <c r="CT14" i="65"/>
  <c r="CD14" i="65"/>
  <c r="BV14" i="65"/>
  <c r="BN14" i="65"/>
  <c r="AX14" i="65"/>
  <c r="AP14" i="65"/>
  <c r="AH14" i="65"/>
  <c r="CS14" i="65"/>
  <c r="BU14" i="65"/>
  <c r="BM14" i="65"/>
  <c r="AW14" i="65"/>
  <c r="AO14" i="65"/>
  <c r="AG14" i="65"/>
  <c r="CR14" i="65"/>
  <c r="BT14" i="65"/>
  <c r="BL14" i="65"/>
  <c r="AV14" i="65"/>
  <c r="AN14" i="65"/>
  <c r="BS14" i="65"/>
  <c r="BK14" i="65"/>
  <c r="AU14" i="65"/>
  <c r="AM14" i="65"/>
  <c r="N12" i="65"/>
  <c r="BB13" i="65"/>
  <c r="BA13" i="65"/>
  <c r="N13" i="65" s="1"/>
  <c r="BS14" i="64"/>
  <c r="BK14" i="64"/>
  <c r="AU14" i="64"/>
  <c r="AM14" i="64"/>
  <c r="CP14" i="64"/>
  <c r="CH14" i="64"/>
  <c r="BZ14" i="64"/>
  <c r="BR14" i="64"/>
  <c r="AT14" i="64"/>
  <c r="AL14" i="64"/>
  <c r="CN14" i="64"/>
  <c r="CD14" i="64"/>
  <c r="BT14" i="64"/>
  <c r="BH14" i="64"/>
  <c r="AY14" i="64"/>
  <c r="AO14" i="64"/>
  <c r="D14" i="64"/>
  <c r="CW14" i="64"/>
  <c r="BQ14" i="64"/>
  <c r="BG14" i="64"/>
  <c r="AX14" i="64"/>
  <c r="AN14" i="64"/>
  <c r="CV14" i="64"/>
  <c r="BP14" i="64"/>
  <c r="AW14" i="64"/>
  <c r="AK14" i="64"/>
  <c r="CU14" i="64"/>
  <c r="BY14" i="64"/>
  <c r="BO14" i="64"/>
  <c r="AV14" i="64"/>
  <c r="AJ14" i="64"/>
  <c r="CT14" i="64"/>
  <c r="BX14" i="64"/>
  <c r="BN14" i="64"/>
  <c r="AS14" i="64"/>
  <c r="AI14" i="64"/>
  <c r="CS14" i="64"/>
  <c r="BW14" i="64"/>
  <c r="BM14" i="64"/>
  <c r="AR14" i="64"/>
  <c r="AH14" i="64"/>
  <c r="CR14" i="64"/>
  <c r="CF14" i="64"/>
  <c r="BV14" i="64"/>
  <c r="BL14" i="64"/>
  <c r="AQ14" i="64"/>
  <c r="AG14" i="64"/>
  <c r="CO14" i="64"/>
  <c r="CE14" i="64"/>
  <c r="BU14" i="64"/>
  <c r="BI14" i="64"/>
  <c r="AZ14" i="64"/>
  <c r="AP14" i="64"/>
  <c r="BB13" i="64"/>
  <c r="BA13" i="64"/>
  <c r="N13" i="64" s="1"/>
  <c r="N12" i="64"/>
  <c r="Y11" i="64" s="1"/>
  <c r="A16" i="64"/>
  <c r="B15" i="64"/>
  <c r="BB13" i="63"/>
  <c r="BA13" i="63"/>
  <c r="CT14" i="63"/>
  <c r="CD14" i="63"/>
  <c r="BV14" i="63"/>
  <c r="BN14" i="63"/>
  <c r="AX14" i="63"/>
  <c r="AP14" i="63"/>
  <c r="AH14" i="63"/>
  <c r="CS14" i="63"/>
  <c r="BU14" i="63"/>
  <c r="BM14" i="63"/>
  <c r="AW14" i="63"/>
  <c r="AO14" i="63"/>
  <c r="AG14" i="63"/>
  <c r="CR14" i="63"/>
  <c r="BT14" i="63"/>
  <c r="BL14" i="63"/>
  <c r="AV14" i="63"/>
  <c r="AN14" i="63"/>
  <c r="BS14" i="63"/>
  <c r="BK14" i="63"/>
  <c r="AU14" i="63"/>
  <c r="AM14" i="63"/>
  <c r="CP14" i="63"/>
  <c r="CH14" i="63"/>
  <c r="BZ14" i="63"/>
  <c r="BR14" i="63"/>
  <c r="BJ14" i="63"/>
  <c r="AT14" i="63"/>
  <c r="AL14" i="63"/>
  <c r="CW14" i="63"/>
  <c r="CO14" i="63"/>
  <c r="BY14" i="63"/>
  <c r="BQ14" i="63"/>
  <c r="BI14" i="63"/>
  <c r="AS14" i="63"/>
  <c r="AK14" i="63"/>
  <c r="D14" i="63"/>
  <c r="CV14" i="63"/>
  <c r="CN14" i="63"/>
  <c r="CF14" i="63"/>
  <c r="BX14" i="63"/>
  <c r="BP14" i="63"/>
  <c r="AZ14" i="63"/>
  <c r="AR14" i="63"/>
  <c r="AJ14" i="63"/>
  <c r="CU14" i="63"/>
  <c r="BW14" i="63"/>
  <c r="BO14" i="63"/>
  <c r="BG14" i="63"/>
  <c r="AY14" i="63"/>
  <c r="AQ14" i="63"/>
  <c r="AI14" i="63"/>
  <c r="B15" i="63"/>
  <c r="A16" i="63"/>
  <c r="CM15" i="71" l="1"/>
  <c r="CI15" i="71"/>
  <c r="CJ15" i="71"/>
  <c r="CK15" i="71"/>
  <c r="CQ15" i="71"/>
  <c r="CL15" i="71"/>
  <c r="CG15" i="71"/>
  <c r="CI15" i="68"/>
  <c r="CK15" i="68"/>
  <c r="CQ15" i="68"/>
  <c r="CL15" i="68"/>
  <c r="CM15" i="68"/>
  <c r="CG15" i="68"/>
  <c r="CI15" i="69"/>
  <c r="CG15" i="69"/>
  <c r="CK15" i="69"/>
  <c r="CQ15" i="69"/>
  <c r="CL15" i="69"/>
  <c r="CM15" i="69"/>
  <c r="CI16" i="70"/>
  <c r="CG16" i="70"/>
  <c r="CQ16" i="70"/>
  <c r="CJ16" i="70"/>
  <c r="CK16" i="70"/>
  <c r="CL16" i="70"/>
  <c r="CM16" i="70"/>
  <c r="CK15" i="73"/>
  <c r="CQ15" i="73"/>
  <c r="CL15" i="73"/>
  <c r="CM15" i="73"/>
  <c r="CG15" i="73"/>
  <c r="CI15" i="73"/>
  <c r="CJ15" i="73"/>
  <c r="CI16" i="67"/>
  <c r="CQ16" i="67"/>
  <c r="CK16" i="67"/>
  <c r="CL16" i="67"/>
  <c r="CG16" i="67"/>
  <c r="CM16" i="67"/>
  <c r="CJ16" i="67"/>
  <c r="CG14" i="72"/>
  <c r="CQ14" i="72"/>
  <c r="CI14" i="72"/>
  <c r="CK14" i="72"/>
  <c r="CL14" i="72"/>
  <c r="CM14" i="72"/>
  <c r="CI16" i="66"/>
  <c r="CK16" i="66"/>
  <c r="CL16" i="66"/>
  <c r="CM16" i="66"/>
  <c r="CJ16" i="66"/>
  <c r="CQ16" i="66"/>
  <c r="CI15" i="65"/>
  <c r="CJ15" i="65"/>
  <c r="CK15" i="65"/>
  <c r="CG15" i="65"/>
  <c r="CL15" i="65"/>
  <c r="CQ15" i="65"/>
  <c r="CM15" i="65"/>
  <c r="CI15" i="64"/>
  <c r="CQ15" i="64"/>
  <c r="CJ15" i="64"/>
  <c r="CK15" i="64"/>
  <c r="CL15" i="64"/>
  <c r="CG15" i="64"/>
  <c r="CM15" i="64"/>
  <c r="CI15" i="63"/>
  <c r="CJ15" i="63"/>
  <c r="CK15" i="63"/>
  <c r="CL15" i="63"/>
  <c r="CM15" i="63"/>
  <c r="CG15" i="63"/>
  <c r="CQ15" i="63"/>
  <c r="Q12" i="73"/>
  <c r="Z11" i="73"/>
  <c r="Z40" i="73" s="1"/>
  <c r="CX14" i="65"/>
  <c r="P14" i="65" s="1"/>
  <c r="CX15" i="67"/>
  <c r="P15" i="67" s="1"/>
  <c r="CX14" i="73"/>
  <c r="P14" i="73" s="1"/>
  <c r="CX15" i="70"/>
  <c r="P15" i="70" s="1"/>
  <c r="CX14" i="71"/>
  <c r="P14" i="71" s="1"/>
  <c r="Q13" i="73"/>
  <c r="BB14" i="73"/>
  <c r="BA14" i="73"/>
  <c r="N14" i="73" s="1"/>
  <c r="CA14" i="73"/>
  <c r="O14" i="73" s="1"/>
  <c r="A17" i="73"/>
  <c r="B16" i="73"/>
  <c r="BS15" i="73"/>
  <c r="BK15" i="73"/>
  <c r="AU15" i="73"/>
  <c r="AM15" i="73"/>
  <c r="CP15" i="73"/>
  <c r="CH15" i="73"/>
  <c r="BZ15" i="73"/>
  <c r="BR15" i="73"/>
  <c r="BJ15" i="73"/>
  <c r="AT15" i="73"/>
  <c r="AL15" i="73"/>
  <c r="CW15" i="73"/>
  <c r="CO15" i="73"/>
  <c r="BY15" i="73"/>
  <c r="BQ15" i="73"/>
  <c r="BI15" i="73"/>
  <c r="AS15" i="73"/>
  <c r="AK15" i="73"/>
  <c r="D15" i="73"/>
  <c r="CV15" i="73"/>
  <c r="CN15" i="73"/>
  <c r="CF15" i="73"/>
  <c r="BX15" i="73"/>
  <c r="BP15" i="73"/>
  <c r="BH15" i="73"/>
  <c r="AZ15" i="73"/>
  <c r="AR15" i="73"/>
  <c r="AJ15" i="73"/>
  <c r="CS15" i="73"/>
  <c r="BU15" i="73"/>
  <c r="BM15" i="73"/>
  <c r="AW15" i="73"/>
  <c r="AO15" i="73"/>
  <c r="AG15" i="73"/>
  <c r="CR15" i="73"/>
  <c r="BT15" i="73"/>
  <c r="BL15" i="73"/>
  <c r="AV15" i="73"/>
  <c r="AN15" i="73"/>
  <c r="CT15" i="73"/>
  <c r="BV15" i="73"/>
  <c r="AY15" i="73"/>
  <c r="BO15" i="73"/>
  <c r="AX15" i="73"/>
  <c r="BN15" i="73"/>
  <c r="AQ15" i="73"/>
  <c r="CE15" i="73"/>
  <c r="BG15" i="73"/>
  <c r="AP15" i="73"/>
  <c r="CD15" i="73"/>
  <c r="AI15" i="73"/>
  <c r="AH15" i="73"/>
  <c r="CU15" i="73"/>
  <c r="BW15" i="73"/>
  <c r="BB13" i="72"/>
  <c r="BA13" i="72"/>
  <c r="N13" i="72" s="1"/>
  <c r="CA13" i="72"/>
  <c r="A16" i="72"/>
  <c r="B15" i="72"/>
  <c r="BS14" i="72"/>
  <c r="BK14" i="72"/>
  <c r="AU14" i="72"/>
  <c r="AM14" i="72"/>
  <c r="CW14" i="72"/>
  <c r="CO14" i="72"/>
  <c r="BY14" i="72"/>
  <c r="BQ14" i="72"/>
  <c r="BI14" i="72"/>
  <c r="AS14" i="72"/>
  <c r="AK14" i="72"/>
  <c r="D14" i="72"/>
  <c r="CU14" i="72"/>
  <c r="BO14" i="72"/>
  <c r="BG14" i="72"/>
  <c r="AY14" i="72"/>
  <c r="AQ14" i="72"/>
  <c r="AI14" i="72"/>
  <c r="CD14" i="72"/>
  <c r="BV14" i="72"/>
  <c r="BN14" i="72"/>
  <c r="AX14" i="72"/>
  <c r="AP14" i="72"/>
  <c r="AH14" i="72"/>
  <c r="CS14" i="72"/>
  <c r="BU14" i="72"/>
  <c r="AW14" i="72"/>
  <c r="AO14" i="72"/>
  <c r="AG14" i="72"/>
  <c r="CR14" i="72"/>
  <c r="BT14" i="72"/>
  <c r="BL14" i="72"/>
  <c r="AV14" i="72"/>
  <c r="AN14" i="72"/>
  <c r="CP14" i="72"/>
  <c r="BR14" i="72"/>
  <c r="CN14" i="72"/>
  <c r="BP14" i="72"/>
  <c r="AZ14" i="72"/>
  <c r="CH14" i="72"/>
  <c r="BJ14" i="72"/>
  <c r="AT14" i="72"/>
  <c r="CF14" i="72"/>
  <c r="AR14" i="72"/>
  <c r="AL14" i="72"/>
  <c r="AJ14" i="72"/>
  <c r="BZ14" i="72"/>
  <c r="CV14" i="72"/>
  <c r="BX14" i="72"/>
  <c r="A17" i="71"/>
  <c r="B16" i="71"/>
  <c r="BB14" i="71"/>
  <c r="BA14" i="71"/>
  <c r="CW15" i="71"/>
  <c r="CO15" i="71"/>
  <c r="BY15" i="71"/>
  <c r="BQ15" i="71"/>
  <c r="BI15" i="71"/>
  <c r="AS15" i="71"/>
  <c r="AK15" i="71"/>
  <c r="D15" i="71"/>
  <c r="CV15" i="71"/>
  <c r="CN15" i="71"/>
  <c r="CF15" i="71"/>
  <c r="BX15" i="71"/>
  <c r="BP15" i="71"/>
  <c r="BH15" i="71"/>
  <c r="AZ15" i="71"/>
  <c r="AR15" i="71"/>
  <c r="AJ15" i="71"/>
  <c r="CS15" i="71"/>
  <c r="BW15" i="71"/>
  <c r="BM15" i="71"/>
  <c r="AQ15" i="71"/>
  <c r="AG15" i="71"/>
  <c r="CR15" i="71"/>
  <c r="CH15" i="71"/>
  <c r="BV15" i="71"/>
  <c r="BL15" i="71"/>
  <c r="AP15" i="71"/>
  <c r="CE15" i="71"/>
  <c r="BU15" i="71"/>
  <c r="BK15" i="71"/>
  <c r="AY15" i="71"/>
  <c r="AO15" i="71"/>
  <c r="CP15" i="71"/>
  <c r="CD15" i="71"/>
  <c r="BT15" i="71"/>
  <c r="BJ15" i="71"/>
  <c r="AX15" i="71"/>
  <c r="AN15" i="71"/>
  <c r="BS15" i="71"/>
  <c r="BG15" i="71"/>
  <c r="AW15" i="71"/>
  <c r="AM15" i="71"/>
  <c r="BR15" i="71"/>
  <c r="AV15" i="71"/>
  <c r="AL15" i="71"/>
  <c r="CU15" i="71"/>
  <c r="BO15" i="71"/>
  <c r="AU15" i="71"/>
  <c r="AI15" i="71"/>
  <c r="CT15" i="71"/>
  <c r="BZ15" i="71"/>
  <c r="BN15" i="71"/>
  <c r="AT15" i="71"/>
  <c r="AH15" i="71"/>
  <c r="Q13" i="71"/>
  <c r="CA14" i="71"/>
  <c r="O14" i="71" s="1"/>
  <c r="CR16" i="70"/>
  <c r="BT16" i="70"/>
  <c r="BL16" i="70"/>
  <c r="AV16" i="70"/>
  <c r="AN16" i="70"/>
  <c r="BS16" i="70"/>
  <c r="BK16" i="70"/>
  <c r="AU16" i="70"/>
  <c r="AM16" i="70"/>
  <c r="CV16" i="70"/>
  <c r="CN16" i="70"/>
  <c r="CF16" i="70"/>
  <c r="BX16" i="70"/>
  <c r="BP16" i="70"/>
  <c r="BH16" i="70"/>
  <c r="CW16" i="70"/>
  <c r="BY16" i="70"/>
  <c r="BM16" i="70"/>
  <c r="AR16" i="70"/>
  <c r="AH16" i="70"/>
  <c r="CU16" i="70"/>
  <c r="CH16" i="70"/>
  <c r="BW16" i="70"/>
  <c r="BJ16" i="70"/>
  <c r="AQ16" i="70"/>
  <c r="AG16" i="70"/>
  <c r="CT16" i="70"/>
  <c r="BV16" i="70"/>
  <c r="BI16" i="70"/>
  <c r="AZ16" i="70"/>
  <c r="AP16" i="70"/>
  <c r="CS16" i="70"/>
  <c r="CE16" i="70"/>
  <c r="BU16" i="70"/>
  <c r="BG16" i="70"/>
  <c r="AY16" i="70"/>
  <c r="AO16" i="70"/>
  <c r="D16" i="70"/>
  <c r="CP16" i="70"/>
  <c r="CD16" i="70"/>
  <c r="BR16" i="70"/>
  <c r="AX16" i="70"/>
  <c r="AL16" i="70"/>
  <c r="CO16" i="70"/>
  <c r="BQ16" i="70"/>
  <c r="AW16" i="70"/>
  <c r="AK16" i="70"/>
  <c r="BO16" i="70"/>
  <c r="AT16" i="70"/>
  <c r="AJ16" i="70"/>
  <c r="BZ16" i="70"/>
  <c r="BN16" i="70"/>
  <c r="AS16" i="70"/>
  <c r="AI16" i="70"/>
  <c r="B17" i="70"/>
  <c r="A18" i="70"/>
  <c r="CA15" i="70"/>
  <c r="O15" i="70" s="1"/>
  <c r="Q13" i="70"/>
  <c r="O14" i="70"/>
  <c r="Q14" i="70" s="1"/>
  <c r="BB15" i="70"/>
  <c r="BA15" i="70"/>
  <c r="N13" i="69"/>
  <c r="Y12" i="69" s="1"/>
  <c r="BB14" i="69"/>
  <c r="BA14" i="69"/>
  <c r="N14" i="69" s="1"/>
  <c r="Y13" i="69" s="1"/>
  <c r="CT15" i="69"/>
  <c r="CR15" i="69"/>
  <c r="CS15" i="69"/>
  <c r="BS15" i="69"/>
  <c r="BK15" i="69"/>
  <c r="AU15" i="69"/>
  <c r="AM15" i="69"/>
  <c r="CH15" i="69"/>
  <c r="BZ15" i="69"/>
  <c r="BJ15" i="69"/>
  <c r="AT15" i="69"/>
  <c r="AL15" i="69"/>
  <c r="CP15" i="69"/>
  <c r="BY15" i="69"/>
  <c r="BQ15" i="69"/>
  <c r="BI15" i="69"/>
  <c r="AS15" i="69"/>
  <c r="AK15" i="69"/>
  <c r="D15" i="69"/>
  <c r="CF15" i="69"/>
  <c r="BX15" i="69"/>
  <c r="BP15" i="69"/>
  <c r="AZ15" i="69"/>
  <c r="AR15" i="69"/>
  <c r="AJ15" i="69"/>
  <c r="CN15" i="69"/>
  <c r="BW15" i="69"/>
  <c r="BO15" i="69"/>
  <c r="BG15" i="69"/>
  <c r="AY15" i="69"/>
  <c r="AQ15" i="69"/>
  <c r="AI15" i="69"/>
  <c r="CW15" i="69"/>
  <c r="CD15" i="69"/>
  <c r="BV15" i="69"/>
  <c r="BN15" i="69"/>
  <c r="AX15" i="69"/>
  <c r="AP15" i="69"/>
  <c r="AH15" i="69"/>
  <c r="CV15" i="69"/>
  <c r="BU15" i="69"/>
  <c r="AW15" i="69"/>
  <c r="AO15" i="69"/>
  <c r="AG15" i="69"/>
  <c r="BL15" i="69"/>
  <c r="BT15" i="69"/>
  <c r="CU15" i="69"/>
  <c r="AV15" i="69"/>
  <c r="AN15" i="69"/>
  <c r="B16" i="69"/>
  <c r="A17" i="69"/>
  <c r="O13" i="68"/>
  <c r="CS15" i="68"/>
  <c r="BU15" i="68"/>
  <c r="AW15" i="68"/>
  <c r="AO15" i="68"/>
  <c r="AG15" i="68"/>
  <c r="CR15" i="68"/>
  <c r="BT15" i="68"/>
  <c r="BL15" i="68"/>
  <c r="AV15" i="68"/>
  <c r="AN15" i="68"/>
  <c r="BW15" i="68"/>
  <c r="BK15" i="68"/>
  <c r="AS15" i="68"/>
  <c r="AI15" i="68"/>
  <c r="CN15" i="68"/>
  <c r="CD15" i="68"/>
  <c r="BV15" i="68"/>
  <c r="BJ15" i="68"/>
  <c r="AR15" i="68"/>
  <c r="AH15" i="68"/>
  <c r="CW15" i="68"/>
  <c r="BY15" i="68"/>
  <c r="BI15" i="68"/>
  <c r="AZ15" i="68"/>
  <c r="AL15" i="68"/>
  <c r="CV15" i="68"/>
  <c r="CH15" i="68"/>
  <c r="BX15" i="68"/>
  <c r="AY15" i="68"/>
  <c r="AK15" i="68"/>
  <c r="CU15" i="68"/>
  <c r="BS15" i="68"/>
  <c r="BG15" i="68"/>
  <c r="AX15" i="68"/>
  <c r="AJ15" i="68"/>
  <c r="D15" i="68"/>
  <c r="CT15" i="68"/>
  <c r="CF15" i="68"/>
  <c r="AU15" i="68"/>
  <c r="BQ15" i="68"/>
  <c r="AT15" i="68"/>
  <c r="CP15" i="68"/>
  <c r="BP15" i="68"/>
  <c r="AQ15" i="68"/>
  <c r="BO15" i="68"/>
  <c r="AP15" i="68"/>
  <c r="BZ15" i="68"/>
  <c r="BN15" i="68"/>
  <c r="AM15" i="68"/>
  <c r="B16" i="68"/>
  <c r="A17" i="68"/>
  <c r="N13" i="68"/>
  <c r="Y13" i="68" s="1"/>
  <c r="BB14" i="68"/>
  <c r="BA14" i="68"/>
  <c r="N14" i="68" s="1"/>
  <c r="CS16" i="67"/>
  <c r="BU16" i="67"/>
  <c r="BM16" i="67"/>
  <c r="AW16" i="67"/>
  <c r="AO16" i="67"/>
  <c r="AG16" i="67"/>
  <c r="CR16" i="67"/>
  <c r="BT16" i="67"/>
  <c r="BL16" i="67"/>
  <c r="AV16" i="67"/>
  <c r="AN16" i="67"/>
  <c r="BS16" i="67"/>
  <c r="BK16" i="67"/>
  <c r="AU16" i="67"/>
  <c r="AM16" i="67"/>
  <c r="CP16" i="67"/>
  <c r="CH16" i="67"/>
  <c r="BZ16" i="67"/>
  <c r="BR16" i="67"/>
  <c r="BJ16" i="67"/>
  <c r="AT16" i="67"/>
  <c r="AL16" i="67"/>
  <c r="CW16" i="67"/>
  <c r="CO16" i="67"/>
  <c r="BY16" i="67"/>
  <c r="BQ16" i="67"/>
  <c r="BI16" i="67"/>
  <c r="AS16" i="67"/>
  <c r="AK16" i="67"/>
  <c r="D16" i="67"/>
  <c r="CV16" i="67"/>
  <c r="CN16" i="67"/>
  <c r="CF16" i="67"/>
  <c r="BX16" i="67"/>
  <c r="BP16" i="67"/>
  <c r="BH16" i="67"/>
  <c r="AZ16" i="67"/>
  <c r="AR16" i="67"/>
  <c r="AJ16" i="67"/>
  <c r="CU16" i="67"/>
  <c r="CE16" i="67"/>
  <c r="BW16" i="67"/>
  <c r="BO16" i="67"/>
  <c r="BG16" i="67"/>
  <c r="AY16" i="67"/>
  <c r="AQ16" i="67"/>
  <c r="AI16" i="67"/>
  <c r="CT16" i="67"/>
  <c r="CD16" i="67"/>
  <c r="BV16" i="67"/>
  <c r="BN16" i="67"/>
  <c r="AX16" i="67"/>
  <c r="AP16" i="67"/>
  <c r="AH16" i="67"/>
  <c r="BB15" i="67"/>
  <c r="BA15" i="67"/>
  <c r="N15" i="67" s="1"/>
  <c r="CA15" i="67"/>
  <c r="B17" i="67"/>
  <c r="A18" i="67"/>
  <c r="B17" i="66"/>
  <c r="A18" i="66"/>
  <c r="BB15" i="66"/>
  <c r="BA15" i="66"/>
  <c r="N15" i="66" s="1"/>
  <c r="CV16" i="66"/>
  <c r="CN16" i="66"/>
  <c r="CF16" i="66"/>
  <c r="BX16" i="66"/>
  <c r="BP16" i="66"/>
  <c r="BH16" i="66"/>
  <c r="AZ16" i="66"/>
  <c r="AR16" i="66"/>
  <c r="AJ16" i="66"/>
  <c r="CU16" i="66"/>
  <c r="CE16" i="66"/>
  <c r="BW16" i="66"/>
  <c r="BG16" i="66"/>
  <c r="AY16" i="66"/>
  <c r="AQ16" i="66"/>
  <c r="AI16" i="66"/>
  <c r="CT16" i="66"/>
  <c r="CD16" i="66"/>
  <c r="BV16" i="66"/>
  <c r="BN16" i="66"/>
  <c r="AX16" i="66"/>
  <c r="AP16" i="66"/>
  <c r="AH16" i="66"/>
  <c r="CS16" i="66"/>
  <c r="BU16" i="66"/>
  <c r="BM16" i="66"/>
  <c r="AW16" i="66"/>
  <c r="AO16" i="66"/>
  <c r="AG16" i="66"/>
  <c r="CR16" i="66"/>
  <c r="BT16" i="66"/>
  <c r="BL16" i="66"/>
  <c r="AV16" i="66"/>
  <c r="BS16" i="66"/>
  <c r="BK16" i="66"/>
  <c r="AU16" i="66"/>
  <c r="AM16" i="66"/>
  <c r="CW16" i="66"/>
  <c r="CO16" i="66"/>
  <c r="BY16" i="66"/>
  <c r="BQ16" i="66"/>
  <c r="BI16" i="66"/>
  <c r="AS16" i="66"/>
  <c r="AK16" i="66"/>
  <c r="CP16" i="66"/>
  <c r="D16" i="66"/>
  <c r="CH16" i="66"/>
  <c r="BZ16" i="66"/>
  <c r="AT16" i="66"/>
  <c r="BR16" i="66"/>
  <c r="AN16" i="66"/>
  <c r="AL16" i="66"/>
  <c r="BB14" i="65"/>
  <c r="BA14" i="65"/>
  <c r="A17" i="65"/>
  <c r="B16" i="65"/>
  <c r="CV15" i="65"/>
  <c r="CN15" i="65"/>
  <c r="CF15" i="65"/>
  <c r="CU15" i="65"/>
  <c r="CE15" i="65"/>
  <c r="CO15" i="65"/>
  <c r="BU15" i="65"/>
  <c r="BM15" i="65"/>
  <c r="AW15" i="65"/>
  <c r="AO15" i="65"/>
  <c r="AG15" i="65"/>
  <c r="BT15" i="65"/>
  <c r="AV15" i="65"/>
  <c r="AN15" i="65"/>
  <c r="CW15" i="65"/>
  <c r="BS15" i="65"/>
  <c r="BK15" i="65"/>
  <c r="AU15" i="65"/>
  <c r="AM15" i="65"/>
  <c r="CT15" i="65"/>
  <c r="BZ15" i="65"/>
  <c r="BR15" i="65"/>
  <c r="BJ15" i="65"/>
  <c r="AT15" i="65"/>
  <c r="AL15" i="65"/>
  <c r="CS15" i="65"/>
  <c r="BY15" i="65"/>
  <c r="BQ15" i="65"/>
  <c r="BI15" i="65"/>
  <c r="AS15" i="65"/>
  <c r="AK15" i="65"/>
  <c r="D15" i="65"/>
  <c r="CR15" i="65"/>
  <c r="CH15" i="65"/>
  <c r="BX15" i="65"/>
  <c r="BP15" i="65"/>
  <c r="BH15" i="65"/>
  <c r="AZ15" i="65"/>
  <c r="AR15" i="65"/>
  <c r="AJ15" i="65"/>
  <c r="BW15" i="65"/>
  <c r="BO15" i="65"/>
  <c r="AY15" i="65"/>
  <c r="AQ15" i="65"/>
  <c r="AI15" i="65"/>
  <c r="CP15" i="65"/>
  <c r="BV15" i="65"/>
  <c r="BN15" i="65"/>
  <c r="AX15" i="65"/>
  <c r="AP15" i="65"/>
  <c r="AH15" i="65"/>
  <c r="CA14" i="65"/>
  <c r="O14" i="65" s="1"/>
  <c r="O13" i="65"/>
  <c r="Q13" i="65" s="1"/>
  <c r="BB14" i="64"/>
  <c r="BA14" i="64"/>
  <c r="CT15" i="64"/>
  <c r="CD15" i="64"/>
  <c r="BV15" i="64"/>
  <c r="BN15" i="64"/>
  <c r="AX15" i="64"/>
  <c r="AP15" i="64"/>
  <c r="AH15" i="64"/>
  <c r="CS15" i="64"/>
  <c r="BU15" i="64"/>
  <c r="BM15" i="64"/>
  <c r="AW15" i="64"/>
  <c r="AO15" i="64"/>
  <c r="AG15" i="64"/>
  <c r="CR15" i="64"/>
  <c r="CV15" i="64"/>
  <c r="BZ15" i="64"/>
  <c r="BP15" i="64"/>
  <c r="AV15" i="64"/>
  <c r="AL15" i="64"/>
  <c r="CU15" i="64"/>
  <c r="BY15" i="64"/>
  <c r="BO15" i="64"/>
  <c r="AU15" i="64"/>
  <c r="AK15" i="64"/>
  <c r="BX15" i="64"/>
  <c r="BL15" i="64"/>
  <c r="AT15" i="64"/>
  <c r="AJ15" i="64"/>
  <c r="CP15" i="64"/>
  <c r="CF15" i="64"/>
  <c r="BW15" i="64"/>
  <c r="AS15" i="64"/>
  <c r="AI15" i="64"/>
  <c r="CO15" i="64"/>
  <c r="CE15" i="64"/>
  <c r="BT15" i="64"/>
  <c r="BJ15" i="64"/>
  <c r="AR15" i="64"/>
  <c r="CN15" i="64"/>
  <c r="BS15" i="64"/>
  <c r="BI15" i="64"/>
  <c r="AQ15" i="64"/>
  <c r="D15" i="64"/>
  <c r="BR15" i="64"/>
  <c r="BH15" i="64"/>
  <c r="AZ15" i="64"/>
  <c r="AN15" i="64"/>
  <c r="CW15" i="64"/>
  <c r="BQ15" i="64"/>
  <c r="BG15" i="64"/>
  <c r="AY15" i="64"/>
  <c r="AM15" i="64"/>
  <c r="B16" i="64"/>
  <c r="A17" i="64"/>
  <c r="CW15" i="63"/>
  <c r="CO15" i="63"/>
  <c r="BY15" i="63"/>
  <c r="BQ15" i="63"/>
  <c r="AS15" i="63"/>
  <c r="CV15" i="63"/>
  <c r="CN15" i="63"/>
  <c r="BX15" i="63"/>
  <c r="BP15" i="63"/>
  <c r="BH15" i="63"/>
  <c r="AZ15" i="63"/>
  <c r="AR15" i="63"/>
  <c r="AJ15" i="63"/>
  <c r="BR15" i="63"/>
  <c r="AV15" i="63"/>
  <c r="AL15" i="63"/>
  <c r="D15" i="63"/>
  <c r="CU15" i="63"/>
  <c r="BO15" i="63"/>
  <c r="AU15" i="63"/>
  <c r="AK15" i="63"/>
  <c r="CT15" i="63"/>
  <c r="BZ15" i="63"/>
  <c r="BN15" i="63"/>
  <c r="AT15" i="63"/>
  <c r="AI15" i="63"/>
  <c r="CS15" i="63"/>
  <c r="BW15" i="63"/>
  <c r="BM15" i="63"/>
  <c r="AQ15" i="63"/>
  <c r="AH15" i="63"/>
  <c r="CR15" i="63"/>
  <c r="CH15" i="63"/>
  <c r="BV15" i="63"/>
  <c r="BL15" i="63"/>
  <c r="AP15" i="63"/>
  <c r="AG15" i="63"/>
  <c r="CE15" i="63"/>
  <c r="BU15" i="63"/>
  <c r="BK15" i="63"/>
  <c r="AY15" i="63"/>
  <c r="AO15" i="63"/>
  <c r="CP15" i="63"/>
  <c r="CD15" i="63"/>
  <c r="BT15" i="63"/>
  <c r="BJ15" i="63"/>
  <c r="AX15" i="63"/>
  <c r="AN15" i="63"/>
  <c r="BS15" i="63"/>
  <c r="BG15" i="63"/>
  <c r="AW15" i="63"/>
  <c r="AM15" i="63"/>
  <c r="A17" i="63"/>
  <c r="B16" i="63"/>
  <c r="N13" i="63"/>
  <c r="BB14" i="63"/>
  <c r="BA14" i="63"/>
  <c r="N14" i="63" s="1"/>
  <c r="CQ17" i="67" l="1"/>
  <c r="CG17" i="67"/>
  <c r="CJ17" i="67"/>
  <c r="CK17" i="67"/>
  <c r="CL17" i="67"/>
  <c r="CM17" i="67"/>
  <c r="CI16" i="69"/>
  <c r="CJ16" i="69"/>
  <c r="CL16" i="69"/>
  <c r="CM16" i="69"/>
  <c r="CG16" i="69"/>
  <c r="CQ16" i="69"/>
  <c r="CJ15" i="72"/>
  <c r="CK15" i="72"/>
  <c r="CG15" i="72"/>
  <c r="CL15" i="72"/>
  <c r="CQ15" i="72"/>
  <c r="CM15" i="72"/>
  <c r="CI15" i="72"/>
  <c r="CI17" i="70"/>
  <c r="CK17" i="70"/>
  <c r="CL17" i="70"/>
  <c r="CM17" i="70"/>
  <c r="CG17" i="70"/>
  <c r="CQ17" i="70"/>
  <c r="CJ17" i="70"/>
  <c r="CQ16" i="73"/>
  <c r="CJ16" i="73"/>
  <c r="CK16" i="73"/>
  <c r="CL16" i="73"/>
  <c r="CG16" i="73"/>
  <c r="CI16" i="73"/>
  <c r="CM16" i="73"/>
  <c r="CI16" i="68"/>
  <c r="CQ16" i="68"/>
  <c r="CJ16" i="68"/>
  <c r="CL16" i="68"/>
  <c r="CG16" i="68"/>
  <c r="CM16" i="68"/>
  <c r="CQ16" i="71"/>
  <c r="CJ16" i="71"/>
  <c r="CK16" i="71"/>
  <c r="CL16" i="71"/>
  <c r="CM16" i="71"/>
  <c r="CG16" i="71"/>
  <c r="CI17" i="66"/>
  <c r="CM17" i="66"/>
  <c r="CG17" i="66"/>
  <c r="CJ17" i="66"/>
  <c r="CK17" i="66"/>
  <c r="CL17" i="66"/>
  <c r="CQ17" i="66"/>
  <c r="CI16" i="65"/>
  <c r="CQ16" i="65"/>
  <c r="CJ16" i="65"/>
  <c r="CK16" i="65"/>
  <c r="CL16" i="65"/>
  <c r="CM16" i="65"/>
  <c r="CG16" i="65"/>
  <c r="CI16" i="64"/>
  <c r="CL16" i="64"/>
  <c r="CM16" i="64"/>
  <c r="CQ16" i="64"/>
  <c r="CJ16" i="64"/>
  <c r="CK16" i="64"/>
  <c r="CG16" i="64"/>
  <c r="CI16" i="63"/>
  <c r="CJ16" i="63"/>
  <c r="CK16" i="63"/>
  <c r="CL16" i="63"/>
  <c r="CM16" i="63"/>
  <c r="CQ16" i="63"/>
  <c r="CX15" i="73"/>
  <c r="P15" i="73" s="1"/>
  <c r="CX16" i="67"/>
  <c r="P16" i="67" s="1"/>
  <c r="CX15" i="71"/>
  <c r="P15" i="71" s="1"/>
  <c r="CX16" i="70"/>
  <c r="P16" i="70" s="1"/>
  <c r="Q14" i="73"/>
  <c r="CA15" i="73"/>
  <c r="O15" i="73" s="1"/>
  <c r="CA16" i="67"/>
  <c r="O16" i="67" s="1"/>
  <c r="BB15" i="73"/>
  <c r="BA15" i="73"/>
  <c r="CT16" i="73"/>
  <c r="CD16" i="73"/>
  <c r="BV16" i="73"/>
  <c r="BN16" i="73"/>
  <c r="AX16" i="73"/>
  <c r="AP16" i="73"/>
  <c r="AH16" i="73"/>
  <c r="CS16" i="73"/>
  <c r="BU16" i="73"/>
  <c r="BM16" i="73"/>
  <c r="AW16" i="73"/>
  <c r="AO16" i="73"/>
  <c r="AG16" i="73"/>
  <c r="CR16" i="73"/>
  <c r="BT16" i="73"/>
  <c r="BL16" i="73"/>
  <c r="AV16" i="73"/>
  <c r="AN16" i="73"/>
  <c r="BS16" i="73"/>
  <c r="BK16" i="73"/>
  <c r="AU16" i="73"/>
  <c r="AM16" i="73"/>
  <c r="CP16" i="73"/>
  <c r="CH16" i="73"/>
  <c r="BZ16" i="73"/>
  <c r="BR16" i="73"/>
  <c r="BJ16" i="73"/>
  <c r="AT16" i="73"/>
  <c r="AL16" i="73"/>
  <c r="CW16" i="73"/>
  <c r="CO16" i="73"/>
  <c r="BY16" i="73"/>
  <c r="BQ16" i="73"/>
  <c r="BI16" i="73"/>
  <c r="AS16" i="73"/>
  <c r="AK16" i="73"/>
  <c r="D16" i="73"/>
  <c r="CV16" i="73"/>
  <c r="CN16" i="73"/>
  <c r="CF16" i="73"/>
  <c r="BX16" i="73"/>
  <c r="BP16" i="73"/>
  <c r="BH16" i="73"/>
  <c r="AZ16" i="73"/>
  <c r="AR16" i="73"/>
  <c r="AJ16" i="73"/>
  <c r="CU16" i="73"/>
  <c r="CE16" i="73"/>
  <c r="BW16" i="73"/>
  <c r="BO16" i="73"/>
  <c r="BG16" i="73"/>
  <c r="AY16" i="73"/>
  <c r="AQ16" i="73"/>
  <c r="AI16" i="73"/>
  <c r="B17" i="73"/>
  <c r="A18" i="73"/>
  <c r="CT15" i="72"/>
  <c r="CD15" i="72"/>
  <c r="BV15" i="72"/>
  <c r="BN15" i="72"/>
  <c r="AX15" i="72"/>
  <c r="AP15" i="72"/>
  <c r="AH15" i="72"/>
  <c r="CR15" i="72"/>
  <c r="BT15" i="72"/>
  <c r="BL15" i="72"/>
  <c r="AV15" i="72"/>
  <c r="AN15" i="72"/>
  <c r="CP15" i="72"/>
  <c r="CH15" i="72"/>
  <c r="BZ15" i="72"/>
  <c r="BR15" i="72"/>
  <c r="BJ15" i="72"/>
  <c r="AT15" i="72"/>
  <c r="AL15" i="72"/>
  <c r="CW15" i="72"/>
  <c r="CO15" i="72"/>
  <c r="BY15" i="72"/>
  <c r="BQ15" i="72"/>
  <c r="AS15" i="72"/>
  <c r="AK15" i="72"/>
  <c r="D15" i="72"/>
  <c r="CV15" i="72"/>
  <c r="CN15" i="72"/>
  <c r="BP15" i="72"/>
  <c r="BH15" i="72"/>
  <c r="AZ15" i="72"/>
  <c r="AR15" i="72"/>
  <c r="AJ15" i="72"/>
  <c r="CE15" i="72"/>
  <c r="BW15" i="72"/>
  <c r="BO15" i="72"/>
  <c r="BG15" i="72"/>
  <c r="AY15" i="72"/>
  <c r="AQ15" i="72"/>
  <c r="AI15" i="72"/>
  <c r="BU15" i="72"/>
  <c r="AW15" i="72"/>
  <c r="CS15" i="72"/>
  <c r="BS15" i="72"/>
  <c r="AU15" i="72"/>
  <c r="BM15" i="72"/>
  <c r="AO15" i="72"/>
  <c r="BK15" i="72"/>
  <c r="AM15" i="72"/>
  <c r="AG15" i="72"/>
  <c r="A17" i="72"/>
  <c r="B16" i="72"/>
  <c r="BB14" i="72"/>
  <c r="BA14" i="72"/>
  <c r="O13" i="72"/>
  <c r="CA15" i="71"/>
  <c r="N14" i="71"/>
  <c r="BB15" i="71"/>
  <c r="BA15" i="71"/>
  <c r="N15" i="71" s="1"/>
  <c r="CR16" i="71"/>
  <c r="BT16" i="71"/>
  <c r="AV16" i="71"/>
  <c r="AN16" i="71"/>
  <c r="BS16" i="71"/>
  <c r="BK16" i="71"/>
  <c r="AU16" i="71"/>
  <c r="AM16" i="71"/>
  <c r="CW16" i="71"/>
  <c r="BR16" i="71"/>
  <c r="BH16" i="71"/>
  <c r="AZ16" i="71"/>
  <c r="AP16" i="71"/>
  <c r="CV16" i="71"/>
  <c r="AY16" i="71"/>
  <c r="AO16" i="71"/>
  <c r="D16" i="71"/>
  <c r="CU16" i="71"/>
  <c r="BZ16" i="71"/>
  <c r="BP16" i="71"/>
  <c r="AX16" i="71"/>
  <c r="AL16" i="71"/>
  <c r="CT16" i="71"/>
  <c r="CH16" i="71"/>
  <c r="BY16" i="71"/>
  <c r="BO16" i="71"/>
  <c r="AW16" i="71"/>
  <c r="AK16" i="71"/>
  <c r="BX16" i="71"/>
  <c r="BN16" i="71"/>
  <c r="AT16" i="71"/>
  <c r="AJ16" i="71"/>
  <c r="CP16" i="71"/>
  <c r="CF16" i="71"/>
  <c r="BW16" i="71"/>
  <c r="BM16" i="71"/>
  <c r="AS16" i="71"/>
  <c r="AI16" i="71"/>
  <c r="CO16" i="71"/>
  <c r="CE16" i="71"/>
  <c r="BJ16" i="71"/>
  <c r="AR16" i="71"/>
  <c r="AH16" i="71"/>
  <c r="BU16" i="71"/>
  <c r="BI16" i="71"/>
  <c r="AQ16" i="71"/>
  <c r="AG16" i="71"/>
  <c r="A18" i="71"/>
  <c r="B17" i="71"/>
  <c r="CA16" i="70"/>
  <c r="O16" i="70" s="1"/>
  <c r="B18" i="70"/>
  <c r="A19" i="70"/>
  <c r="BB16" i="70"/>
  <c r="BA16" i="70"/>
  <c r="N16" i="70" s="1"/>
  <c r="N15" i="70"/>
  <c r="CV17" i="70"/>
  <c r="CN17" i="70"/>
  <c r="CF17" i="70"/>
  <c r="BX17" i="70"/>
  <c r="BP17" i="70"/>
  <c r="BH17" i="70"/>
  <c r="AZ17" i="70"/>
  <c r="AR17" i="70"/>
  <c r="AJ17" i="70"/>
  <c r="CU17" i="70"/>
  <c r="CE17" i="70"/>
  <c r="BW17" i="70"/>
  <c r="BO17" i="70"/>
  <c r="BG17" i="70"/>
  <c r="AY17" i="70"/>
  <c r="AQ17" i="70"/>
  <c r="AI17" i="70"/>
  <c r="CT17" i="70"/>
  <c r="CD17" i="70"/>
  <c r="BV17" i="70"/>
  <c r="BN17" i="70"/>
  <c r="AX17" i="70"/>
  <c r="AP17" i="70"/>
  <c r="AH17" i="70"/>
  <c r="CS17" i="70"/>
  <c r="BU17" i="70"/>
  <c r="BM17" i="70"/>
  <c r="AW17" i="70"/>
  <c r="AO17" i="70"/>
  <c r="AG17" i="70"/>
  <c r="CR17" i="70"/>
  <c r="BT17" i="70"/>
  <c r="BL17" i="70"/>
  <c r="AV17" i="70"/>
  <c r="AN17" i="70"/>
  <c r="BS17" i="70"/>
  <c r="BK17" i="70"/>
  <c r="AU17" i="70"/>
  <c r="AM17" i="70"/>
  <c r="CO17" i="70"/>
  <c r="BQ17" i="70"/>
  <c r="CH17" i="70"/>
  <c r="BJ17" i="70"/>
  <c r="AT17" i="70"/>
  <c r="BI17" i="70"/>
  <c r="AS17" i="70"/>
  <c r="AL17" i="70"/>
  <c r="AK17" i="70"/>
  <c r="BZ17" i="70"/>
  <c r="CW17" i="70"/>
  <c r="BY17" i="70"/>
  <c r="D17" i="70"/>
  <c r="CP17" i="70"/>
  <c r="BR17" i="70"/>
  <c r="CW16" i="69"/>
  <c r="CO16" i="69"/>
  <c r="BY16" i="69"/>
  <c r="BQ16" i="69"/>
  <c r="AS16" i="69"/>
  <c r="AK16" i="69"/>
  <c r="D16" i="69"/>
  <c r="CU16" i="69"/>
  <c r="CE16" i="69"/>
  <c r="BW16" i="69"/>
  <c r="BO16" i="69"/>
  <c r="BG16" i="69"/>
  <c r="AY16" i="69"/>
  <c r="AQ16" i="69"/>
  <c r="AI16" i="69"/>
  <c r="CT16" i="69"/>
  <c r="CD16" i="69"/>
  <c r="BV16" i="69"/>
  <c r="BX16" i="69"/>
  <c r="BK16" i="69"/>
  <c r="AZ16" i="69"/>
  <c r="AO16" i="69"/>
  <c r="CV16" i="69"/>
  <c r="BU16" i="69"/>
  <c r="BJ16" i="69"/>
  <c r="AX16" i="69"/>
  <c r="AN16" i="69"/>
  <c r="CS16" i="69"/>
  <c r="CH16" i="69"/>
  <c r="BT16" i="69"/>
  <c r="BH16" i="69"/>
  <c r="AW16" i="69"/>
  <c r="AM16" i="69"/>
  <c r="CR16" i="69"/>
  <c r="AV16" i="69"/>
  <c r="AL16" i="69"/>
  <c r="BR16" i="69"/>
  <c r="AU16" i="69"/>
  <c r="AJ16" i="69"/>
  <c r="BP16" i="69"/>
  <c r="AT16" i="69"/>
  <c r="AH16" i="69"/>
  <c r="CN16" i="69"/>
  <c r="BM16" i="69"/>
  <c r="AR16" i="69"/>
  <c r="AG16" i="69"/>
  <c r="AP16" i="69"/>
  <c r="BZ16" i="69"/>
  <c r="BL16" i="69"/>
  <c r="A18" i="69"/>
  <c r="B17" i="69"/>
  <c r="BB15" i="69"/>
  <c r="BA15" i="69"/>
  <c r="N15" i="69" s="1"/>
  <c r="Q13" i="69"/>
  <c r="A18" i="68"/>
  <c r="B17" i="68"/>
  <c r="Q13" i="68"/>
  <c r="CV16" i="68"/>
  <c r="CN16" i="68"/>
  <c r="BX16" i="68"/>
  <c r="BP16" i="68"/>
  <c r="BH16" i="68"/>
  <c r="AZ16" i="68"/>
  <c r="AR16" i="68"/>
  <c r="AJ16" i="68"/>
  <c r="CU16" i="68"/>
  <c r="CE16" i="68"/>
  <c r="BW16" i="68"/>
  <c r="BO16" i="68"/>
  <c r="BG16" i="68"/>
  <c r="AY16" i="68"/>
  <c r="AQ16" i="68"/>
  <c r="AI16" i="68"/>
  <c r="BR16" i="68"/>
  <c r="AV16" i="68"/>
  <c r="AL16" i="68"/>
  <c r="CW16" i="68"/>
  <c r="BQ16" i="68"/>
  <c r="AU16" i="68"/>
  <c r="AK16" i="68"/>
  <c r="BY16" i="68"/>
  <c r="BK16" i="68"/>
  <c r="AM16" i="68"/>
  <c r="BV16" i="68"/>
  <c r="BJ16" i="68"/>
  <c r="AX16" i="68"/>
  <c r="AH16" i="68"/>
  <c r="CT16" i="68"/>
  <c r="CH16" i="68"/>
  <c r="BU16" i="68"/>
  <c r="AW16" i="68"/>
  <c r="AG16" i="68"/>
  <c r="CS16" i="68"/>
  <c r="BT16" i="68"/>
  <c r="AT16" i="68"/>
  <c r="CR16" i="68"/>
  <c r="CD16" i="68"/>
  <c r="AS16" i="68"/>
  <c r="AP16" i="68"/>
  <c r="BM16" i="68"/>
  <c r="AO16" i="68"/>
  <c r="D16" i="68"/>
  <c r="CO16" i="68"/>
  <c r="BZ16" i="68"/>
  <c r="BL16" i="68"/>
  <c r="AN16" i="68"/>
  <c r="BB15" i="68"/>
  <c r="BA15" i="68"/>
  <c r="N15" i="68" s="1"/>
  <c r="B18" i="67"/>
  <c r="A19" i="67"/>
  <c r="BB16" i="67"/>
  <c r="BA16" i="67"/>
  <c r="N16" i="67" s="1"/>
  <c r="CV17" i="67"/>
  <c r="CF17" i="67"/>
  <c r="BX17" i="67"/>
  <c r="BP17" i="67"/>
  <c r="BH17" i="67"/>
  <c r="AZ17" i="67"/>
  <c r="AR17" i="67"/>
  <c r="AJ17" i="67"/>
  <c r="CU17" i="67"/>
  <c r="CE17" i="67"/>
  <c r="BW17" i="67"/>
  <c r="BO17" i="67"/>
  <c r="AY17" i="67"/>
  <c r="AQ17" i="67"/>
  <c r="AI17" i="67"/>
  <c r="CT17" i="67"/>
  <c r="BV17" i="67"/>
  <c r="BN17" i="67"/>
  <c r="AX17" i="67"/>
  <c r="AP17" i="67"/>
  <c r="AH17" i="67"/>
  <c r="CS17" i="67"/>
  <c r="BU17" i="67"/>
  <c r="BM17" i="67"/>
  <c r="AW17" i="67"/>
  <c r="AO17" i="67"/>
  <c r="AG17" i="67"/>
  <c r="CR17" i="67"/>
  <c r="BT17" i="67"/>
  <c r="AV17" i="67"/>
  <c r="AN17" i="67"/>
  <c r="BS17" i="67"/>
  <c r="BK17" i="67"/>
  <c r="AU17" i="67"/>
  <c r="AM17" i="67"/>
  <c r="CP17" i="67"/>
  <c r="CH17" i="67"/>
  <c r="BZ17" i="67"/>
  <c r="BR17" i="67"/>
  <c r="BJ17" i="67"/>
  <c r="AT17" i="67"/>
  <c r="AL17" i="67"/>
  <c r="CW17" i="67"/>
  <c r="CO17" i="67"/>
  <c r="BY17" i="67"/>
  <c r="BI17" i="67"/>
  <c r="AS17" i="67"/>
  <c r="AK17" i="67"/>
  <c r="D17" i="67"/>
  <c r="O15" i="67"/>
  <c r="Q15" i="67" s="1"/>
  <c r="BB16" i="66"/>
  <c r="BA16" i="66"/>
  <c r="N16" i="66" s="1"/>
  <c r="A19" i="66"/>
  <c r="B18" i="66"/>
  <c r="BS17" i="66"/>
  <c r="AU17" i="66"/>
  <c r="AM17" i="66"/>
  <c r="CP17" i="66"/>
  <c r="BZ17" i="66"/>
  <c r="BR17" i="66"/>
  <c r="BJ17" i="66"/>
  <c r="AT17" i="66"/>
  <c r="AL17" i="66"/>
  <c r="CW17" i="66"/>
  <c r="CO17" i="66"/>
  <c r="BY17" i="66"/>
  <c r="BQ17" i="66"/>
  <c r="BI17" i="66"/>
  <c r="AS17" i="66"/>
  <c r="AK17" i="66"/>
  <c r="D17" i="66"/>
  <c r="CV17" i="66"/>
  <c r="CN17" i="66"/>
  <c r="CF17" i="66"/>
  <c r="BX17" i="66"/>
  <c r="BH17" i="66"/>
  <c r="AZ17" i="66"/>
  <c r="AR17" i="66"/>
  <c r="AJ17" i="66"/>
  <c r="CU17" i="66"/>
  <c r="CE17" i="66"/>
  <c r="BW17" i="66"/>
  <c r="BO17" i="66"/>
  <c r="BG17" i="66"/>
  <c r="AY17" i="66"/>
  <c r="AQ17" i="66"/>
  <c r="AI17" i="66"/>
  <c r="CT17" i="66"/>
  <c r="CD17" i="66"/>
  <c r="BV17" i="66"/>
  <c r="BN17" i="66"/>
  <c r="AX17" i="66"/>
  <c r="AP17" i="66"/>
  <c r="AH17" i="66"/>
  <c r="CS17" i="66"/>
  <c r="BU17" i="66"/>
  <c r="BM17" i="66"/>
  <c r="AW17" i="66"/>
  <c r="CR17" i="66"/>
  <c r="BT17" i="66"/>
  <c r="BL17" i="66"/>
  <c r="AV17" i="66"/>
  <c r="AN17" i="66"/>
  <c r="AO17" i="66"/>
  <c r="AG17" i="66"/>
  <c r="BS16" i="65"/>
  <c r="BK16" i="65"/>
  <c r="AU16" i="65"/>
  <c r="AM16" i="65"/>
  <c r="CP16" i="65"/>
  <c r="CH16" i="65"/>
  <c r="BZ16" i="65"/>
  <c r="BR16" i="65"/>
  <c r="BJ16" i="65"/>
  <c r="AT16" i="65"/>
  <c r="AL16" i="65"/>
  <c r="CU16" i="65"/>
  <c r="BY16" i="65"/>
  <c r="BO16" i="65"/>
  <c r="AV16" i="65"/>
  <c r="AJ16" i="65"/>
  <c r="CT16" i="65"/>
  <c r="BX16" i="65"/>
  <c r="BN16" i="65"/>
  <c r="AS16" i="65"/>
  <c r="AI16" i="65"/>
  <c r="CS16" i="65"/>
  <c r="BW16" i="65"/>
  <c r="AR16" i="65"/>
  <c r="AH16" i="65"/>
  <c r="CR16" i="65"/>
  <c r="CF16" i="65"/>
  <c r="BV16" i="65"/>
  <c r="BL16" i="65"/>
  <c r="AQ16" i="65"/>
  <c r="AG16" i="65"/>
  <c r="CO16" i="65"/>
  <c r="BU16" i="65"/>
  <c r="BI16" i="65"/>
  <c r="AZ16" i="65"/>
  <c r="AP16" i="65"/>
  <c r="CN16" i="65"/>
  <c r="CD16" i="65"/>
  <c r="BT16" i="65"/>
  <c r="AY16" i="65"/>
  <c r="AO16" i="65"/>
  <c r="D16" i="65"/>
  <c r="CW16" i="65"/>
  <c r="BQ16" i="65"/>
  <c r="BG16" i="65"/>
  <c r="AX16" i="65"/>
  <c r="AN16" i="65"/>
  <c r="CV16" i="65"/>
  <c r="BP16" i="65"/>
  <c r="AW16" i="65"/>
  <c r="AK16" i="65"/>
  <c r="B17" i="65"/>
  <c r="A18" i="65"/>
  <c r="N14" i="65"/>
  <c r="BB15" i="65"/>
  <c r="BA15" i="65"/>
  <c r="N15" i="65" s="1"/>
  <c r="A18" i="64"/>
  <c r="B17" i="64"/>
  <c r="CP16" i="64"/>
  <c r="CH16" i="64"/>
  <c r="BZ16" i="64"/>
  <c r="BR16" i="64"/>
  <c r="BJ16" i="64"/>
  <c r="AT16" i="64"/>
  <c r="AL16" i="64"/>
  <c r="CW16" i="64"/>
  <c r="CO16" i="64"/>
  <c r="BY16" i="64"/>
  <c r="BQ16" i="64"/>
  <c r="BI16" i="64"/>
  <c r="AS16" i="64"/>
  <c r="AK16" i="64"/>
  <c r="D16" i="64"/>
  <c r="CV16" i="64"/>
  <c r="CN16" i="64"/>
  <c r="CF16" i="64"/>
  <c r="BX16" i="64"/>
  <c r="BP16" i="64"/>
  <c r="BH16" i="64"/>
  <c r="AZ16" i="64"/>
  <c r="AR16" i="64"/>
  <c r="AJ16" i="64"/>
  <c r="CU16" i="64"/>
  <c r="CE16" i="64"/>
  <c r="BW16" i="64"/>
  <c r="BO16" i="64"/>
  <c r="BG16" i="64"/>
  <c r="AY16" i="64"/>
  <c r="AQ16" i="64"/>
  <c r="AI16" i="64"/>
  <c r="BS16" i="64"/>
  <c r="AM16" i="64"/>
  <c r="CT16" i="64"/>
  <c r="CD16" i="64"/>
  <c r="BN16" i="64"/>
  <c r="AX16" i="64"/>
  <c r="AH16" i="64"/>
  <c r="CS16" i="64"/>
  <c r="BM16" i="64"/>
  <c r="AW16" i="64"/>
  <c r="AG16" i="64"/>
  <c r="CR16" i="64"/>
  <c r="BL16" i="64"/>
  <c r="AV16" i="64"/>
  <c r="BK16" i="64"/>
  <c r="AU16" i="64"/>
  <c r="BV16" i="64"/>
  <c r="AP16" i="64"/>
  <c r="BU16" i="64"/>
  <c r="AO16" i="64"/>
  <c r="BT16" i="64"/>
  <c r="AN16" i="64"/>
  <c r="BB15" i="64"/>
  <c r="BA15" i="64"/>
  <c r="N15" i="64" s="1"/>
  <c r="N14" i="64"/>
  <c r="CR16" i="63"/>
  <c r="BT16" i="63"/>
  <c r="BL16" i="63"/>
  <c r="AV16" i="63"/>
  <c r="AN16" i="63"/>
  <c r="BS16" i="63"/>
  <c r="BK16" i="63"/>
  <c r="AU16" i="63"/>
  <c r="AM16" i="63"/>
  <c r="CP16" i="63"/>
  <c r="CF16" i="63"/>
  <c r="BW16" i="63"/>
  <c r="BM16" i="63"/>
  <c r="AS16" i="63"/>
  <c r="AI16" i="63"/>
  <c r="CO16" i="63"/>
  <c r="CE16" i="63"/>
  <c r="BV16" i="63"/>
  <c r="AR16" i="63"/>
  <c r="AH16" i="63"/>
  <c r="CN16" i="63"/>
  <c r="CD16" i="63"/>
  <c r="BU16" i="63"/>
  <c r="BI16" i="63"/>
  <c r="AQ16" i="63"/>
  <c r="AG16" i="63"/>
  <c r="CW16" i="63"/>
  <c r="BR16" i="63"/>
  <c r="BH16" i="63"/>
  <c r="AZ16" i="63"/>
  <c r="AP16" i="63"/>
  <c r="CV16" i="63"/>
  <c r="BQ16" i="63"/>
  <c r="BG16" i="63"/>
  <c r="AY16" i="63"/>
  <c r="AO16" i="63"/>
  <c r="D16" i="63"/>
  <c r="CU16" i="63"/>
  <c r="BZ16" i="63"/>
  <c r="BP16" i="63"/>
  <c r="AX16" i="63"/>
  <c r="AL16" i="63"/>
  <c r="CT16" i="63"/>
  <c r="CH16" i="63"/>
  <c r="BY16" i="63"/>
  <c r="BO16" i="63"/>
  <c r="AW16" i="63"/>
  <c r="AK16" i="63"/>
  <c r="CS16" i="63"/>
  <c r="BX16" i="63"/>
  <c r="BN16" i="63"/>
  <c r="AT16" i="63"/>
  <c r="AJ16" i="63"/>
  <c r="B17" i="63"/>
  <c r="A18" i="63"/>
  <c r="BB15" i="63"/>
  <c r="BA15" i="63"/>
  <c r="CI17" i="68" l="1"/>
  <c r="CK17" i="68"/>
  <c r="CM17" i="68"/>
  <c r="CQ17" i="68"/>
  <c r="CJ17" i="68"/>
  <c r="CI18" i="70"/>
  <c r="CJ18" i="70"/>
  <c r="CG18" i="70"/>
  <c r="CK18" i="70"/>
  <c r="CQ18" i="70"/>
  <c r="CL18" i="70"/>
  <c r="CM18" i="70"/>
  <c r="CK17" i="73"/>
  <c r="CL17" i="73"/>
  <c r="CM17" i="73"/>
  <c r="CQ17" i="73"/>
  <c r="CG17" i="73"/>
  <c r="CI17" i="73"/>
  <c r="CJ17" i="73"/>
  <c r="CI18" i="67"/>
  <c r="CQ18" i="67"/>
  <c r="CL18" i="67"/>
  <c r="CM18" i="67"/>
  <c r="CG18" i="67"/>
  <c r="CK18" i="67"/>
  <c r="CM17" i="71"/>
  <c r="CQ17" i="71"/>
  <c r="CI17" i="71"/>
  <c r="CK17" i="71"/>
  <c r="CL17" i="71"/>
  <c r="CG17" i="71"/>
  <c r="CI17" i="69"/>
  <c r="CQ17" i="69"/>
  <c r="CJ17" i="69"/>
  <c r="CK17" i="69"/>
  <c r="CM17" i="69"/>
  <c r="CQ16" i="72"/>
  <c r="CJ16" i="72"/>
  <c r="CI16" i="72"/>
  <c r="CK16" i="72"/>
  <c r="CL16" i="72"/>
  <c r="CM16" i="72"/>
  <c r="CI18" i="66"/>
  <c r="CQ18" i="66"/>
  <c r="CK18" i="66"/>
  <c r="CL18" i="66"/>
  <c r="CG18" i="66"/>
  <c r="CJ18" i="66"/>
  <c r="CM18" i="66"/>
  <c r="CI17" i="65"/>
  <c r="CQ17" i="65"/>
  <c r="CG17" i="65"/>
  <c r="CJ17" i="65"/>
  <c r="CK17" i="65"/>
  <c r="CL17" i="65"/>
  <c r="CM17" i="65"/>
  <c r="CI17" i="64"/>
  <c r="CG17" i="64"/>
  <c r="CJ17" i="64"/>
  <c r="CQ17" i="64"/>
  <c r="CK17" i="64"/>
  <c r="CL17" i="64"/>
  <c r="CM17" i="64"/>
  <c r="CI17" i="63"/>
  <c r="CJ17" i="63"/>
  <c r="CK17" i="63"/>
  <c r="CL17" i="63"/>
  <c r="CM17" i="63"/>
  <c r="CQ17" i="63"/>
  <c r="CG17" i="63"/>
  <c r="Q16" i="67"/>
  <c r="CX16" i="64"/>
  <c r="P16" i="64" s="1"/>
  <c r="CX17" i="70"/>
  <c r="P17" i="70" s="1"/>
  <c r="CX16" i="73"/>
  <c r="P16" i="73" s="1"/>
  <c r="Q16" i="70"/>
  <c r="CA16" i="73"/>
  <c r="O16" i="73" s="1"/>
  <c r="BB16" i="73"/>
  <c r="BA16" i="73"/>
  <c r="N16" i="73" s="1"/>
  <c r="A19" i="73"/>
  <c r="B18" i="73"/>
  <c r="N15" i="73"/>
  <c r="CW17" i="73"/>
  <c r="CO17" i="73"/>
  <c r="BY17" i="73"/>
  <c r="BQ17" i="73"/>
  <c r="BI17" i="73"/>
  <c r="AS17" i="73"/>
  <c r="AK17" i="73"/>
  <c r="D17" i="73"/>
  <c r="CV17" i="73"/>
  <c r="CN17" i="73"/>
  <c r="CF17" i="73"/>
  <c r="BX17" i="73"/>
  <c r="BP17" i="73"/>
  <c r="BH17" i="73"/>
  <c r="AZ17" i="73"/>
  <c r="AR17" i="73"/>
  <c r="AJ17" i="73"/>
  <c r="CU17" i="73"/>
  <c r="CE17" i="73"/>
  <c r="BW17" i="73"/>
  <c r="BO17" i="73"/>
  <c r="BG17" i="73"/>
  <c r="AY17" i="73"/>
  <c r="AQ17" i="73"/>
  <c r="AI17" i="73"/>
  <c r="CT17" i="73"/>
  <c r="CD17" i="73"/>
  <c r="BV17" i="73"/>
  <c r="BN17" i="73"/>
  <c r="AX17" i="73"/>
  <c r="AP17" i="73"/>
  <c r="AH17" i="73"/>
  <c r="CS17" i="73"/>
  <c r="BU17" i="73"/>
  <c r="BM17" i="73"/>
  <c r="AW17" i="73"/>
  <c r="AO17" i="73"/>
  <c r="AG17" i="73"/>
  <c r="CR17" i="73"/>
  <c r="BT17" i="73"/>
  <c r="BL17" i="73"/>
  <c r="AV17" i="73"/>
  <c r="AN17" i="73"/>
  <c r="BS17" i="73"/>
  <c r="BK17" i="73"/>
  <c r="AU17" i="73"/>
  <c r="AM17" i="73"/>
  <c r="CP17" i="73"/>
  <c r="CH17" i="73"/>
  <c r="BZ17" i="73"/>
  <c r="BR17" i="73"/>
  <c r="BJ17" i="73"/>
  <c r="AT17" i="73"/>
  <c r="AL17" i="73"/>
  <c r="CW16" i="72"/>
  <c r="CO16" i="72"/>
  <c r="BQ16" i="72"/>
  <c r="BI16" i="72"/>
  <c r="AS16" i="72"/>
  <c r="AK16" i="72"/>
  <c r="D16" i="72"/>
  <c r="CU16" i="72"/>
  <c r="CE16" i="72"/>
  <c r="BW16" i="72"/>
  <c r="BO16" i="72"/>
  <c r="BG16" i="72"/>
  <c r="AY16" i="72"/>
  <c r="AQ16" i="72"/>
  <c r="AI16" i="72"/>
  <c r="CT16" i="72"/>
  <c r="CD16" i="72"/>
  <c r="BV16" i="72"/>
  <c r="BN16" i="72"/>
  <c r="AX16" i="72"/>
  <c r="AP16" i="72"/>
  <c r="AH16" i="72"/>
  <c r="CS16" i="72"/>
  <c r="BU16" i="72"/>
  <c r="BM16" i="72"/>
  <c r="AW16" i="72"/>
  <c r="AO16" i="72"/>
  <c r="AG16" i="72"/>
  <c r="CR16" i="72"/>
  <c r="BT16" i="72"/>
  <c r="BL16" i="72"/>
  <c r="AV16" i="72"/>
  <c r="AN16" i="72"/>
  <c r="BS16" i="72"/>
  <c r="BK16" i="72"/>
  <c r="AU16" i="72"/>
  <c r="AM16" i="72"/>
  <c r="CP16" i="72"/>
  <c r="CH16" i="72"/>
  <c r="BZ16" i="72"/>
  <c r="BR16" i="72"/>
  <c r="AT16" i="72"/>
  <c r="AL16" i="72"/>
  <c r="BX16" i="72"/>
  <c r="AR16" i="72"/>
  <c r="BP16" i="72"/>
  <c r="AJ16" i="72"/>
  <c r="BH16" i="72"/>
  <c r="CN16" i="72"/>
  <c r="CF16" i="72"/>
  <c r="AZ16" i="72"/>
  <c r="N14" i="72"/>
  <c r="A18" i="72"/>
  <c r="B17" i="72"/>
  <c r="BB15" i="72"/>
  <c r="BA15" i="72"/>
  <c r="N15" i="72" s="1"/>
  <c r="Q14" i="71"/>
  <c r="CU17" i="71"/>
  <c r="BO17" i="71"/>
  <c r="BG17" i="71"/>
  <c r="AY17" i="71"/>
  <c r="AQ17" i="71"/>
  <c r="AI17" i="71"/>
  <c r="CD17" i="71"/>
  <c r="BV17" i="71"/>
  <c r="BN17" i="71"/>
  <c r="AX17" i="71"/>
  <c r="AP17" i="71"/>
  <c r="AH17" i="71"/>
  <c r="CS17" i="71"/>
  <c r="BY17" i="71"/>
  <c r="AT17" i="71"/>
  <c r="AJ17" i="71"/>
  <c r="CR17" i="71"/>
  <c r="CH17" i="71"/>
  <c r="BX17" i="71"/>
  <c r="BL17" i="71"/>
  <c r="AS17" i="71"/>
  <c r="AG17" i="71"/>
  <c r="BU17" i="71"/>
  <c r="BK17" i="71"/>
  <c r="AR17" i="71"/>
  <c r="CP17" i="71"/>
  <c r="CF17" i="71"/>
  <c r="BT17" i="71"/>
  <c r="BJ17" i="71"/>
  <c r="AO17" i="71"/>
  <c r="BS17" i="71"/>
  <c r="BI17" i="71"/>
  <c r="AZ17" i="71"/>
  <c r="AN17" i="71"/>
  <c r="CN17" i="71"/>
  <c r="AW17" i="71"/>
  <c r="AM17" i="71"/>
  <c r="D17" i="71"/>
  <c r="CW17" i="71"/>
  <c r="BQ17" i="71"/>
  <c r="AV17" i="71"/>
  <c r="AL17" i="71"/>
  <c r="CV17" i="71"/>
  <c r="BZ17" i="71"/>
  <c r="BP17" i="71"/>
  <c r="AU17" i="71"/>
  <c r="AK17" i="71"/>
  <c r="A19" i="71"/>
  <c r="B18" i="71"/>
  <c r="BB16" i="71"/>
  <c r="BA16" i="71"/>
  <c r="N16" i="71" s="1"/>
  <c r="O15" i="71"/>
  <c r="CA17" i="70"/>
  <c r="Q15" i="70"/>
  <c r="A20" i="70"/>
  <c r="B19" i="70"/>
  <c r="BS18" i="70"/>
  <c r="BK18" i="70"/>
  <c r="AU18" i="70"/>
  <c r="AM18" i="70"/>
  <c r="CP18" i="70"/>
  <c r="CH18" i="70"/>
  <c r="BZ18" i="70"/>
  <c r="BR18" i="70"/>
  <c r="BJ18" i="70"/>
  <c r="AT18" i="70"/>
  <c r="AL18" i="70"/>
  <c r="CW18" i="70"/>
  <c r="CO18" i="70"/>
  <c r="BY18" i="70"/>
  <c r="BQ18" i="70"/>
  <c r="BI18" i="70"/>
  <c r="AS18" i="70"/>
  <c r="AK18" i="70"/>
  <c r="D18" i="70"/>
  <c r="CV18" i="70"/>
  <c r="CN18" i="70"/>
  <c r="CF18" i="70"/>
  <c r="BX18" i="70"/>
  <c r="BP18" i="70"/>
  <c r="BH18" i="70"/>
  <c r="AZ18" i="70"/>
  <c r="AR18" i="70"/>
  <c r="AJ18" i="70"/>
  <c r="CU18" i="70"/>
  <c r="CE18" i="70"/>
  <c r="BW18" i="70"/>
  <c r="BO18" i="70"/>
  <c r="BG18" i="70"/>
  <c r="AY18" i="70"/>
  <c r="AQ18" i="70"/>
  <c r="AI18" i="70"/>
  <c r="CT18" i="70"/>
  <c r="CD18" i="70"/>
  <c r="BV18" i="70"/>
  <c r="BN18" i="70"/>
  <c r="AX18" i="70"/>
  <c r="AP18" i="70"/>
  <c r="AH18" i="70"/>
  <c r="CS18" i="70"/>
  <c r="CR18" i="70"/>
  <c r="BT18" i="70"/>
  <c r="BL18" i="70"/>
  <c r="AV18" i="70"/>
  <c r="BU18" i="70"/>
  <c r="AO18" i="70"/>
  <c r="BM18" i="70"/>
  <c r="AN18" i="70"/>
  <c r="AG18" i="70"/>
  <c r="AW18" i="70"/>
  <c r="BB17" i="70"/>
  <c r="BA17" i="70"/>
  <c r="BB16" i="69"/>
  <c r="BA16" i="69"/>
  <c r="N16" i="69" s="1"/>
  <c r="CR17" i="69"/>
  <c r="BL17" i="69"/>
  <c r="AV17" i="69"/>
  <c r="AN17" i="69"/>
  <c r="CP17" i="69"/>
  <c r="CH17" i="69"/>
  <c r="BZ17" i="69"/>
  <c r="BR17" i="69"/>
  <c r="AT17" i="69"/>
  <c r="AL17" i="69"/>
  <c r="CW17" i="69"/>
  <c r="CO17" i="69"/>
  <c r="BY17" i="69"/>
  <c r="BQ17" i="69"/>
  <c r="BI17" i="69"/>
  <c r="AS17" i="69"/>
  <c r="AK17" i="69"/>
  <c r="D17" i="69"/>
  <c r="CV17" i="69"/>
  <c r="CN17" i="69"/>
  <c r="CF17" i="69"/>
  <c r="BX17" i="69"/>
  <c r="BP17" i="69"/>
  <c r="BH17" i="69"/>
  <c r="AZ17" i="69"/>
  <c r="AR17" i="69"/>
  <c r="AJ17" i="69"/>
  <c r="CT17" i="69"/>
  <c r="CD17" i="69"/>
  <c r="AM17" i="69"/>
  <c r="CS17" i="69"/>
  <c r="BN17" i="69"/>
  <c r="AY17" i="69"/>
  <c r="AI17" i="69"/>
  <c r="BM17" i="69"/>
  <c r="AX17" i="69"/>
  <c r="AH17" i="69"/>
  <c r="BK17" i="69"/>
  <c r="AW17" i="69"/>
  <c r="AG17" i="69"/>
  <c r="BW17" i="69"/>
  <c r="BG17" i="69"/>
  <c r="AU17" i="69"/>
  <c r="BV17" i="69"/>
  <c r="AQ17" i="69"/>
  <c r="BU17" i="69"/>
  <c r="AP17" i="69"/>
  <c r="BS17" i="69"/>
  <c r="CU17" i="69"/>
  <c r="CE17" i="69"/>
  <c r="AO17" i="69"/>
  <c r="A19" i="69"/>
  <c r="B18" i="69"/>
  <c r="BB16" i="68"/>
  <c r="BA16" i="68"/>
  <c r="N16" i="68" s="1"/>
  <c r="Y16" i="68" s="1"/>
  <c r="Y37" i="68" s="1"/>
  <c r="BS17" i="68"/>
  <c r="BK17" i="68"/>
  <c r="AU17" i="68"/>
  <c r="AM17" i="68"/>
  <c r="CP17" i="68"/>
  <c r="CH17" i="68"/>
  <c r="BZ17" i="68"/>
  <c r="BR17" i="68"/>
  <c r="AT17" i="68"/>
  <c r="AL17" i="68"/>
  <c r="CT17" i="68"/>
  <c r="BX17" i="68"/>
  <c r="BN17" i="68"/>
  <c r="AS17" i="68"/>
  <c r="AI17" i="68"/>
  <c r="CS17" i="68"/>
  <c r="BW17" i="68"/>
  <c r="BM17" i="68"/>
  <c r="AR17" i="68"/>
  <c r="AH17" i="68"/>
  <c r="BY17" i="68"/>
  <c r="BI17" i="68"/>
  <c r="AZ17" i="68"/>
  <c r="AN17" i="68"/>
  <c r="BV17" i="68"/>
  <c r="BH17" i="68"/>
  <c r="AY17" i="68"/>
  <c r="AK17" i="68"/>
  <c r="CW17" i="68"/>
  <c r="BU17" i="68"/>
  <c r="BG17" i="68"/>
  <c r="AX17" i="68"/>
  <c r="AJ17" i="68"/>
  <c r="CV17" i="68"/>
  <c r="CF17" i="68"/>
  <c r="AW17" i="68"/>
  <c r="AG17" i="68"/>
  <c r="CU17" i="68"/>
  <c r="CE17" i="68"/>
  <c r="BQ17" i="68"/>
  <c r="AV17" i="68"/>
  <c r="CR17" i="68"/>
  <c r="CD17" i="68"/>
  <c r="BP17" i="68"/>
  <c r="AQ17" i="68"/>
  <c r="D17" i="68"/>
  <c r="CO17" i="68"/>
  <c r="AP17" i="68"/>
  <c r="CN17" i="68"/>
  <c r="BL17" i="68"/>
  <c r="AO17" i="68"/>
  <c r="A19" i="68"/>
  <c r="B18" i="68"/>
  <c r="BB17" i="67"/>
  <c r="BA17" i="67"/>
  <c r="N17" i="67" s="1"/>
  <c r="A20" i="67"/>
  <c r="B19" i="67"/>
  <c r="BS18" i="67"/>
  <c r="BK18" i="67"/>
  <c r="AU18" i="67"/>
  <c r="AM18" i="67"/>
  <c r="CP18" i="67"/>
  <c r="CH18" i="67"/>
  <c r="BZ18" i="67"/>
  <c r="BJ18" i="67"/>
  <c r="AT18" i="67"/>
  <c r="AL18" i="67"/>
  <c r="CW18" i="67"/>
  <c r="BY18" i="67"/>
  <c r="BQ18" i="67"/>
  <c r="BI18" i="67"/>
  <c r="AS18" i="67"/>
  <c r="AK18" i="67"/>
  <c r="D18" i="67"/>
  <c r="CV18" i="67"/>
  <c r="CN18" i="67"/>
  <c r="CF18" i="67"/>
  <c r="BX18" i="67"/>
  <c r="BP18" i="67"/>
  <c r="AZ18" i="67"/>
  <c r="AR18" i="67"/>
  <c r="AJ18" i="67"/>
  <c r="CU18" i="67"/>
  <c r="BW18" i="67"/>
  <c r="BO18" i="67"/>
  <c r="BG18" i="67"/>
  <c r="AY18" i="67"/>
  <c r="AQ18" i="67"/>
  <c r="AI18" i="67"/>
  <c r="CT18" i="67"/>
  <c r="CD18" i="67"/>
  <c r="BV18" i="67"/>
  <c r="BN18" i="67"/>
  <c r="AX18" i="67"/>
  <c r="AP18" i="67"/>
  <c r="AH18" i="67"/>
  <c r="CS18" i="67"/>
  <c r="BU18" i="67"/>
  <c r="AW18" i="67"/>
  <c r="AO18" i="67"/>
  <c r="AG18" i="67"/>
  <c r="CR18" i="67"/>
  <c r="BT18" i="67"/>
  <c r="BL18" i="67"/>
  <c r="AV18" i="67"/>
  <c r="AN18" i="67"/>
  <c r="CT18" i="66"/>
  <c r="CD18" i="66"/>
  <c r="BV18" i="66"/>
  <c r="BN18" i="66"/>
  <c r="AX18" i="66"/>
  <c r="AP18" i="66"/>
  <c r="AH18" i="66"/>
  <c r="CS18" i="66"/>
  <c r="BU18" i="66"/>
  <c r="BM18" i="66"/>
  <c r="AW18" i="66"/>
  <c r="AO18" i="66"/>
  <c r="AG18" i="66"/>
  <c r="CR18" i="66"/>
  <c r="BT18" i="66"/>
  <c r="BL18" i="66"/>
  <c r="AV18" i="66"/>
  <c r="AN18" i="66"/>
  <c r="BS18" i="66"/>
  <c r="BK18" i="66"/>
  <c r="AU18" i="66"/>
  <c r="AM18" i="66"/>
  <c r="CP18" i="66"/>
  <c r="CH18" i="66"/>
  <c r="BZ18" i="66"/>
  <c r="BR18" i="66"/>
  <c r="BJ18" i="66"/>
  <c r="AT18" i="66"/>
  <c r="AL18" i="66"/>
  <c r="CW18" i="66"/>
  <c r="CO18" i="66"/>
  <c r="BY18" i="66"/>
  <c r="BQ18" i="66"/>
  <c r="BI18" i="66"/>
  <c r="AS18" i="66"/>
  <c r="AK18" i="66"/>
  <c r="D18" i="66"/>
  <c r="CV18" i="66"/>
  <c r="CN18" i="66"/>
  <c r="CF18" i="66"/>
  <c r="BX18" i="66"/>
  <c r="BP18" i="66"/>
  <c r="BH18" i="66"/>
  <c r="AZ18" i="66"/>
  <c r="AR18" i="66"/>
  <c r="AJ18" i="66"/>
  <c r="CU18" i="66"/>
  <c r="CE18" i="66"/>
  <c r="BW18" i="66"/>
  <c r="BO18" i="66"/>
  <c r="BG18" i="66"/>
  <c r="AY18" i="66"/>
  <c r="AQ18" i="66"/>
  <c r="AI18" i="66"/>
  <c r="B19" i="66"/>
  <c r="A20" i="66"/>
  <c r="BB17" i="66"/>
  <c r="BA17" i="66"/>
  <c r="N17" i="66" s="1"/>
  <c r="Q14" i="65"/>
  <c r="B18" i="65"/>
  <c r="A19" i="65"/>
  <c r="CT17" i="65"/>
  <c r="CD17" i="65"/>
  <c r="BV17" i="65"/>
  <c r="AX17" i="65"/>
  <c r="AP17" i="65"/>
  <c r="AH17" i="65"/>
  <c r="CS17" i="65"/>
  <c r="BU17" i="65"/>
  <c r="BM17" i="65"/>
  <c r="AW17" i="65"/>
  <c r="AO17" i="65"/>
  <c r="AG17" i="65"/>
  <c r="CO17" i="65"/>
  <c r="CE17" i="65"/>
  <c r="BT17" i="65"/>
  <c r="BJ17" i="65"/>
  <c r="AR17" i="65"/>
  <c r="CN17" i="65"/>
  <c r="BS17" i="65"/>
  <c r="AQ17" i="65"/>
  <c r="CW17" i="65"/>
  <c r="BR17" i="65"/>
  <c r="BH17" i="65"/>
  <c r="AZ17" i="65"/>
  <c r="AN17" i="65"/>
  <c r="D17" i="65"/>
  <c r="CV17" i="65"/>
  <c r="BQ17" i="65"/>
  <c r="BG17" i="65"/>
  <c r="AY17" i="65"/>
  <c r="AM17" i="65"/>
  <c r="CU17" i="65"/>
  <c r="BZ17" i="65"/>
  <c r="BP17" i="65"/>
  <c r="AV17" i="65"/>
  <c r="AL17" i="65"/>
  <c r="CR17" i="65"/>
  <c r="CH17" i="65"/>
  <c r="BY17" i="65"/>
  <c r="BO17" i="65"/>
  <c r="AU17" i="65"/>
  <c r="AK17" i="65"/>
  <c r="BX17" i="65"/>
  <c r="BL17" i="65"/>
  <c r="AT17" i="65"/>
  <c r="AJ17" i="65"/>
  <c r="CP17" i="65"/>
  <c r="BW17" i="65"/>
  <c r="BK17" i="65"/>
  <c r="AS17" i="65"/>
  <c r="AI17" i="65"/>
  <c r="BB16" i="65"/>
  <c r="BA16" i="65"/>
  <c r="BB16" i="64"/>
  <c r="BA16" i="64"/>
  <c r="CS17" i="64"/>
  <c r="BU17" i="64"/>
  <c r="BM17" i="64"/>
  <c r="AW17" i="64"/>
  <c r="AO17" i="64"/>
  <c r="AG17" i="64"/>
  <c r="CR17" i="64"/>
  <c r="BT17" i="64"/>
  <c r="BL17" i="64"/>
  <c r="AV17" i="64"/>
  <c r="AN17" i="64"/>
  <c r="BS17" i="64"/>
  <c r="BK17" i="64"/>
  <c r="AU17" i="64"/>
  <c r="AM17" i="64"/>
  <c r="CP17" i="64"/>
  <c r="CH17" i="64"/>
  <c r="BZ17" i="64"/>
  <c r="BR17" i="64"/>
  <c r="BJ17" i="64"/>
  <c r="AT17" i="64"/>
  <c r="AL17" i="64"/>
  <c r="CV17" i="64"/>
  <c r="CN17" i="64"/>
  <c r="CF17" i="64"/>
  <c r="BX17" i="64"/>
  <c r="BP17" i="64"/>
  <c r="BH17" i="64"/>
  <c r="AZ17" i="64"/>
  <c r="AR17" i="64"/>
  <c r="BW17" i="64"/>
  <c r="AP17" i="64"/>
  <c r="BV17" i="64"/>
  <c r="AK17" i="64"/>
  <c r="BQ17" i="64"/>
  <c r="AJ17" i="64"/>
  <c r="CE17" i="64"/>
  <c r="BO17" i="64"/>
  <c r="AI17" i="64"/>
  <c r="CW17" i="64"/>
  <c r="CD17" i="64"/>
  <c r="BN17" i="64"/>
  <c r="AY17" i="64"/>
  <c r="AH17" i="64"/>
  <c r="D17" i="64"/>
  <c r="CU17" i="64"/>
  <c r="BI17" i="64"/>
  <c r="AX17" i="64"/>
  <c r="CT17" i="64"/>
  <c r="BG17" i="64"/>
  <c r="AS17" i="64"/>
  <c r="CO17" i="64"/>
  <c r="BY17" i="64"/>
  <c r="AQ17" i="64"/>
  <c r="B18" i="64"/>
  <c r="A19" i="64"/>
  <c r="CA16" i="64"/>
  <c r="CU17" i="63"/>
  <c r="CE17" i="63"/>
  <c r="BW17" i="63"/>
  <c r="BO17" i="63"/>
  <c r="BG17" i="63"/>
  <c r="AY17" i="63"/>
  <c r="AQ17" i="63"/>
  <c r="AI17" i="63"/>
  <c r="CT17" i="63"/>
  <c r="CD17" i="63"/>
  <c r="BV17" i="63"/>
  <c r="BN17" i="63"/>
  <c r="AX17" i="63"/>
  <c r="AP17" i="63"/>
  <c r="AH17" i="63"/>
  <c r="CN17" i="63"/>
  <c r="BR17" i="63"/>
  <c r="BH17" i="63"/>
  <c r="AW17" i="63"/>
  <c r="AM17" i="63"/>
  <c r="D17" i="63"/>
  <c r="CW17" i="63"/>
  <c r="BQ17" i="63"/>
  <c r="AV17" i="63"/>
  <c r="AL17" i="63"/>
  <c r="CV17" i="63"/>
  <c r="BZ17" i="63"/>
  <c r="BP17" i="63"/>
  <c r="AU17" i="63"/>
  <c r="AK17" i="63"/>
  <c r="CS17" i="63"/>
  <c r="BY17" i="63"/>
  <c r="BM17" i="63"/>
  <c r="AT17" i="63"/>
  <c r="AJ17" i="63"/>
  <c r="CR17" i="63"/>
  <c r="BX17" i="63"/>
  <c r="BL17" i="63"/>
  <c r="AS17" i="63"/>
  <c r="AG17" i="63"/>
  <c r="BU17" i="63"/>
  <c r="AR17" i="63"/>
  <c r="CP17" i="63"/>
  <c r="CF17" i="63"/>
  <c r="BT17" i="63"/>
  <c r="BJ17" i="63"/>
  <c r="AO17" i="63"/>
  <c r="CO17" i="63"/>
  <c r="BS17" i="63"/>
  <c r="BI17" i="63"/>
  <c r="AZ17" i="63"/>
  <c r="AN17" i="63"/>
  <c r="N15" i="63"/>
  <c r="A19" i="63"/>
  <c r="B18" i="63"/>
  <c r="BB16" i="63"/>
  <c r="BA16" i="63"/>
  <c r="N16" i="63" s="1"/>
  <c r="CI19" i="70" l="1"/>
  <c r="CK19" i="70"/>
  <c r="CL19" i="70"/>
  <c r="CM19" i="70"/>
  <c r="CG19" i="70"/>
  <c r="CQ19" i="70"/>
  <c r="CI18" i="69"/>
  <c r="CJ18" i="69"/>
  <c r="CQ18" i="69"/>
  <c r="CK18" i="69"/>
  <c r="CL18" i="69"/>
  <c r="CG18" i="69"/>
  <c r="CI18" i="73"/>
  <c r="CJ18" i="73"/>
  <c r="CQ18" i="73"/>
  <c r="CK18" i="73"/>
  <c r="CL18" i="73"/>
  <c r="CM18" i="73"/>
  <c r="CG18" i="73"/>
  <c r="CI18" i="68"/>
  <c r="CJ18" i="68"/>
  <c r="CQ18" i="68"/>
  <c r="CK18" i="68"/>
  <c r="CL18" i="68"/>
  <c r="CG18" i="68"/>
  <c r="CJ17" i="72"/>
  <c r="CK17" i="72"/>
  <c r="CL17" i="72"/>
  <c r="CM17" i="72"/>
  <c r="CG17" i="72"/>
  <c r="CQ17" i="72"/>
  <c r="CI17" i="72"/>
  <c r="CI19" i="67"/>
  <c r="CQ19" i="67"/>
  <c r="CJ19" i="67"/>
  <c r="CG19" i="67"/>
  <c r="CL19" i="67"/>
  <c r="CM19" i="67"/>
  <c r="CJ18" i="71"/>
  <c r="CQ18" i="71"/>
  <c r="CL18" i="71"/>
  <c r="CM18" i="71"/>
  <c r="CI18" i="71"/>
  <c r="CG18" i="71"/>
  <c r="CI19" i="66"/>
  <c r="CQ19" i="66"/>
  <c r="CJ19" i="66"/>
  <c r="CK19" i="66"/>
  <c r="CG19" i="66"/>
  <c r="CL19" i="66"/>
  <c r="CM19" i="66"/>
  <c r="CI18" i="65"/>
  <c r="CJ18" i="65"/>
  <c r="CK18" i="65"/>
  <c r="CQ18" i="65"/>
  <c r="CL18" i="65"/>
  <c r="CM18" i="65"/>
  <c r="CI18" i="64"/>
  <c r="CL18" i="64"/>
  <c r="CM18" i="64"/>
  <c r="CG18" i="64"/>
  <c r="CQ18" i="64"/>
  <c r="CJ18" i="64"/>
  <c r="CK18" i="64"/>
  <c r="CI18" i="63"/>
  <c r="CJ18" i="63"/>
  <c r="CK18" i="63"/>
  <c r="CL18" i="63"/>
  <c r="CM18" i="63"/>
  <c r="CQ18" i="63"/>
  <c r="CG18" i="63"/>
  <c r="CX17" i="64"/>
  <c r="P17" i="64" s="1"/>
  <c r="CX18" i="70"/>
  <c r="P18" i="70" s="1"/>
  <c r="CX17" i="73"/>
  <c r="P17" i="73" s="1"/>
  <c r="Q16" i="73"/>
  <c r="CA17" i="73"/>
  <c r="O17" i="73" s="1"/>
  <c r="Q15" i="73"/>
  <c r="BB17" i="73"/>
  <c r="BA17" i="73"/>
  <c r="N17" i="73" s="1"/>
  <c r="Y16" i="73" s="1"/>
  <c r="CR18" i="73"/>
  <c r="BT18" i="73"/>
  <c r="BL18" i="73"/>
  <c r="AV18" i="73"/>
  <c r="AN18" i="73"/>
  <c r="BS18" i="73"/>
  <c r="BK18" i="73"/>
  <c r="AU18" i="73"/>
  <c r="AM18" i="73"/>
  <c r="CP18" i="73"/>
  <c r="CH18" i="73"/>
  <c r="BZ18" i="73"/>
  <c r="BR18" i="73"/>
  <c r="BJ18" i="73"/>
  <c r="AT18" i="73"/>
  <c r="AL18" i="73"/>
  <c r="CW18" i="73"/>
  <c r="CO18" i="73"/>
  <c r="BY18" i="73"/>
  <c r="BQ18" i="73"/>
  <c r="BI18" i="73"/>
  <c r="AS18" i="73"/>
  <c r="AK18" i="73"/>
  <c r="D18" i="73"/>
  <c r="CV18" i="73"/>
  <c r="CN18" i="73"/>
  <c r="CF18" i="73"/>
  <c r="BX18" i="73"/>
  <c r="BP18" i="73"/>
  <c r="BH18" i="73"/>
  <c r="AZ18" i="73"/>
  <c r="AR18" i="73"/>
  <c r="AJ18" i="73"/>
  <c r="CU18" i="73"/>
  <c r="CE18" i="73"/>
  <c r="BW18" i="73"/>
  <c r="BO18" i="73"/>
  <c r="BG18" i="73"/>
  <c r="AY18" i="73"/>
  <c r="AQ18" i="73"/>
  <c r="AI18" i="73"/>
  <c r="CT18" i="73"/>
  <c r="CD18" i="73"/>
  <c r="BV18" i="73"/>
  <c r="BN18" i="73"/>
  <c r="AX18" i="73"/>
  <c r="AP18" i="73"/>
  <c r="AH18" i="73"/>
  <c r="CS18" i="73"/>
  <c r="BU18" i="73"/>
  <c r="BM18" i="73"/>
  <c r="AW18" i="73"/>
  <c r="AO18" i="73"/>
  <c r="AG18" i="73"/>
  <c r="A20" i="73"/>
  <c r="B19" i="73"/>
  <c r="A19" i="72"/>
  <c r="B18" i="72"/>
  <c r="CR17" i="72"/>
  <c r="BT17" i="72"/>
  <c r="BL17" i="72"/>
  <c r="AV17" i="72"/>
  <c r="AN17" i="72"/>
  <c r="CP17" i="72"/>
  <c r="BR17" i="72"/>
  <c r="BJ17" i="72"/>
  <c r="AT17" i="72"/>
  <c r="AL17" i="72"/>
  <c r="CO17" i="72"/>
  <c r="BY17" i="72"/>
  <c r="BQ17" i="72"/>
  <c r="BI17" i="72"/>
  <c r="AS17" i="72"/>
  <c r="AK17" i="72"/>
  <c r="D17" i="72"/>
  <c r="CV17" i="72"/>
  <c r="CN17" i="72"/>
  <c r="CF17" i="72"/>
  <c r="BX17" i="72"/>
  <c r="BP17" i="72"/>
  <c r="BH17" i="72"/>
  <c r="AZ17" i="72"/>
  <c r="AR17" i="72"/>
  <c r="AJ17" i="72"/>
  <c r="CU17" i="72"/>
  <c r="CE17" i="72"/>
  <c r="BW17" i="72"/>
  <c r="BO17" i="72"/>
  <c r="BG17" i="72"/>
  <c r="AY17" i="72"/>
  <c r="AQ17" i="72"/>
  <c r="AI17" i="72"/>
  <c r="CT17" i="72"/>
  <c r="CD17" i="72"/>
  <c r="BV17" i="72"/>
  <c r="BN17" i="72"/>
  <c r="AX17" i="72"/>
  <c r="AP17" i="72"/>
  <c r="AH17" i="72"/>
  <c r="CS17" i="72"/>
  <c r="BU17" i="72"/>
  <c r="BM17" i="72"/>
  <c r="AW17" i="72"/>
  <c r="AO17" i="72"/>
  <c r="AG17" i="72"/>
  <c r="AU17" i="72"/>
  <c r="AM17" i="72"/>
  <c r="BS17" i="72"/>
  <c r="BB16" i="72"/>
  <c r="BA16" i="72"/>
  <c r="N16" i="72" s="1"/>
  <c r="CH18" i="71"/>
  <c r="BZ18" i="71"/>
  <c r="BR18" i="71"/>
  <c r="BJ18" i="71"/>
  <c r="AT18" i="71"/>
  <c r="AL18" i="71"/>
  <c r="CW18" i="71"/>
  <c r="CO18" i="71"/>
  <c r="BY18" i="71"/>
  <c r="BQ18" i="71"/>
  <c r="AS18" i="71"/>
  <c r="AK18" i="71"/>
  <c r="D18" i="71"/>
  <c r="CR18" i="71"/>
  <c r="BV18" i="71"/>
  <c r="BL18" i="71"/>
  <c r="AZ18" i="71"/>
  <c r="AP18" i="71"/>
  <c r="CE18" i="71"/>
  <c r="BU18" i="71"/>
  <c r="BK18" i="71"/>
  <c r="AY18" i="71"/>
  <c r="AO18" i="71"/>
  <c r="CN18" i="71"/>
  <c r="CD18" i="71"/>
  <c r="BT18" i="71"/>
  <c r="BH18" i="71"/>
  <c r="AX18" i="71"/>
  <c r="AN18" i="71"/>
  <c r="BG18" i="71"/>
  <c r="AW18" i="71"/>
  <c r="AM18" i="71"/>
  <c r="CV18" i="71"/>
  <c r="BP18" i="71"/>
  <c r="AV18" i="71"/>
  <c r="AJ18" i="71"/>
  <c r="BO18" i="71"/>
  <c r="AU18" i="71"/>
  <c r="AI18" i="71"/>
  <c r="CT18" i="71"/>
  <c r="AR18" i="71"/>
  <c r="AH18" i="71"/>
  <c r="CS18" i="71"/>
  <c r="BW18" i="71"/>
  <c r="BM18" i="71"/>
  <c r="AQ18" i="71"/>
  <c r="AG18" i="71"/>
  <c r="A20" i="71"/>
  <c r="B19" i="71"/>
  <c r="BB17" i="71"/>
  <c r="BA17" i="71"/>
  <c r="N17" i="71" s="1"/>
  <c r="Q15" i="71"/>
  <c r="CD19" i="70"/>
  <c r="BV19" i="70"/>
  <c r="BN19" i="70"/>
  <c r="AX19" i="70"/>
  <c r="AP19" i="70"/>
  <c r="AH19" i="70"/>
  <c r="CS19" i="70"/>
  <c r="BU19" i="70"/>
  <c r="AW19" i="70"/>
  <c r="AO19" i="70"/>
  <c r="AG19" i="70"/>
  <c r="CR19" i="70"/>
  <c r="BT19" i="70"/>
  <c r="BL19" i="70"/>
  <c r="AV19" i="70"/>
  <c r="AN19" i="70"/>
  <c r="BS19" i="70"/>
  <c r="BK19" i="70"/>
  <c r="AU19" i="70"/>
  <c r="AM19" i="70"/>
  <c r="CP19" i="70"/>
  <c r="CH19" i="70"/>
  <c r="BZ19" i="70"/>
  <c r="BJ19" i="70"/>
  <c r="AT19" i="70"/>
  <c r="AL19" i="70"/>
  <c r="CW19" i="70"/>
  <c r="BY19" i="70"/>
  <c r="BQ19" i="70"/>
  <c r="BI19" i="70"/>
  <c r="AS19" i="70"/>
  <c r="AK19" i="70"/>
  <c r="D19" i="70"/>
  <c r="CV19" i="70"/>
  <c r="CN19" i="70"/>
  <c r="CF19" i="70"/>
  <c r="BX19" i="70"/>
  <c r="BP19" i="70"/>
  <c r="AZ19" i="70"/>
  <c r="AR19" i="70"/>
  <c r="AJ19" i="70"/>
  <c r="CU19" i="70"/>
  <c r="BO19" i="70"/>
  <c r="BG19" i="70"/>
  <c r="AY19" i="70"/>
  <c r="AQ19" i="70"/>
  <c r="AI19" i="70"/>
  <c r="B20" i="70"/>
  <c r="A21" i="70"/>
  <c r="BB18" i="70"/>
  <c r="BA18" i="70"/>
  <c r="N18" i="70" s="1"/>
  <c r="N17" i="70"/>
  <c r="CA18" i="70"/>
  <c r="O18" i="70" s="1"/>
  <c r="O17" i="70"/>
  <c r="CU18" i="69"/>
  <c r="CE18" i="69"/>
  <c r="BW18" i="69"/>
  <c r="BO18" i="69"/>
  <c r="BG18" i="69"/>
  <c r="AY18" i="69"/>
  <c r="AQ18" i="69"/>
  <c r="AI18" i="69"/>
  <c r="CT18" i="69"/>
  <c r="CD18" i="69"/>
  <c r="BV18" i="69"/>
  <c r="BN18" i="69"/>
  <c r="AX18" i="69"/>
  <c r="AP18" i="69"/>
  <c r="AH18" i="69"/>
  <c r="CS18" i="69"/>
  <c r="BM18" i="69"/>
  <c r="AW18" i="69"/>
  <c r="AO18" i="69"/>
  <c r="AG18" i="69"/>
  <c r="BT18" i="69"/>
  <c r="BL18" i="69"/>
  <c r="AV18" i="69"/>
  <c r="AN18" i="69"/>
  <c r="BS18" i="69"/>
  <c r="AU18" i="69"/>
  <c r="AM18" i="69"/>
  <c r="CP18" i="69"/>
  <c r="CW18" i="69"/>
  <c r="CO18" i="69"/>
  <c r="BY18" i="69"/>
  <c r="BQ18" i="69"/>
  <c r="BX18" i="69"/>
  <c r="AL18" i="69"/>
  <c r="CV18" i="69"/>
  <c r="BR18" i="69"/>
  <c r="AK18" i="69"/>
  <c r="CN18" i="69"/>
  <c r="AJ18" i="69"/>
  <c r="BJ18" i="69"/>
  <c r="D18" i="69"/>
  <c r="CF18" i="69"/>
  <c r="BI18" i="69"/>
  <c r="AZ18" i="69"/>
  <c r="BH18" i="69"/>
  <c r="AT18" i="69"/>
  <c r="AS18" i="69"/>
  <c r="AR18" i="69"/>
  <c r="BZ18" i="69"/>
  <c r="BB17" i="69"/>
  <c r="BA17" i="69"/>
  <c r="N17" i="69" s="1"/>
  <c r="Y16" i="69" s="1"/>
  <c r="B19" i="69"/>
  <c r="A20" i="69"/>
  <c r="B19" i="68"/>
  <c r="A20" i="68"/>
  <c r="BB17" i="68"/>
  <c r="BA17" i="68"/>
  <c r="N17" i="68" s="1"/>
  <c r="CT18" i="68"/>
  <c r="CD18" i="68"/>
  <c r="BV18" i="68"/>
  <c r="BN18" i="68"/>
  <c r="AX18" i="68"/>
  <c r="AP18" i="68"/>
  <c r="AH18" i="68"/>
  <c r="CS18" i="68"/>
  <c r="BM18" i="68"/>
  <c r="AW18" i="68"/>
  <c r="AO18" i="68"/>
  <c r="AG18" i="68"/>
  <c r="CN18" i="68"/>
  <c r="BS18" i="68"/>
  <c r="BI18" i="68"/>
  <c r="AQ18" i="68"/>
  <c r="CW18" i="68"/>
  <c r="BR18" i="68"/>
  <c r="BH18" i="68"/>
  <c r="AZ18" i="68"/>
  <c r="AN18" i="68"/>
  <c r="D18" i="68"/>
  <c r="CO18" i="68"/>
  <c r="AR18" i="68"/>
  <c r="BO18" i="68"/>
  <c r="AM18" i="68"/>
  <c r="BZ18" i="68"/>
  <c r="BL18" i="68"/>
  <c r="AL18" i="68"/>
  <c r="CV18" i="68"/>
  <c r="BY18" i="68"/>
  <c r="AY18" i="68"/>
  <c r="AK18" i="68"/>
  <c r="CU18" i="68"/>
  <c r="BX18" i="68"/>
  <c r="BJ18" i="68"/>
  <c r="AV18" i="68"/>
  <c r="AJ18" i="68"/>
  <c r="CF18" i="68"/>
  <c r="BW18" i="68"/>
  <c r="BG18" i="68"/>
  <c r="AU18" i="68"/>
  <c r="AI18" i="68"/>
  <c r="CE18" i="68"/>
  <c r="BT18" i="68"/>
  <c r="AT18" i="68"/>
  <c r="CP18" i="68"/>
  <c r="BQ18" i="68"/>
  <c r="AS18" i="68"/>
  <c r="CV19" i="67"/>
  <c r="CT19" i="67"/>
  <c r="CD19" i="67"/>
  <c r="BV19" i="67"/>
  <c r="AX19" i="67"/>
  <c r="AP19" i="67"/>
  <c r="AH19" i="67"/>
  <c r="CS19" i="67"/>
  <c r="BU19" i="67"/>
  <c r="BM19" i="67"/>
  <c r="AW19" i="67"/>
  <c r="AO19" i="67"/>
  <c r="AG19" i="67"/>
  <c r="CR19" i="67"/>
  <c r="BT19" i="67"/>
  <c r="BL19" i="67"/>
  <c r="AV19" i="67"/>
  <c r="AN19" i="67"/>
  <c r="BK19" i="67"/>
  <c r="AU19" i="67"/>
  <c r="AM19" i="67"/>
  <c r="CH19" i="67"/>
  <c r="BZ19" i="67"/>
  <c r="BR19" i="67"/>
  <c r="BJ19" i="67"/>
  <c r="AT19" i="67"/>
  <c r="AL19" i="67"/>
  <c r="CO19" i="67"/>
  <c r="BY19" i="67"/>
  <c r="BQ19" i="67"/>
  <c r="AS19" i="67"/>
  <c r="AK19" i="67"/>
  <c r="D19" i="67"/>
  <c r="CW19" i="67"/>
  <c r="CN19" i="67"/>
  <c r="BX19" i="67"/>
  <c r="BP19" i="67"/>
  <c r="BH19" i="67"/>
  <c r="AZ19" i="67"/>
  <c r="AR19" i="67"/>
  <c r="AJ19" i="67"/>
  <c r="CU19" i="67"/>
  <c r="CE19" i="67"/>
  <c r="BW19" i="67"/>
  <c r="BO19" i="67"/>
  <c r="BG19" i="67"/>
  <c r="AY19" i="67"/>
  <c r="AQ19" i="67"/>
  <c r="AI19" i="67"/>
  <c r="A21" i="67"/>
  <c r="B20" i="67"/>
  <c r="BB18" i="67"/>
  <c r="BA18" i="67"/>
  <c r="N18" i="67" s="1"/>
  <c r="BB18" i="66"/>
  <c r="BA18" i="66"/>
  <c r="N18" i="66" s="1"/>
  <c r="A21" i="66"/>
  <c r="B20" i="66"/>
  <c r="CW19" i="66"/>
  <c r="CO19" i="66"/>
  <c r="BY19" i="66"/>
  <c r="BQ19" i="66"/>
  <c r="BI19" i="66"/>
  <c r="AS19" i="66"/>
  <c r="AK19" i="66"/>
  <c r="D19" i="66"/>
  <c r="CV19" i="66"/>
  <c r="CN19" i="66"/>
  <c r="CF19" i="66"/>
  <c r="BX19" i="66"/>
  <c r="BP19" i="66"/>
  <c r="BH19" i="66"/>
  <c r="AZ19" i="66"/>
  <c r="AR19" i="66"/>
  <c r="AJ19" i="66"/>
  <c r="CU19" i="66"/>
  <c r="CE19" i="66"/>
  <c r="BW19" i="66"/>
  <c r="BO19" i="66"/>
  <c r="BG19" i="66"/>
  <c r="AY19" i="66"/>
  <c r="AQ19" i="66"/>
  <c r="AI19" i="66"/>
  <c r="CT19" i="66"/>
  <c r="CD19" i="66"/>
  <c r="BV19" i="66"/>
  <c r="BN19" i="66"/>
  <c r="AX19" i="66"/>
  <c r="AP19" i="66"/>
  <c r="AH19" i="66"/>
  <c r="CS19" i="66"/>
  <c r="BU19" i="66"/>
  <c r="BM19" i="66"/>
  <c r="AW19" i="66"/>
  <c r="AO19" i="66"/>
  <c r="AG19" i="66"/>
  <c r="CR19" i="66"/>
  <c r="BT19" i="66"/>
  <c r="BL19" i="66"/>
  <c r="AV19" i="66"/>
  <c r="AN19" i="66"/>
  <c r="BS19" i="66"/>
  <c r="BK19" i="66"/>
  <c r="AU19" i="66"/>
  <c r="AM19" i="66"/>
  <c r="CP19" i="66"/>
  <c r="CH19" i="66"/>
  <c r="BZ19" i="66"/>
  <c r="BR19" i="66"/>
  <c r="BJ19" i="66"/>
  <c r="AT19" i="66"/>
  <c r="AL19" i="66"/>
  <c r="CA18" i="66"/>
  <c r="O18" i="66" s="1"/>
  <c r="BB17" i="65"/>
  <c r="BA17" i="65"/>
  <c r="N17" i="65" s="1"/>
  <c r="A20" i="65"/>
  <c r="B19" i="65"/>
  <c r="CW18" i="65"/>
  <c r="CO18" i="65"/>
  <c r="BY18" i="65"/>
  <c r="BQ18" i="65"/>
  <c r="BI18" i="65"/>
  <c r="AS18" i="65"/>
  <c r="AK18" i="65"/>
  <c r="D18" i="65"/>
  <c r="CV18" i="65"/>
  <c r="CN18" i="65"/>
  <c r="CF18" i="65"/>
  <c r="BX18" i="65"/>
  <c r="BP18" i="65"/>
  <c r="BH18" i="65"/>
  <c r="AZ18" i="65"/>
  <c r="AR18" i="65"/>
  <c r="AJ18" i="65"/>
  <c r="CR18" i="65"/>
  <c r="BT18" i="65"/>
  <c r="CP18" i="65"/>
  <c r="BR18" i="65"/>
  <c r="AV18" i="65"/>
  <c r="AL18" i="65"/>
  <c r="AU18" i="65"/>
  <c r="AI18" i="65"/>
  <c r="BN18" i="65"/>
  <c r="AT18" i="65"/>
  <c r="AH18" i="65"/>
  <c r="BZ18" i="65"/>
  <c r="BM18" i="65"/>
  <c r="AQ18" i="65"/>
  <c r="AG18" i="65"/>
  <c r="CU18" i="65"/>
  <c r="BW18" i="65"/>
  <c r="BL18" i="65"/>
  <c r="AP18" i="65"/>
  <c r="CT18" i="65"/>
  <c r="CH18" i="65"/>
  <c r="BV18" i="65"/>
  <c r="BK18" i="65"/>
  <c r="AY18" i="65"/>
  <c r="AO18" i="65"/>
  <c r="CS18" i="65"/>
  <c r="CE18" i="65"/>
  <c r="BU18" i="65"/>
  <c r="AX18" i="65"/>
  <c r="AN18" i="65"/>
  <c r="CD18" i="65"/>
  <c r="BS18" i="65"/>
  <c r="BG18" i="65"/>
  <c r="AW18" i="65"/>
  <c r="AM18" i="65"/>
  <c r="N16" i="65"/>
  <c r="BB17" i="64"/>
  <c r="BA17" i="64"/>
  <c r="N17" i="64" s="1"/>
  <c r="Y16" i="64" s="1"/>
  <c r="B19" i="64"/>
  <c r="A20" i="64"/>
  <c r="N16" i="64"/>
  <c r="O16" i="64"/>
  <c r="CV18" i="64"/>
  <c r="CN18" i="64"/>
  <c r="CF18" i="64"/>
  <c r="BX18" i="64"/>
  <c r="BP18" i="64"/>
  <c r="BH18" i="64"/>
  <c r="AZ18" i="64"/>
  <c r="AR18" i="64"/>
  <c r="AJ18" i="64"/>
  <c r="CU18" i="64"/>
  <c r="CE18" i="64"/>
  <c r="BW18" i="64"/>
  <c r="BO18" i="64"/>
  <c r="AY18" i="64"/>
  <c r="AQ18" i="64"/>
  <c r="AI18" i="64"/>
  <c r="CT18" i="64"/>
  <c r="BV18" i="64"/>
  <c r="BN18" i="64"/>
  <c r="AX18" i="64"/>
  <c r="AP18" i="64"/>
  <c r="AH18" i="64"/>
  <c r="CS18" i="64"/>
  <c r="BU18" i="64"/>
  <c r="BM18" i="64"/>
  <c r="AW18" i="64"/>
  <c r="AO18" i="64"/>
  <c r="AG18" i="64"/>
  <c r="CR18" i="64"/>
  <c r="BT18" i="64"/>
  <c r="BL18" i="64"/>
  <c r="AV18" i="64"/>
  <c r="AN18" i="64"/>
  <c r="BS18" i="64"/>
  <c r="BK18" i="64"/>
  <c r="AU18" i="64"/>
  <c r="AM18" i="64"/>
  <c r="CP18" i="64"/>
  <c r="CH18" i="64"/>
  <c r="BZ18" i="64"/>
  <c r="BR18" i="64"/>
  <c r="BJ18" i="64"/>
  <c r="CW18" i="64"/>
  <c r="CO18" i="64"/>
  <c r="BI18" i="64"/>
  <c r="AL18" i="64"/>
  <c r="AK18" i="64"/>
  <c r="D18" i="64"/>
  <c r="BY18" i="64"/>
  <c r="AT18" i="64"/>
  <c r="BQ18" i="64"/>
  <c r="AS18" i="64"/>
  <c r="CA17" i="64"/>
  <c r="O17" i="64" s="1"/>
  <c r="BB17" i="63"/>
  <c r="BA17" i="63"/>
  <c r="N17" i="63" s="1"/>
  <c r="Y15" i="63"/>
  <c r="CP18" i="63"/>
  <c r="CH18" i="63"/>
  <c r="BZ18" i="63"/>
  <c r="BR18" i="63"/>
  <c r="BJ18" i="63"/>
  <c r="AT18" i="63"/>
  <c r="AL18" i="63"/>
  <c r="CW18" i="63"/>
  <c r="CO18" i="63"/>
  <c r="BY18" i="63"/>
  <c r="BQ18" i="63"/>
  <c r="BI18" i="63"/>
  <c r="AS18" i="63"/>
  <c r="AK18" i="63"/>
  <c r="D18" i="63"/>
  <c r="CU18" i="63"/>
  <c r="BO18" i="63"/>
  <c r="AU18" i="63"/>
  <c r="AI18" i="63"/>
  <c r="CT18" i="63"/>
  <c r="BX18" i="63"/>
  <c r="BN18" i="63"/>
  <c r="AR18" i="63"/>
  <c r="AH18" i="63"/>
  <c r="CS18" i="63"/>
  <c r="BW18" i="63"/>
  <c r="BM18" i="63"/>
  <c r="AQ18" i="63"/>
  <c r="AG18" i="63"/>
  <c r="CR18" i="63"/>
  <c r="CF18" i="63"/>
  <c r="BV18" i="63"/>
  <c r="BL18" i="63"/>
  <c r="AZ18" i="63"/>
  <c r="AP18" i="63"/>
  <c r="CE18" i="63"/>
  <c r="BU18" i="63"/>
  <c r="BK18" i="63"/>
  <c r="AY18" i="63"/>
  <c r="AO18" i="63"/>
  <c r="CN18" i="63"/>
  <c r="CD18" i="63"/>
  <c r="BT18" i="63"/>
  <c r="BH18" i="63"/>
  <c r="AX18" i="63"/>
  <c r="AN18" i="63"/>
  <c r="BS18" i="63"/>
  <c r="BG18" i="63"/>
  <c r="AW18" i="63"/>
  <c r="AM18" i="63"/>
  <c r="CV18" i="63"/>
  <c r="BP18" i="63"/>
  <c r="AV18" i="63"/>
  <c r="AJ18" i="63"/>
  <c r="A20" i="63"/>
  <c r="B19" i="63"/>
  <c r="CI19" i="68" l="1"/>
  <c r="CK19" i="68"/>
  <c r="CG19" i="68"/>
  <c r="CL19" i="68"/>
  <c r="CM19" i="68"/>
  <c r="CQ19" i="68"/>
  <c r="CJ19" i="68"/>
  <c r="CM19" i="71"/>
  <c r="CQ19" i="71"/>
  <c r="CJ19" i="71"/>
  <c r="CI19" i="71"/>
  <c r="CK19" i="71"/>
  <c r="CK19" i="73"/>
  <c r="CG19" i="73"/>
  <c r="CI19" i="73"/>
  <c r="CL19" i="73"/>
  <c r="CM19" i="73"/>
  <c r="CQ19" i="73"/>
  <c r="CJ19" i="73"/>
  <c r="CI20" i="67"/>
  <c r="CM20" i="67"/>
  <c r="CQ20" i="67"/>
  <c r="CJ20" i="67"/>
  <c r="CK20" i="67"/>
  <c r="CI19" i="69"/>
  <c r="CQ19" i="69"/>
  <c r="CJ19" i="69"/>
  <c r="CK19" i="69"/>
  <c r="CL19" i="69"/>
  <c r="CG19" i="69"/>
  <c r="CM19" i="69"/>
  <c r="CI20" i="70"/>
  <c r="CJ20" i="70"/>
  <c r="CL20" i="70"/>
  <c r="CG20" i="70"/>
  <c r="CM20" i="70"/>
  <c r="CQ20" i="70"/>
  <c r="CJ18" i="72"/>
  <c r="CG18" i="72"/>
  <c r="CK18" i="72"/>
  <c r="CQ18" i="72"/>
  <c r="CL18" i="72"/>
  <c r="CI18" i="72"/>
  <c r="CM18" i="72"/>
  <c r="CI20" i="66"/>
  <c r="CK20" i="66"/>
  <c r="CL20" i="66"/>
  <c r="CQ20" i="66"/>
  <c r="CM20" i="66"/>
  <c r="CJ20" i="66"/>
  <c r="CG20" i="66"/>
  <c r="CI19" i="65"/>
  <c r="CG19" i="65"/>
  <c r="CQ19" i="65"/>
  <c r="CJ19" i="65"/>
  <c r="CK19" i="65"/>
  <c r="CL19" i="65"/>
  <c r="CM19" i="65"/>
  <c r="CI19" i="64"/>
  <c r="CJ19" i="64"/>
  <c r="CG19" i="64"/>
  <c r="CK19" i="64"/>
  <c r="CL19" i="64"/>
  <c r="CQ19" i="64"/>
  <c r="CM19" i="64"/>
  <c r="CI19" i="63"/>
  <c r="CJ19" i="63"/>
  <c r="CK19" i="63"/>
  <c r="CL19" i="63"/>
  <c r="CM19" i="63"/>
  <c r="CG19" i="63"/>
  <c r="CQ19" i="63"/>
  <c r="Q17" i="73"/>
  <c r="CX18" i="73"/>
  <c r="P18" i="73" s="1"/>
  <c r="Q18" i="70"/>
  <c r="CA18" i="73"/>
  <c r="O18" i="73" s="1"/>
  <c r="CU19" i="73"/>
  <c r="CE19" i="73"/>
  <c r="BW19" i="73"/>
  <c r="BO19" i="73"/>
  <c r="BG19" i="73"/>
  <c r="AY19" i="73"/>
  <c r="AQ19" i="73"/>
  <c r="AI19" i="73"/>
  <c r="CT19" i="73"/>
  <c r="CD19" i="73"/>
  <c r="BV19" i="73"/>
  <c r="BN19" i="73"/>
  <c r="AX19" i="73"/>
  <c r="AP19" i="73"/>
  <c r="AH19" i="73"/>
  <c r="CS19" i="73"/>
  <c r="BU19" i="73"/>
  <c r="BM19" i="73"/>
  <c r="AW19" i="73"/>
  <c r="AO19" i="73"/>
  <c r="AG19" i="73"/>
  <c r="CR19" i="73"/>
  <c r="BT19" i="73"/>
  <c r="BL19" i="73"/>
  <c r="AV19" i="73"/>
  <c r="AN19" i="73"/>
  <c r="BS19" i="73"/>
  <c r="BK19" i="73"/>
  <c r="AU19" i="73"/>
  <c r="AM19" i="73"/>
  <c r="CP19" i="73"/>
  <c r="CH19" i="73"/>
  <c r="BZ19" i="73"/>
  <c r="BR19" i="73"/>
  <c r="BJ19" i="73"/>
  <c r="AT19" i="73"/>
  <c r="AL19" i="73"/>
  <c r="CW19" i="73"/>
  <c r="CO19" i="73"/>
  <c r="BY19" i="73"/>
  <c r="BQ19" i="73"/>
  <c r="BI19" i="73"/>
  <c r="AS19" i="73"/>
  <c r="AK19" i="73"/>
  <c r="D19" i="73"/>
  <c r="CV19" i="73"/>
  <c r="CN19" i="73"/>
  <c r="CF19" i="73"/>
  <c r="BX19" i="73"/>
  <c r="BP19" i="73"/>
  <c r="BH19" i="73"/>
  <c r="AZ19" i="73"/>
  <c r="AR19" i="73"/>
  <c r="AJ19" i="73"/>
  <c r="B20" i="73"/>
  <c r="A21" i="73"/>
  <c r="BB18" i="73"/>
  <c r="BA18" i="73"/>
  <c r="N18" i="73" s="1"/>
  <c r="Y17" i="73" s="1"/>
  <c r="Y40" i="73" s="1"/>
  <c r="BB17" i="72"/>
  <c r="BA17" i="72"/>
  <c r="N17" i="72" s="1"/>
  <c r="CU18" i="72"/>
  <c r="CE18" i="72"/>
  <c r="BW18" i="72"/>
  <c r="BO18" i="72"/>
  <c r="BG18" i="72"/>
  <c r="AY18" i="72"/>
  <c r="AQ18" i="72"/>
  <c r="AI18" i="72"/>
  <c r="CS18" i="72"/>
  <c r="BU18" i="72"/>
  <c r="BM18" i="72"/>
  <c r="AW18" i="72"/>
  <c r="AO18" i="72"/>
  <c r="AG18" i="72"/>
  <c r="CR18" i="72"/>
  <c r="BT18" i="72"/>
  <c r="BL18" i="72"/>
  <c r="AV18" i="72"/>
  <c r="AN18" i="72"/>
  <c r="BS18" i="72"/>
  <c r="BK18" i="72"/>
  <c r="AU18" i="72"/>
  <c r="AM18" i="72"/>
  <c r="CP18" i="72"/>
  <c r="CH18" i="72"/>
  <c r="BZ18" i="72"/>
  <c r="BR18" i="72"/>
  <c r="BJ18" i="72"/>
  <c r="AT18" i="72"/>
  <c r="AL18" i="72"/>
  <c r="CW18" i="72"/>
  <c r="CO18" i="72"/>
  <c r="BY18" i="72"/>
  <c r="BQ18" i="72"/>
  <c r="BI18" i="72"/>
  <c r="AS18" i="72"/>
  <c r="AK18" i="72"/>
  <c r="D18" i="72"/>
  <c r="CV18" i="72"/>
  <c r="CN18" i="72"/>
  <c r="CF18" i="72"/>
  <c r="BX18" i="72"/>
  <c r="BP18" i="72"/>
  <c r="BH18" i="72"/>
  <c r="AZ18" i="72"/>
  <c r="AR18" i="72"/>
  <c r="AJ18" i="72"/>
  <c r="CD18" i="72"/>
  <c r="AX18" i="72"/>
  <c r="AP18" i="72"/>
  <c r="BV18" i="72"/>
  <c r="AH18" i="72"/>
  <c r="BN18" i="72"/>
  <c r="CT18" i="72"/>
  <c r="B19" i="72"/>
  <c r="A20" i="72"/>
  <c r="CS19" i="71"/>
  <c r="BU19" i="71"/>
  <c r="BM19" i="71"/>
  <c r="AW19" i="71"/>
  <c r="AO19" i="71"/>
  <c r="AG19" i="71"/>
  <c r="CR19" i="71"/>
  <c r="BL19" i="71"/>
  <c r="AV19" i="71"/>
  <c r="AN19" i="71"/>
  <c r="BS19" i="71"/>
  <c r="BK19" i="71"/>
  <c r="AU19" i="71"/>
  <c r="CP19" i="71"/>
  <c r="CH19" i="71"/>
  <c r="BZ19" i="71"/>
  <c r="BR19" i="71"/>
  <c r="AT19" i="71"/>
  <c r="BI19" i="71"/>
  <c r="AZ19" i="71"/>
  <c r="AL19" i="71"/>
  <c r="BX19" i="71"/>
  <c r="BH19" i="71"/>
  <c r="AY19" i="71"/>
  <c r="AK19" i="71"/>
  <c r="CW19" i="71"/>
  <c r="BW19" i="71"/>
  <c r="BG19" i="71"/>
  <c r="AX19" i="71"/>
  <c r="AJ19" i="71"/>
  <c r="CF19" i="71"/>
  <c r="BV19" i="71"/>
  <c r="AS19" i="71"/>
  <c r="AI19" i="71"/>
  <c r="CU19" i="71"/>
  <c r="CE19" i="71"/>
  <c r="BQ19" i="71"/>
  <c r="AR19" i="71"/>
  <c r="AH19" i="71"/>
  <c r="CT19" i="71"/>
  <c r="CD19" i="71"/>
  <c r="BP19" i="71"/>
  <c r="AQ19" i="71"/>
  <c r="CO19" i="71"/>
  <c r="AP19" i="71"/>
  <c r="CN19" i="71"/>
  <c r="BN19" i="71"/>
  <c r="AM19" i="71"/>
  <c r="D19" i="71"/>
  <c r="B20" i="71"/>
  <c r="A21" i="71"/>
  <c r="BB18" i="71"/>
  <c r="BA18" i="71"/>
  <c r="N18" i="71" s="1"/>
  <c r="Q17" i="70"/>
  <c r="BB19" i="70"/>
  <c r="BA19" i="70"/>
  <c r="N19" i="70" s="1"/>
  <c r="CV20" i="70"/>
  <c r="CN20" i="70"/>
  <c r="BP20" i="70"/>
  <c r="BH20" i="70"/>
  <c r="AZ20" i="70"/>
  <c r="AR20" i="70"/>
  <c r="AJ20" i="70"/>
  <c r="CE20" i="70"/>
  <c r="BW20" i="70"/>
  <c r="BO20" i="70"/>
  <c r="BG20" i="70"/>
  <c r="AY20" i="70"/>
  <c r="AQ20" i="70"/>
  <c r="AI20" i="70"/>
  <c r="BU20" i="70"/>
  <c r="BK20" i="70"/>
  <c r="AO20" i="70"/>
  <c r="CD20" i="70"/>
  <c r="BT20" i="70"/>
  <c r="BJ20" i="70"/>
  <c r="AX20" i="70"/>
  <c r="AN20" i="70"/>
  <c r="CO20" i="70"/>
  <c r="AW20" i="70"/>
  <c r="AM20" i="70"/>
  <c r="D20" i="70"/>
  <c r="BR20" i="70"/>
  <c r="AV20" i="70"/>
  <c r="AL20" i="70"/>
  <c r="CW20" i="70"/>
  <c r="BQ20" i="70"/>
  <c r="AU20" i="70"/>
  <c r="AK20" i="70"/>
  <c r="CT20" i="70"/>
  <c r="BZ20" i="70"/>
  <c r="AT20" i="70"/>
  <c r="AH20" i="70"/>
  <c r="CS20" i="70"/>
  <c r="BY20" i="70"/>
  <c r="BM20" i="70"/>
  <c r="AS20" i="70"/>
  <c r="AG20" i="70"/>
  <c r="CR20" i="70"/>
  <c r="CH20" i="70"/>
  <c r="BV20" i="70"/>
  <c r="BL20" i="70"/>
  <c r="AP20" i="70"/>
  <c r="B21" i="70"/>
  <c r="A22" i="70"/>
  <c r="BB18" i="69"/>
  <c r="BA18" i="69"/>
  <c r="N18" i="69" s="1"/>
  <c r="A21" i="69"/>
  <c r="B20" i="69"/>
  <c r="CP19" i="69"/>
  <c r="CH19" i="69"/>
  <c r="BZ19" i="69"/>
  <c r="BR19" i="69"/>
  <c r="BJ19" i="69"/>
  <c r="AT19" i="69"/>
  <c r="AL19" i="69"/>
  <c r="CW19" i="69"/>
  <c r="CO19" i="69"/>
  <c r="BY19" i="69"/>
  <c r="BQ19" i="69"/>
  <c r="BI19" i="69"/>
  <c r="AS19" i="69"/>
  <c r="AK19" i="69"/>
  <c r="D19" i="69"/>
  <c r="CV19" i="69"/>
  <c r="CN19" i="69"/>
  <c r="CF19" i="69"/>
  <c r="BX19" i="69"/>
  <c r="BP19" i="69"/>
  <c r="BH19" i="69"/>
  <c r="AZ19" i="69"/>
  <c r="AR19" i="69"/>
  <c r="AJ19" i="69"/>
  <c r="CU19" i="69"/>
  <c r="CE19" i="69"/>
  <c r="BW19" i="69"/>
  <c r="BO19" i="69"/>
  <c r="BG19" i="69"/>
  <c r="AY19" i="69"/>
  <c r="AQ19" i="69"/>
  <c r="AI19" i="69"/>
  <c r="CT19" i="69"/>
  <c r="CD19" i="69"/>
  <c r="BV19" i="69"/>
  <c r="BN19" i="69"/>
  <c r="AX19" i="69"/>
  <c r="AP19" i="69"/>
  <c r="AH19" i="69"/>
  <c r="CS19" i="69"/>
  <c r="BU19" i="69"/>
  <c r="BM19" i="69"/>
  <c r="AW19" i="69"/>
  <c r="AO19" i="69"/>
  <c r="AG19" i="69"/>
  <c r="CR19" i="69"/>
  <c r="BT19" i="69"/>
  <c r="BL19" i="69"/>
  <c r="AV19" i="69"/>
  <c r="AN19" i="69"/>
  <c r="BK19" i="69"/>
  <c r="AU19" i="69"/>
  <c r="AM19" i="69"/>
  <c r="BS19" i="69"/>
  <c r="BB18" i="68"/>
  <c r="BA18" i="68"/>
  <c r="N18" i="68" s="1"/>
  <c r="A21" i="68"/>
  <c r="B20" i="68"/>
  <c r="CP19" i="68"/>
  <c r="CH19" i="68"/>
  <c r="BZ19" i="68"/>
  <c r="BR19" i="68"/>
  <c r="BJ19" i="68"/>
  <c r="AT19" i="68"/>
  <c r="AL19" i="68"/>
  <c r="CW19" i="68"/>
  <c r="CO19" i="68"/>
  <c r="BY19" i="68"/>
  <c r="BQ19" i="68"/>
  <c r="BI19" i="68"/>
  <c r="AS19" i="68"/>
  <c r="AK19" i="68"/>
  <c r="D19" i="68"/>
  <c r="CV19" i="68"/>
  <c r="CN19" i="68"/>
  <c r="CF19" i="68"/>
  <c r="BX19" i="68"/>
  <c r="BP19" i="68"/>
  <c r="BH19" i="68"/>
  <c r="AZ19" i="68"/>
  <c r="AR19" i="68"/>
  <c r="AJ19" i="68"/>
  <c r="CU19" i="68"/>
  <c r="CE19" i="68"/>
  <c r="BW19" i="68"/>
  <c r="BO19" i="68"/>
  <c r="BG19" i="68"/>
  <c r="AY19" i="68"/>
  <c r="AQ19" i="68"/>
  <c r="AI19" i="68"/>
  <c r="BS19" i="68"/>
  <c r="AM19" i="68"/>
  <c r="CT19" i="68"/>
  <c r="CD19" i="68"/>
  <c r="BN19" i="68"/>
  <c r="AX19" i="68"/>
  <c r="AH19" i="68"/>
  <c r="CR19" i="68"/>
  <c r="BL19" i="68"/>
  <c r="AV19" i="68"/>
  <c r="BV19" i="68"/>
  <c r="CS19" i="68"/>
  <c r="BT19" i="68"/>
  <c r="AU19" i="68"/>
  <c r="BM19" i="68"/>
  <c r="AP19" i="68"/>
  <c r="BK19" i="68"/>
  <c r="AO19" i="68"/>
  <c r="AN19" i="68"/>
  <c r="AG19" i="68"/>
  <c r="BU19" i="68"/>
  <c r="AW19" i="68"/>
  <c r="BB19" i="67"/>
  <c r="BA19" i="67"/>
  <c r="N19" i="67" s="1"/>
  <c r="CR20" i="67"/>
  <c r="BL20" i="67"/>
  <c r="AV20" i="67"/>
  <c r="AN20" i="67"/>
  <c r="BS20" i="67"/>
  <c r="BK20" i="67"/>
  <c r="AU20" i="67"/>
  <c r="AM20" i="67"/>
  <c r="CW20" i="67"/>
  <c r="BR20" i="67"/>
  <c r="BH20" i="67"/>
  <c r="AZ20" i="67"/>
  <c r="AP20" i="67"/>
  <c r="CV20" i="67"/>
  <c r="BQ20" i="67"/>
  <c r="BG20" i="67"/>
  <c r="AY20" i="67"/>
  <c r="AO20" i="67"/>
  <c r="D20" i="67"/>
  <c r="CU20" i="67"/>
  <c r="BZ20" i="67"/>
  <c r="BP20" i="67"/>
  <c r="AX20" i="67"/>
  <c r="AL20" i="67"/>
  <c r="CT20" i="67"/>
  <c r="CH20" i="67"/>
  <c r="BY20" i="67"/>
  <c r="AW20" i="67"/>
  <c r="AK20" i="67"/>
  <c r="CS20" i="67"/>
  <c r="BX20" i="67"/>
  <c r="BN20" i="67"/>
  <c r="AT20" i="67"/>
  <c r="AJ20" i="67"/>
  <c r="CP20" i="67"/>
  <c r="CF20" i="67"/>
  <c r="BW20" i="67"/>
  <c r="BM20" i="67"/>
  <c r="AS20" i="67"/>
  <c r="AI20" i="67"/>
  <c r="CO20" i="67"/>
  <c r="CE20" i="67"/>
  <c r="BV20" i="67"/>
  <c r="AR20" i="67"/>
  <c r="AH20" i="67"/>
  <c r="CN20" i="67"/>
  <c r="CD20" i="67"/>
  <c r="BU20" i="67"/>
  <c r="BI20" i="67"/>
  <c r="AQ20" i="67"/>
  <c r="AG20" i="67"/>
  <c r="A22" i="67"/>
  <c r="B21" i="67"/>
  <c r="BB19" i="66"/>
  <c r="BA19" i="66"/>
  <c r="N19" i="66" s="1"/>
  <c r="Y18" i="66" s="1"/>
  <c r="CR20" i="66"/>
  <c r="BT20" i="66"/>
  <c r="AV20" i="66"/>
  <c r="AN20" i="66"/>
  <c r="BS20" i="66"/>
  <c r="BK20" i="66"/>
  <c r="AU20" i="66"/>
  <c r="AM20" i="66"/>
  <c r="CP20" i="66"/>
  <c r="CH20" i="66"/>
  <c r="BZ20" i="66"/>
  <c r="BR20" i="66"/>
  <c r="BJ20" i="66"/>
  <c r="AT20" i="66"/>
  <c r="AL20" i="66"/>
  <c r="CW20" i="66"/>
  <c r="CO20" i="66"/>
  <c r="BY20" i="66"/>
  <c r="BQ20" i="66"/>
  <c r="BI20" i="66"/>
  <c r="AS20" i="66"/>
  <c r="AK20" i="66"/>
  <c r="D20" i="66"/>
  <c r="CV20" i="66"/>
  <c r="CN20" i="66"/>
  <c r="CF20" i="66"/>
  <c r="BX20" i="66"/>
  <c r="BP20" i="66"/>
  <c r="BH20" i="66"/>
  <c r="AZ20" i="66"/>
  <c r="AR20" i="66"/>
  <c r="AJ20" i="66"/>
  <c r="CU20" i="66"/>
  <c r="CE20" i="66"/>
  <c r="BW20" i="66"/>
  <c r="BO20" i="66"/>
  <c r="AY20" i="66"/>
  <c r="AQ20" i="66"/>
  <c r="AI20" i="66"/>
  <c r="CT20" i="66"/>
  <c r="BV20" i="66"/>
  <c r="BN20" i="66"/>
  <c r="AX20" i="66"/>
  <c r="AP20" i="66"/>
  <c r="AH20" i="66"/>
  <c r="CS20" i="66"/>
  <c r="BU20" i="66"/>
  <c r="BM20" i="66"/>
  <c r="AW20" i="66"/>
  <c r="AO20" i="66"/>
  <c r="AG20" i="66"/>
  <c r="CA19" i="66"/>
  <c r="O19" i="66" s="1"/>
  <c r="A22" i="66"/>
  <c r="B21" i="66"/>
  <c r="CR19" i="65"/>
  <c r="BT19" i="65"/>
  <c r="BL19" i="65"/>
  <c r="AV19" i="65"/>
  <c r="AN19" i="65"/>
  <c r="BS19" i="65"/>
  <c r="AU19" i="65"/>
  <c r="AM19" i="65"/>
  <c r="CP19" i="65"/>
  <c r="BZ19" i="65"/>
  <c r="BR19" i="65"/>
  <c r="BJ19" i="65"/>
  <c r="AT19" i="65"/>
  <c r="AL19" i="65"/>
  <c r="CV19" i="65"/>
  <c r="CN19" i="65"/>
  <c r="CF19" i="65"/>
  <c r="BX19" i="65"/>
  <c r="BH19" i="65"/>
  <c r="AZ19" i="65"/>
  <c r="AR19" i="65"/>
  <c r="AJ19" i="65"/>
  <c r="CU19" i="65"/>
  <c r="CE19" i="65"/>
  <c r="BW19" i="65"/>
  <c r="BO19" i="65"/>
  <c r="BG19" i="65"/>
  <c r="AY19" i="65"/>
  <c r="AQ19" i="65"/>
  <c r="AI19" i="65"/>
  <c r="CT19" i="65"/>
  <c r="CD19" i="65"/>
  <c r="BV19" i="65"/>
  <c r="CS19" i="65"/>
  <c r="BU19" i="65"/>
  <c r="BM19" i="65"/>
  <c r="BY19" i="65"/>
  <c r="AG19" i="65"/>
  <c r="BQ19" i="65"/>
  <c r="AX19" i="65"/>
  <c r="D19" i="65"/>
  <c r="BN19" i="65"/>
  <c r="AW19" i="65"/>
  <c r="CW19" i="65"/>
  <c r="BI19" i="65"/>
  <c r="AS19" i="65"/>
  <c r="CO19" i="65"/>
  <c r="AP19" i="65"/>
  <c r="AO19" i="65"/>
  <c r="AK19" i="65"/>
  <c r="AH19" i="65"/>
  <c r="A21" i="65"/>
  <c r="B20" i="65"/>
  <c r="BB18" i="65"/>
  <c r="BA18" i="65"/>
  <c r="N18" i="65" s="1"/>
  <c r="Q16" i="64"/>
  <c r="A21" i="64"/>
  <c r="B20" i="64"/>
  <c r="BS19" i="64"/>
  <c r="BK19" i="64"/>
  <c r="AU19" i="64"/>
  <c r="AM19" i="64"/>
  <c r="CP19" i="64"/>
  <c r="CH19" i="64"/>
  <c r="BZ19" i="64"/>
  <c r="BR19" i="64"/>
  <c r="BJ19" i="64"/>
  <c r="AT19" i="64"/>
  <c r="AL19" i="64"/>
  <c r="CW19" i="64"/>
  <c r="CO19" i="64"/>
  <c r="BY19" i="64"/>
  <c r="BQ19" i="64"/>
  <c r="BI19" i="64"/>
  <c r="AS19" i="64"/>
  <c r="AK19" i="64"/>
  <c r="D19" i="64"/>
  <c r="CV19" i="64"/>
  <c r="CN19" i="64"/>
  <c r="CF19" i="64"/>
  <c r="BX19" i="64"/>
  <c r="BP19" i="64"/>
  <c r="AZ19" i="64"/>
  <c r="AR19" i="64"/>
  <c r="AJ19" i="64"/>
  <c r="CU19" i="64"/>
  <c r="BW19" i="64"/>
  <c r="BO19" i="64"/>
  <c r="BG19" i="64"/>
  <c r="AY19" i="64"/>
  <c r="AQ19" i="64"/>
  <c r="AI19" i="64"/>
  <c r="CT19" i="64"/>
  <c r="CD19" i="64"/>
  <c r="BV19" i="64"/>
  <c r="BN19" i="64"/>
  <c r="AX19" i="64"/>
  <c r="AP19" i="64"/>
  <c r="AH19" i="64"/>
  <c r="CS19" i="64"/>
  <c r="BU19" i="64"/>
  <c r="BM19" i="64"/>
  <c r="AW19" i="64"/>
  <c r="AO19" i="64"/>
  <c r="AG19" i="64"/>
  <c r="CR19" i="64"/>
  <c r="BT19" i="64"/>
  <c r="BL19" i="64"/>
  <c r="AV19" i="64"/>
  <c r="AN19" i="64"/>
  <c r="Q17" i="64"/>
  <c r="BB18" i="64"/>
  <c r="BA18" i="64"/>
  <c r="N18" i="64" s="1"/>
  <c r="Y17" i="64" s="1"/>
  <c r="CS19" i="63"/>
  <c r="BU19" i="63"/>
  <c r="BM19" i="63"/>
  <c r="AW19" i="63"/>
  <c r="AO19" i="63"/>
  <c r="AG19" i="63"/>
  <c r="CR19" i="63"/>
  <c r="BT19" i="63"/>
  <c r="BL19" i="63"/>
  <c r="AV19" i="63"/>
  <c r="AN19" i="63"/>
  <c r="CW19" i="63"/>
  <c r="BS19" i="63"/>
  <c r="BI19" i="63"/>
  <c r="AQ19" i="63"/>
  <c r="CV19" i="63"/>
  <c r="BR19" i="63"/>
  <c r="BH19" i="63"/>
  <c r="AZ19" i="63"/>
  <c r="AP19" i="63"/>
  <c r="CU19" i="63"/>
  <c r="BQ19" i="63"/>
  <c r="BG19" i="63"/>
  <c r="AY19" i="63"/>
  <c r="AM19" i="63"/>
  <c r="D19" i="63"/>
  <c r="CT19" i="63"/>
  <c r="CH19" i="63"/>
  <c r="BZ19" i="63"/>
  <c r="BP19" i="63"/>
  <c r="AX19" i="63"/>
  <c r="AL19" i="63"/>
  <c r="BY19" i="63"/>
  <c r="BO19" i="63"/>
  <c r="AU19" i="63"/>
  <c r="AK19" i="63"/>
  <c r="CP19" i="63"/>
  <c r="CF19" i="63"/>
  <c r="BX19" i="63"/>
  <c r="BN19" i="63"/>
  <c r="AT19" i="63"/>
  <c r="AJ19" i="63"/>
  <c r="CO19" i="63"/>
  <c r="CE19" i="63"/>
  <c r="BW19" i="63"/>
  <c r="BK19" i="63"/>
  <c r="AS19" i="63"/>
  <c r="AI19" i="63"/>
  <c r="CN19" i="63"/>
  <c r="CD19" i="63"/>
  <c r="BV19" i="63"/>
  <c r="BJ19" i="63"/>
  <c r="AR19" i="63"/>
  <c r="AH19" i="63"/>
  <c r="BB18" i="63"/>
  <c r="BA18" i="63"/>
  <c r="N18" i="63" s="1"/>
  <c r="Y18" i="63" s="1"/>
  <c r="CA18" i="63"/>
  <c r="O18" i="63" s="1"/>
  <c r="B20" i="63"/>
  <c r="A21" i="63"/>
  <c r="CI21" i="70" l="1"/>
  <c r="CQ21" i="70"/>
  <c r="CK21" i="70"/>
  <c r="CM21" i="70"/>
  <c r="CJ21" i="70"/>
  <c r="CI20" i="68"/>
  <c r="CG20" i="68"/>
  <c r="CJ20" i="68"/>
  <c r="CK20" i="68"/>
  <c r="CL20" i="68"/>
  <c r="CQ20" i="68"/>
  <c r="CM20" i="68"/>
  <c r="CI20" i="69"/>
  <c r="CJ20" i="69"/>
  <c r="CK20" i="69"/>
  <c r="CL20" i="69"/>
  <c r="CQ20" i="69"/>
  <c r="CM20" i="69"/>
  <c r="CG20" i="69"/>
  <c r="CI19" i="72"/>
  <c r="CJ19" i="72"/>
  <c r="CK19" i="72"/>
  <c r="CL19" i="72"/>
  <c r="CM19" i="72"/>
  <c r="CG19" i="72"/>
  <c r="CQ19" i="72"/>
  <c r="CI21" i="67"/>
  <c r="CJ21" i="67"/>
  <c r="CQ21" i="67"/>
  <c r="CK21" i="67"/>
  <c r="CL21" i="67"/>
  <c r="CG21" i="67"/>
  <c r="CJ20" i="71"/>
  <c r="CK20" i="71"/>
  <c r="CL20" i="71"/>
  <c r="CQ20" i="71"/>
  <c r="CI20" i="71"/>
  <c r="CG20" i="71"/>
  <c r="CG20" i="73"/>
  <c r="CI20" i="73"/>
  <c r="CJ20" i="73"/>
  <c r="CK20" i="73"/>
  <c r="CL20" i="73"/>
  <c r="CQ20" i="73"/>
  <c r="CM20" i="73"/>
  <c r="CI21" i="66"/>
  <c r="CM21" i="66"/>
  <c r="CQ21" i="66"/>
  <c r="CJ21" i="66"/>
  <c r="CK21" i="66"/>
  <c r="CL21" i="66"/>
  <c r="CG21" i="66"/>
  <c r="CI20" i="65"/>
  <c r="CJ20" i="65"/>
  <c r="CK20" i="65"/>
  <c r="CL20" i="65"/>
  <c r="CG20" i="65"/>
  <c r="CM20" i="65"/>
  <c r="CQ20" i="65"/>
  <c r="CI20" i="64"/>
  <c r="CL20" i="64"/>
  <c r="CG20" i="64"/>
  <c r="CM20" i="64"/>
  <c r="CQ20" i="64"/>
  <c r="CJ20" i="64"/>
  <c r="CK20" i="64"/>
  <c r="CI20" i="63"/>
  <c r="CJ20" i="63"/>
  <c r="CK20" i="63"/>
  <c r="CL20" i="63"/>
  <c r="CM20" i="63"/>
  <c r="CG20" i="63"/>
  <c r="CQ20" i="63"/>
  <c r="CX19" i="73"/>
  <c r="P19" i="73" s="1"/>
  <c r="CX19" i="68"/>
  <c r="P19" i="68" s="1"/>
  <c r="CX19" i="69"/>
  <c r="P19" i="69" s="1"/>
  <c r="Q18" i="73"/>
  <c r="B21" i="73"/>
  <c r="A22" i="73"/>
  <c r="CA19" i="73"/>
  <c r="O19" i="73" s="1"/>
  <c r="CP20" i="73"/>
  <c r="CH20" i="73"/>
  <c r="BZ20" i="73"/>
  <c r="BR20" i="73"/>
  <c r="BJ20" i="73"/>
  <c r="AT20" i="73"/>
  <c r="AL20" i="73"/>
  <c r="CW20" i="73"/>
  <c r="CO20" i="73"/>
  <c r="BY20" i="73"/>
  <c r="BQ20" i="73"/>
  <c r="BI20" i="73"/>
  <c r="AS20" i="73"/>
  <c r="AK20" i="73"/>
  <c r="D20" i="73"/>
  <c r="CV20" i="73"/>
  <c r="CN20" i="73"/>
  <c r="CF20" i="73"/>
  <c r="BX20" i="73"/>
  <c r="BP20" i="73"/>
  <c r="BH20" i="73"/>
  <c r="AZ20" i="73"/>
  <c r="AR20" i="73"/>
  <c r="AJ20" i="73"/>
  <c r="CU20" i="73"/>
  <c r="CE20" i="73"/>
  <c r="BW20" i="73"/>
  <c r="BO20" i="73"/>
  <c r="BG20" i="73"/>
  <c r="AY20" i="73"/>
  <c r="AQ20" i="73"/>
  <c r="AI20" i="73"/>
  <c r="CT20" i="73"/>
  <c r="CD20" i="73"/>
  <c r="BV20" i="73"/>
  <c r="BN20" i="73"/>
  <c r="AX20" i="73"/>
  <c r="AP20" i="73"/>
  <c r="AH20" i="73"/>
  <c r="CS20" i="73"/>
  <c r="BU20" i="73"/>
  <c r="BM20" i="73"/>
  <c r="AW20" i="73"/>
  <c r="AO20" i="73"/>
  <c r="AG20" i="73"/>
  <c r="CR20" i="73"/>
  <c r="BT20" i="73"/>
  <c r="BL20" i="73"/>
  <c r="AV20" i="73"/>
  <c r="AN20" i="73"/>
  <c r="BS20" i="73"/>
  <c r="BK20" i="73"/>
  <c r="AU20" i="73"/>
  <c r="AM20" i="73"/>
  <c r="BB19" i="73"/>
  <c r="BA19" i="73"/>
  <c r="N19" i="73" s="1"/>
  <c r="A21" i="72"/>
  <c r="B20" i="72"/>
  <c r="CP19" i="72"/>
  <c r="CH19" i="72"/>
  <c r="BZ19" i="72"/>
  <c r="BR19" i="72"/>
  <c r="BJ19" i="72"/>
  <c r="AT19" i="72"/>
  <c r="AL19" i="72"/>
  <c r="CV19" i="72"/>
  <c r="CN19" i="72"/>
  <c r="CF19" i="72"/>
  <c r="BX19" i="72"/>
  <c r="BP19" i="72"/>
  <c r="BH19" i="72"/>
  <c r="AZ19" i="72"/>
  <c r="AR19" i="72"/>
  <c r="AJ19" i="72"/>
  <c r="CU19" i="72"/>
  <c r="CE19" i="72"/>
  <c r="BW19" i="72"/>
  <c r="BO19" i="72"/>
  <c r="BG19" i="72"/>
  <c r="AY19" i="72"/>
  <c r="AQ19" i="72"/>
  <c r="AI19" i="72"/>
  <c r="CT19" i="72"/>
  <c r="CD19" i="72"/>
  <c r="BV19" i="72"/>
  <c r="BN19" i="72"/>
  <c r="AX19" i="72"/>
  <c r="AP19" i="72"/>
  <c r="AH19" i="72"/>
  <c r="CS19" i="72"/>
  <c r="BU19" i="72"/>
  <c r="BM19" i="72"/>
  <c r="AW19" i="72"/>
  <c r="AO19" i="72"/>
  <c r="AG19" i="72"/>
  <c r="CR19" i="72"/>
  <c r="BT19" i="72"/>
  <c r="BL19" i="72"/>
  <c r="AV19" i="72"/>
  <c r="AN19" i="72"/>
  <c r="BS19" i="72"/>
  <c r="BK19" i="72"/>
  <c r="AU19" i="72"/>
  <c r="AM19" i="72"/>
  <c r="BY19" i="72"/>
  <c r="AS19" i="72"/>
  <c r="BQ19" i="72"/>
  <c r="AK19" i="72"/>
  <c r="BI19" i="72"/>
  <c r="D19" i="72"/>
  <c r="CW19" i="72"/>
  <c r="CO19" i="72"/>
  <c r="BB18" i="72"/>
  <c r="BA18" i="72"/>
  <c r="N18" i="72" s="1"/>
  <c r="Y18" i="72" s="1"/>
  <c r="CA18" i="72"/>
  <c r="O18" i="72" s="1"/>
  <c r="BB19" i="71"/>
  <c r="BA19" i="71"/>
  <c r="N19" i="71" s="1"/>
  <c r="B21" i="71"/>
  <c r="A22" i="71"/>
  <c r="CT20" i="71"/>
  <c r="CD20" i="71"/>
  <c r="BV20" i="71"/>
  <c r="BN20" i="71"/>
  <c r="AX20" i="71"/>
  <c r="AP20" i="71"/>
  <c r="AH20" i="71"/>
  <c r="CS20" i="71"/>
  <c r="BM20" i="71"/>
  <c r="AW20" i="71"/>
  <c r="AO20" i="71"/>
  <c r="AG20" i="71"/>
  <c r="CU20" i="71"/>
  <c r="AV20" i="71"/>
  <c r="AL20" i="71"/>
  <c r="BY20" i="71"/>
  <c r="BO20" i="71"/>
  <c r="AU20" i="71"/>
  <c r="AK20" i="71"/>
  <c r="BX20" i="71"/>
  <c r="BL20" i="71"/>
  <c r="AT20" i="71"/>
  <c r="AJ20" i="71"/>
  <c r="CP20" i="71"/>
  <c r="CF20" i="71"/>
  <c r="BW20" i="71"/>
  <c r="AS20" i="71"/>
  <c r="AI20" i="71"/>
  <c r="CV20" i="71"/>
  <c r="BG20" i="71"/>
  <c r="AY20" i="71"/>
  <c r="D20" i="71"/>
  <c r="CO20" i="71"/>
  <c r="BT20" i="71"/>
  <c r="AR20" i="71"/>
  <c r="CN20" i="71"/>
  <c r="BS20" i="71"/>
  <c r="AQ20" i="71"/>
  <c r="BR20" i="71"/>
  <c r="AN20" i="71"/>
  <c r="BQ20" i="71"/>
  <c r="AM20" i="71"/>
  <c r="CE20" i="71"/>
  <c r="BJ20" i="71"/>
  <c r="BI20" i="71"/>
  <c r="BH20" i="71"/>
  <c r="AZ20" i="71"/>
  <c r="BS21" i="70"/>
  <c r="BK21" i="70"/>
  <c r="AU21" i="70"/>
  <c r="AM21" i="70"/>
  <c r="CP21" i="70"/>
  <c r="CH21" i="70"/>
  <c r="BZ21" i="70"/>
  <c r="BR21" i="70"/>
  <c r="AT21" i="70"/>
  <c r="AL21" i="70"/>
  <c r="CW21" i="70"/>
  <c r="BQ21" i="70"/>
  <c r="BG21" i="70"/>
  <c r="AX21" i="70"/>
  <c r="AN21" i="70"/>
  <c r="BP21" i="70"/>
  <c r="AW21" i="70"/>
  <c r="AK21" i="70"/>
  <c r="CU21" i="70"/>
  <c r="AV21" i="70"/>
  <c r="AJ21" i="70"/>
  <c r="CT21" i="70"/>
  <c r="BX21" i="70"/>
  <c r="BN21" i="70"/>
  <c r="AS21" i="70"/>
  <c r="AI21" i="70"/>
  <c r="CS21" i="70"/>
  <c r="BW21" i="70"/>
  <c r="BM21" i="70"/>
  <c r="AR21" i="70"/>
  <c r="AH21" i="70"/>
  <c r="CR21" i="70"/>
  <c r="CF21" i="70"/>
  <c r="BV21" i="70"/>
  <c r="BL21" i="70"/>
  <c r="AQ21" i="70"/>
  <c r="AG21" i="70"/>
  <c r="CO21" i="70"/>
  <c r="CE21" i="70"/>
  <c r="BU21" i="70"/>
  <c r="BI21" i="70"/>
  <c r="AZ21" i="70"/>
  <c r="AP21" i="70"/>
  <c r="CN21" i="70"/>
  <c r="CD21" i="70"/>
  <c r="BH21" i="70"/>
  <c r="AY21" i="70"/>
  <c r="AO21" i="70"/>
  <c r="D21" i="70"/>
  <c r="BB20" i="70"/>
  <c r="BA20" i="70"/>
  <c r="N20" i="70" s="1"/>
  <c r="A23" i="70"/>
  <c r="B22" i="70"/>
  <c r="BB19" i="69"/>
  <c r="BA19" i="69"/>
  <c r="N19" i="69" s="1"/>
  <c r="CS20" i="69"/>
  <c r="BU20" i="69"/>
  <c r="BM20" i="69"/>
  <c r="AW20" i="69"/>
  <c r="AO20" i="69"/>
  <c r="AG20" i="69"/>
  <c r="CR20" i="69"/>
  <c r="BT20" i="69"/>
  <c r="BL20" i="69"/>
  <c r="AV20" i="69"/>
  <c r="AN20" i="69"/>
  <c r="BS20" i="69"/>
  <c r="BK20" i="69"/>
  <c r="AU20" i="69"/>
  <c r="AM20" i="69"/>
  <c r="CP20" i="69"/>
  <c r="CH20" i="69"/>
  <c r="BZ20" i="69"/>
  <c r="BR20" i="69"/>
  <c r="BJ20" i="69"/>
  <c r="AT20" i="69"/>
  <c r="AL20" i="69"/>
  <c r="CW20" i="69"/>
  <c r="CO20" i="69"/>
  <c r="BY20" i="69"/>
  <c r="BQ20" i="69"/>
  <c r="BI20" i="69"/>
  <c r="AS20" i="69"/>
  <c r="AK20" i="69"/>
  <c r="D20" i="69"/>
  <c r="CV20" i="69"/>
  <c r="CN20" i="69"/>
  <c r="CF20" i="69"/>
  <c r="BX20" i="69"/>
  <c r="BP20" i="69"/>
  <c r="BH20" i="69"/>
  <c r="AZ20" i="69"/>
  <c r="AR20" i="69"/>
  <c r="AJ20" i="69"/>
  <c r="CU20" i="69"/>
  <c r="CE20" i="69"/>
  <c r="BW20" i="69"/>
  <c r="BO20" i="69"/>
  <c r="BG20" i="69"/>
  <c r="AY20" i="69"/>
  <c r="AQ20" i="69"/>
  <c r="AI20" i="69"/>
  <c r="BN20" i="69"/>
  <c r="CT20" i="69"/>
  <c r="CD20" i="69"/>
  <c r="AX20" i="69"/>
  <c r="AP20" i="69"/>
  <c r="AH20" i="69"/>
  <c r="BV20" i="69"/>
  <c r="B21" i="69"/>
  <c r="A22" i="69"/>
  <c r="CA19" i="69"/>
  <c r="O19" i="69" s="1"/>
  <c r="BB19" i="68"/>
  <c r="BA19" i="68"/>
  <c r="N19" i="68" s="1"/>
  <c r="CS20" i="68"/>
  <c r="BU20" i="68"/>
  <c r="BM20" i="68"/>
  <c r="AW20" i="68"/>
  <c r="AO20" i="68"/>
  <c r="AG20" i="68"/>
  <c r="CR20" i="68"/>
  <c r="BT20" i="68"/>
  <c r="BL20" i="68"/>
  <c r="AV20" i="68"/>
  <c r="AN20" i="68"/>
  <c r="BS20" i="68"/>
  <c r="BK20" i="68"/>
  <c r="AU20" i="68"/>
  <c r="AM20" i="68"/>
  <c r="CP20" i="68"/>
  <c r="CH20" i="68"/>
  <c r="BZ20" i="68"/>
  <c r="BR20" i="68"/>
  <c r="BJ20" i="68"/>
  <c r="AT20" i="68"/>
  <c r="AL20" i="68"/>
  <c r="CN20" i="68"/>
  <c r="BN20" i="68"/>
  <c r="AK20" i="68"/>
  <c r="BY20" i="68"/>
  <c r="BI20" i="68"/>
  <c r="AZ20" i="68"/>
  <c r="AJ20" i="68"/>
  <c r="CW20" i="68"/>
  <c r="BW20" i="68"/>
  <c r="BG20" i="68"/>
  <c r="AX20" i="68"/>
  <c r="AH20" i="68"/>
  <c r="CU20" i="68"/>
  <c r="CE20" i="68"/>
  <c r="BQ20" i="68"/>
  <c r="AR20" i="68"/>
  <c r="CO20" i="68"/>
  <c r="BO20" i="68"/>
  <c r="AP20" i="68"/>
  <c r="BX20" i="68"/>
  <c r="AY20" i="68"/>
  <c r="CV20" i="68"/>
  <c r="BV20" i="68"/>
  <c r="AS20" i="68"/>
  <c r="CT20" i="68"/>
  <c r="BP20" i="68"/>
  <c r="AQ20" i="68"/>
  <c r="BH20" i="68"/>
  <c r="AI20" i="68"/>
  <c r="CF20" i="68"/>
  <c r="D20" i="68"/>
  <c r="CD20" i="68"/>
  <c r="B21" i="68"/>
  <c r="A22" i="68"/>
  <c r="CA19" i="68"/>
  <c r="O19" i="68" s="1"/>
  <c r="CU21" i="67"/>
  <c r="CE21" i="67"/>
  <c r="BW21" i="67"/>
  <c r="BO21" i="67"/>
  <c r="BG21" i="67"/>
  <c r="AY21" i="67"/>
  <c r="AQ21" i="67"/>
  <c r="AI21" i="67"/>
  <c r="CT21" i="67"/>
  <c r="CD21" i="67"/>
  <c r="BV21" i="67"/>
  <c r="BN21" i="67"/>
  <c r="AX21" i="67"/>
  <c r="AP21" i="67"/>
  <c r="AH21" i="67"/>
  <c r="CS21" i="67"/>
  <c r="BY21" i="67"/>
  <c r="BM21" i="67"/>
  <c r="AT21" i="67"/>
  <c r="AJ21" i="67"/>
  <c r="BX21" i="67"/>
  <c r="BL21" i="67"/>
  <c r="AS21" i="67"/>
  <c r="AG21" i="67"/>
  <c r="AR21" i="67"/>
  <c r="CP21" i="67"/>
  <c r="CF21" i="67"/>
  <c r="BT21" i="67"/>
  <c r="BJ21" i="67"/>
  <c r="AO21" i="67"/>
  <c r="CO21" i="67"/>
  <c r="BS21" i="67"/>
  <c r="BI21" i="67"/>
  <c r="AZ21" i="67"/>
  <c r="AN21" i="67"/>
  <c r="CN21" i="67"/>
  <c r="BR21" i="67"/>
  <c r="BH21" i="67"/>
  <c r="AW21" i="67"/>
  <c r="AM21" i="67"/>
  <c r="D21" i="67"/>
  <c r="CW21" i="67"/>
  <c r="BQ21" i="67"/>
  <c r="AV21" i="67"/>
  <c r="AL21" i="67"/>
  <c r="CV21" i="67"/>
  <c r="BZ21" i="67"/>
  <c r="AU21" i="67"/>
  <c r="AK21" i="67"/>
  <c r="A23" i="67"/>
  <c r="B22" i="67"/>
  <c r="BB20" i="67"/>
  <c r="BA20" i="67"/>
  <c r="N20" i="67" s="1"/>
  <c r="CU21" i="66"/>
  <c r="BW21" i="66"/>
  <c r="BO21" i="66"/>
  <c r="BG21" i="66"/>
  <c r="AY21" i="66"/>
  <c r="AQ21" i="66"/>
  <c r="AI21" i="66"/>
  <c r="CT21" i="66"/>
  <c r="CD21" i="66"/>
  <c r="BV21" i="66"/>
  <c r="BN21" i="66"/>
  <c r="AX21" i="66"/>
  <c r="AP21" i="66"/>
  <c r="AH21" i="66"/>
  <c r="CS21" i="66"/>
  <c r="BU21" i="66"/>
  <c r="AW21" i="66"/>
  <c r="AO21" i="66"/>
  <c r="AG21" i="66"/>
  <c r="CR21" i="66"/>
  <c r="BT21" i="66"/>
  <c r="BL21" i="66"/>
  <c r="AV21" i="66"/>
  <c r="AN21" i="66"/>
  <c r="BS21" i="66"/>
  <c r="BK21" i="66"/>
  <c r="AU21" i="66"/>
  <c r="AM21" i="66"/>
  <c r="CP21" i="66"/>
  <c r="CH21" i="66"/>
  <c r="BZ21" i="66"/>
  <c r="BR21" i="66"/>
  <c r="BJ21" i="66"/>
  <c r="AT21" i="66"/>
  <c r="AL21" i="66"/>
  <c r="CW21" i="66"/>
  <c r="CO21" i="66"/>
  <c r="BY21" i="66"/>
  <c r="BQ21" i="66"/>
  <c r="BI21" i="66"/>
  <c r="AS21" i="66"/>
  <c r="AK21" i="66"/>
  <c r="D21" i="66"/>
  <c r="CV21" i="66"/>
  <c r="CN21" i="66"/>
  <c r="CF21" i="66"/>
  <c r="BX21" i="66"/>
  <c r="BP21" i="66"/>
  <c r="AZ21" i="66"/>
  <c r="AR21" i="66"/>
  <c r="AJ21" i="66"/>
  <c r="B22" i="66"/>
  <c r="A23" i="66"/>
  <c r="BB20" i="66"/>
  <c r="BA20" i="66"/>
  <c r="N20" i="66" s="1"/>
  <c r="Y19" i="66" s="1"/>
  <c r="BB19" i="65"/>
  <c r="BA19" i="65"/>
  <c r="N19" i="65" s="1"/>
  <c r="CU20" i="65"/>
  <c r="CE20" i="65"/>
  <c r="BW20" i="65"/>
  <c r="BO20" i="65"/>
  <c r="BG20" i="65"/>
  <c r="AY20" i="65"/>
  <c r="AQ20" i="65"/>
  <c r="AI20" i="65"/>
  <c r="CT20" i="65"/>
  <c r="CD20" i="65"/>
  <c r="BV20" i="65"/>
  <c r="BN20" i="65"/>
  <c r="AX20" i="65"/>
  <c r="AP20" i="65"/>
  <c r="AH20" i="65"/>
  <c r="CS20" i="65"/>
  <c r="BU20" i="65"/>
  <c r="BM20" i="65"/>
  <c r="AW20" i="65"/>
  <c r="AO20" i="65"/>
  <c r="AG20" i="65"/>
  <c r="CR20" i="65"/>
  <c r="BT20" i="65"/>
  <c r="BL20" i="65"/>
  <c r="AV20" i="65"/>
  <c r="AN20" i="65"/>
  <c r="BS20" i="65"/>
  <c r="BK20" i="65"/>
  <c r="AU20" i="65"/>
  <c r="AM20" i="65"/>
  <c r="CP20" i="65"/>
  <c r="CH20" i="65"/>
  <c r="BZ20" i="65"/>
  <c r="BR20" i="65"/>
  <c r="BJ20" i="65"/>
  <c r="AT20" i="65"/>
  <c r="AL20" i="65"/>
  <c r="CW20" i="65"/>
  <c r="CO20" i="65"/>
  <c r="BY20" i="65"/>
  <c r="BQ20" i="65"/>
  <c r="BI20" i="65"/>
  <c r="AS20" i="65"/>
  <c r="AK20" i="65"/>
  <c r="D20" i="65"/>
  <c r="CV20" i="65"/>
  <c r="CN20" i="65"/>
  <c r="CF20" i="65"/>
  <c r="BX20" i="65"/>
  <c r="BP20" i="65"/>
  <c r="BH20" i="65"/>
  <c r="AZ20" i="65"/>
  <c r="AR20" i="65"/>
  <c r="AJ20" i="65"/>
  <c r="B21" i="65"/>
  <c r="A22" i="65"/>
  <c r="CT20" i="64"/>
  <c r="CD20" i="64"/>
  <c r="BV20" i="64"/>
  <c r="BN20" i="64"/>
  <c r="AX20" i="64"/>
  <c r="AP20" i="64"/>
  <c r="AH20" i="64"/>
  <c r="CS20" i="64"/>
  <c r="BU20" i="64"/>
  <c r="BM20" i="64"/>
  <c r="AW20" i="64"/>
  <c r="AO20" i="64"/>
  <c r="AG20" i="64"/>
  <c r="CR20" i="64"/>
  <c r="BT20" i="64"/>
  <c r="BL20" i="64"/>
  <c r="AV20" i="64"/>
  <c r="AN20" i="64"/>
  <c r="BS20" i="64"/>
  <c r="BK20" i="64"/>
  <c r="AU20" i="64"/>
  <c r="AM20" i="64"/>
  <c r="CP20" i="64"/>
  <c r="CH20" i="64"/>
  <c r="BZ20" i="64"/>
  <c r="BR20" i="64"/>
  <c r="BJ20" i="64"/>
  <c r="AT20" i="64"/>
  <c r="AL20" i="64"/>
  <c r="CW20" i="64"/>
  <c r="CO20" i="64"/>
  <c r="BY20" i="64"/>
  <c r="BQ20" i="64"/>
  <c r="AS20" i="64"/>
  <c r="AK20" i="64"/>
  <c r="D20" i="64"/>
  <c r="CV20" i="64"/>
  <c r="CN20" i="64"/>
  <c r="BX20" i="64"/>
  <c r="BP20" i="64"/>
  <c r="BH20" i="64"/>
  <c r="AZ20" i="64"/>
  <c r="AR20" i="64"/>
  <c r="AJ20" i="64"/>
  <c r="CU20" i="64"/>
  <c r="CE20" i="64"/>
  <c r="BW20" i="64"/>
  <c r="BO20" i="64"/>
  <c r="BG20" i="64"/>
  <c r="AY20" i="64"/>
  <c r="AQ20" i="64"/>
  <c r="AI20" i="64"/>
  <c r="B21" i="64"/>
  <c r="A22" i="64"/>
  <c r="BB19" i="64"/>
  <c r="BA19" i="64"/>
  <c r="N19" i="64" s="1"/>
  <c r="B21" i="63"/>
  <c r="A22" i="63"/>
  <c r="CV20" i="63"/>
  <c r="CN20" i="63"/>
  <c r="CF20" i="63"/>
  <c r="BX20" i="63"/>
  <c r="BP20" i="63"/>
  <c r="BH20" i="63"/>
  <c r="AZ20" i="63"/>
  <c r="AR20" i="63"/>
  <c r="AJ20" i="63"/>
  <c r="CU20" i="63"/>
  <c r="CE20" i="63"/>
  <c r="BW20" i="63"/>
  <c r="BO20" i="63"/>
  <c r="AY20" i="63"/>
  <c r="AQ20" i="63"/>
  <c r="AI20" i="63"/>
  <c r="CS20" i="63"/>
  <c r="BU20" i="63"/>
  <c r="BM20" i="63"/>
  <c r="AW20" i="63"/>
  <c r="AO20" i="63"/>
  <c r="AG20" i="63"/>
  <c r="CR20" i="63"/>
  <c r="BT20" i="63"/>
  <c r="BI20" i="63"/>
  <c r="AV20" i="63"/>
  <c r="AK20" i="63"/>
  <c r="BS20" i="63"/>
  <c r="AU20" i="63"/>
  <c r="AH20" i="63"/>
  <c r="CW20" i="63"/>
  <c r="BR20" i="63"/>
  <c r="AT20" i="63"/>
  <c r="CT20" i="63"/>
  <c r="BQ20" i="63"/>
  <c r="AS20" i="63"/>
  <c r="CP20" i="63"/>
  <c r="BN20" i="63"/>
  <c r="AP20" i="63"/>
  <c r="CO20" i="63"/>
  <c r="BZ20" i="63"/>
  <c r="BL20" i="63"/>
  <c r="AN20" i="63"/>
  <c r="D20" i="63"/>
  <c r="BY20" i="63"/>
  <c r="BK20" i="63"/>
  <c r="AM20" i="63"/>
  <c r="CH20" i="63"/>
  <c r="BV20" i="63"/>
  <c r="BJ20" i="63"/>
  <c r="AX20" i="63"/>
  <c r="AL20" i="63"/>
  <c r="BB19" i="63"/>
  <c r="BA19" i="63"/>
  <c r="N19" i="63" s="1"/>
  <c r="Y19" i="63" s="1"/>
  <c r="CA19" i="63"/>
  <c r="O19" i="63" s="1"/>
  <c r="CQ20" i="72" l="1"/>
  <c r="CJ20" i="72"/>
  <c r="CK20" i="72"/>
  <c r="CL20" i="72"/>
  <c r="CG20" i="72"/>
  <c r="CM20" i="72"/>
  <c r="D21" i="68"/>
  <c r="CI21" i="68"/>
  <c r="CK21" i="68"/>
  <c r="CL21" i="68"/>
  <c r="CM21" i="68"/>
  <c r="CG21" i="68"/>
  <c r="CQ21" i="68"/>
  <c r="CJ21" i="68"/>
  <c r="CI22" i="67"/>
  <c r="CL22" i="67"/>
  <c r="CM22" i="67"/>
  <c r="CQ22" i="67"/>
  <c r="CJ22" i="67"/>
  <c r="CG22" i="67"/>
  <c r="CK22" i="67"/>
  <c r="CG21" i="69"/>
  <c r="CQ21" i="69"/>
  <c r="CJ21" i="69"/>
  <c r="CK21" i="69"/>
  <c r="CL21" i="69"/>
  <c r="CM21" i="69"/>
  <c r="CI21" i="71"/>
  <c r="CM21" i="71"/>
  <c r="CQ21" i="71"/>
  <c r="CJ21" i="71"/>
  <c r="CK21" i="71"/>
  <c r="CL21" i="71"/>
  <c r="CG21" i="71"/>
  <c r="CK21" i="73"/>
  <c r="CL21" i="73"/>
  <c r="CM21" i="73"/>
  <c r="CG21" i="73"/>
  <c r="CI21" i="73"/>
  <c r="CQ21" i="73"/>
  <c r="CJ21" i="73"/>
  <c r="CI22" i="70"/>
  <c r="CQ22" i="70"/>
  <c r="CJ22" i="70"/>
  <c r="CK22" i="70"/>
  <c r="CL22" i="70"/>
  <c r="CG22" i="70"/>
  <c r="CI22" i="66"/>
  <c r="CK22" i="66"/>
  <c r="CL22" i="66"/>
  <c r="CM22" i="66"/>
  <c r="CJ22" i="66"/>
  <c r="CQ22" i="66"/>
  <c r="CG22" i="66"/>
  <c r="CI21" i="65"/>
  <c r="CG21" i="65"/>
  <c r="CJ21" i="65"/>
  <c r="CQ21" i="65"/>
  <c r="CK21" i="65"/>
  <c r="CL21" i="65"/>
  <c r="CM21" i="65"/>
  <c r="CI21" i="64"/>
  <c r="CJ21" i="64"/>
  <c r="CK21" i="64"/>
  <c r="CL21" i="64"/>
  <c r="CM21" i="64"/>
  <c r="CQ21" i="64"/>
  <c r="CI21" i="63"/>
  <c r="CJ21" i="63"/>
  <c r="CK21" i="63"/>
  <c r="CL21" i="63"/>
  <c r="CM21" i="63"/>
  <c r="CG21" i="63"/>
  <c r="CQ21" i="63"/>
  <c r="CX20" i="69"/>
  <c r="P20" i="69" s="1"/>
  <c r="CX20" i="65"/>
  <c r="P20" i="65" s="1"/>
  <c r="CX20" i="68"/>
  <c r="P20" i="68" s="1"/>
  <c r="CX20" i="73"/>
  <c r="P20" i="73" s="1"/>
  <c r="Q19" i="73"/>
  <c r="Q19" i="69"/>
  <c r="Q19" i="68"/>
  <c r="A23" i="73"/>
  <c r="B22" i="73"/>
  <c r="BB20" i="73"/>
  <c r="BA20" i="73"/>
  <c r="N20" i="73" s="1"/>
  <c r="CA20" i="73"/>
  <c r="O20" i="73" s="1"/>
  <c r="BS21" i="73"/>
  <c r="CW21" i="73"/>
  <c r="CN21" i="73"/>
  <c r="CE21" i="73"/>
  <c r="BV21" i="73"/>
  <c r="BM21" i="73"/>
  <c r="AW21" i="73"/>
  <c r="AO21" i="73"/>
  <c r="AG21" i="73"/>
  <c r="CV21" i="73"/>
  <c r="CD21" i="73"/>
  <c r="BU21" i="73"/>
  <c r="BL21" i="73"/>
  <c r="AV21" i="73"/>
  <c r="AN21" i="73"/>
  <c r="CU21" i="73"/>
  <c r="BT21" i="73"/>
  <c r="BK21" i="73"/>
  <c r="AU21" i="73"/>
  <c r="AM21" i="73"/>
  <c r="CT21" i="73"/>
  <c r="BR21" i="73"/>
  <c r="BJ21" i="73"/>
  <c r="AT21" i="73"/>
  <c r="AL21" i="73"/>
  <c r="CS21" i="73"/>
  <c r="BZ21" i="73"/>
  <c r="BQ21" i="73"/>
  <c r="BI21" i="73"/>
  <c r="AS21" i="73"/>
  <c r="AK21" i="73"/>
  <c r="D21" i="73"/>
  <c r="CR21" i="73"/>
  <c r="CH21" i="73"/>
  <c r="BY21" i="73"/>
  <c r="BP21" i="73"/>
  <c r="BH21" i="73"/>
  <c r="AZ21" i="73"/>
  <c r="AR21" i="73"/>
  <c r="AJ21" i="73"/>
  <c r="CP21" i="73"/>
  <c r="BX21" i="73"/>
  <c r="BO21" i="73"/>
  <c r="BG21" i="73"/>
  <c r="AY21" i="73"/>
  <c r="AQ21" i="73"/>
  <c r="AI21" i="73"/>
  <c r="CO21" i="73"/>
  <c r="CF21" i="73"/>
  <c r="BW21" i="73"/>
  <c r="BN21" i="73"/>
  <c r="AX21" i="73"/>
  <c r="AP21" i="73"/>
  <c r="AH21" i="73"/>
  <c r="CA19" i="72"/>
  <c r="O19" i="72" s="1"/>
  <c r="BB19" i="72"/>
  <c r="BA19" i="72"/>
  <c r="N19" i="72" s="1"/>
  <c r="Y19" i="72" s="1"/>
  <c r="CW20" i="72"/>
  <c r="CO20" i="72"/>
  <c r="BY20" i="72"/>
  <c r="BQ20" i="72"/>
  <c r="CV20" i="72"/>
  <c r="CN20" i="72"/>
  <c r="CF20" i="72"/>
  <c r="BX20" i="72"/>
  <c r="BP20" i="72"/>
  <c r="BH20" i="72"/>
  <c r="AZ20" i="72"/>
  <c r="AR20" i="72"/>
  <c r="CU20" i="72"/>
  <c r="CE20" i="72"/>
  <c r="BW20" i="72"/>
  <c r="BO20" i="72"/>
  <c r="AY20" i="72"/>
  <c r="CT20" i="72"/>
  <c r="BU20" i="72"/>
  <c r="BJ20" i="72"/>
  <c r="AX20" i="72"/>
  <c r="AO20" i="72"/>
  <c r="AG20" i="72"/>
  <c r="CR20" i="72"/>
  <c r="BS20" i="72"/>
  <c r="AV20" i="72"/>
  <c r="AM20" i="72"/>
  <c r="BR20" i="72"/>
  <c r="AU20" i="72"/>
  <c r="AL20" i="72"/>
  <c r="CP20" i="72"/>
  <c r="BN20" i="72"/>
  <c r="AT20" i="72"/>
  <c r="AK20" i="72"/>
  <c r="D20" i="72"/>
  <c r="BM20" i="72"/>
  <c r="AS20" i="72"/>
  <c r="AJ20" i="72"/>
  <c r="BZ20" i="72"/>
  <c r="AQ20" i="72"/>
  <c r="AI20" i="72"/>
  <c r="BK20" i="72"/>
  <c r="AP20" i="72"/>
  <c r="AH20" i="72"/>
  <c r="CH20" i="72"/>
  <c r="AW20" i="72"/>
  <c r="AN20" i="72"/>
  <c r="BT20" i="72"/>
  <c r="BI20" i="72"/>
  <c r="A22" i="72"/>
  <c r="B21" i="72"/>
  <c r="A23" i="71"/>
  <c r="B22" i="71"/>
  <c r="BB20" i="71"/>
  <c r="BA20" i="71"/>
  <c r="N20" i="71" s="1"/>
  <c r="CW21" i="71"/>
  <c r="CO21" i="71"/>
  <c r="BY21" i="71"/>
  <c r="BQ21" i="71"/>
  <c r="BI21" i="71"/>
  <c r="AS21" i="71"/>
  <c r="AK21" i="71"/>
  <c r="D21" i="71"/>
  <c r="CV21" i="71"/>
  <c r="CN21" i="71"/>
  <c r="CF21" i="71"/>
  <c r="BX21" i="71"/>
  <c r="BP21" i="71"/>
  <c r="BH21" i="71"/>
  <c r="AZ21" i="71"/>
  <c r="AR21" i="71"/>
  <c r="AJ21" i="71"/>
  <c r="CR21" i="71"/>
  <c r="CH21" i="71"/>
  <c r="BV21" i="71"/>
  <c r="BL21" i="71"/>
  <c r="AP21" i="71"/>
  <c r="CE21" i="71"/>
  <c r="BU21" i="71"/>
  <c r="BK21" i="71"/>
  <c r="AY21" i="71"/>
  <c r="AO21" i="71"/>
  <c r="CP21" i="71"/>
  <c r="CD21" i="71"/>
  <c r="BT21" i="71"/>
  <c r="BJ21" i="71"/>
  <c r="AX21" i="71"/>
  <c r="AN21" i="71"/>
  <c r="BS21" i="71"/>
  <c r="BG21" i="71"/>
  <c r="AW21" i="71"/>
  <c r="AM21" i="71"/>
  <c r="CU21" i="71"/>
  <c r="BO21" i="71"/>
  <c r="CS21" i="71"/>
  <c r="BM21" i="71"/>
  <c r="AQ21" i="71"/>
  <c r="AL21" i="71"/>
  <c r="AI21" i="71"/>
  <c r="AH21" i="71"/>
  <c r="BZ21" i="71"/>
  <c r="AG21" i="71"/>
  <c r="BW21" i="71"/>
  <c r="AV21" i="71"/>
  <c r="CT21" i="71"/>
  <c r="BR21" i="71"/>
  <c r="AU21" i="71"/>
  <c r="BN21" i="71"/>
  <c r="AT21" i="71"/>
  <c r="BB21" i="70"/>
  <c r="BA21" i="70"/>
  <c r="N21" i="70" s="1"/>
  <c r="CT22" i="70"/>
  <c r="CD22" i="70"/>
  <c r="BV22" i="70"/>
  <c r="BN22" i="70"/>
  <c r="AX22" i="70"/>
  <c r="AP22" i="70"/>
  <c r="AH22" i="70"/>
  <c r="CS22" i="70"/>
  <c r="BM22" i="70"/>
  <c r="AW22" i="70"/>
  <c r="AO22" i="70"/>
  <c r="AG22" i="70"/>
  <c r="BX22" i="70"/>
  <c r="BL22" i="70"/>
  <c r="AT22" i="70"/>
  <c r="AJ22" i="70"/>
  <c r="CP22" i="70"/>
  <c r="CF22" i="70"/>
  <c r="BW22" i="70"/>
  <c r="AS22" i="70"/>
  <c r="AI22" i="70"/>
  <c r="CO22" i="70"/>
  <c r="CE22" i="70"/>
  <c r="BT22" i="70"/>
  <c r="BJ22" i="70"/>
  <c r="AR22" i="70"/>
  <c r="CN22" i="70"/>
  <c r="BS22" i="70"/>
  <c r="BI22" i="70"/>
  <c r="AQ22" i="70"/>
  <c r="BR22" i="70"/>
  <c r="BH22" i="70"/>
  <c r="AZ22" i="70"/>
  <c r="AN22" i="70"/>
  <c r="D22" i="70"/>
  <c r="CV22" i="70"/>
  <c r="BQ22" i="70"/>
  <c r="BG22" i="70"/>
  <c r="AY22" i="70"/>
  <c r="AM22" i="70"/>
  <c r="CU22" i="70"/>
  <c r="AV22" i="70"/>
  <c r="AL22" i="70"/>
  <c r="BY22" i="70"/>
  <c r="BO22" i="70"/>
  <c r="AU22" i="70"/>
  <c r="AK22" i="70"/>
  <c r="B23" i="70"/>
  <c r="A24" i="70"/>
  <c r="B22" i="69"/>
  <c r="A23" i="69"/>
  <c r="CA20" i="69"/>
  <c r="O20" i="69" s="1"/>
  <c r="CV21" i="69"/>
  <c r="CF21" i="69"/>
  <c r="BX21" i="69"/>
  <c r="BP21" i="69"/>
  <c r="BH21" i="69"/>
  <c r="AZ21" i="69"/>
  <c r="AR21" i="69"/>
  <c r="AJ21" i="69"/>
  <c r="CU21" i="69"/>
  <c r="CE21" i="69"/>
  <c r="BW21" i="69"/>
  <c r="BO21" i="69"/>
  <c r="AY21" i="69"/>
  <c r="AQ21" i="69"/>
  <c r="AI21" i="69"/>
  <c r="CT21" i="69"/>
  <c r="BV21" i="69"/>
  <c r="BN21" i="69"/>
  <c r="AX21" i="69"/>
  <c r="AP21" i="69"/>
  <c r="AH21" i="69"/>
  <c r="CS21" i="69"/>
  <c r="BU21" i="69"/>
  <c r="BM21" i="69"/>
  <c r="AW21" i="69"/>
  <c r="AO21" i="69"/>
  <c r="AG21" i="69"/>
  <c r="CR21" i="69"/>
  <c r="BT21" i="69"/>
  <c r="AV21" i="69"/>
  <c r="AN21" i="69"/>
  <c r="BS21" i="69"/>
  <c r="BK21" i="69"/>
  <c r="AU21" i="69"/>
  <c r="AM21" i="69"/>
  <c r="CP21" i="69"/>
  <c r="CH21" i="69"/>
  <c r="BZ21" i="69"/>
  <c r="BR21" i="69"/>
  <c r="BJ21" i="69"/>
  <c r="AT21" i="69"/>
  <c r="AL21" i="69"/>
  <c r="BI21" i="69"/>
  <c r="D21" i="69"/>
  <c r="CW21" i="69"/>
  <c r="CO21" i="69"/>
  <c r="BY21" i="69"/>
  <c r="AS21" i="69"/>
  <c r="AK21" i="69"/>
  <c r="BB20" i="69"/>
  <c r="BA20" i="69"/>
  <c r="N20" i="69" s="1"/>
  <c r="Y19" i="69" s="1"/>
  <c r="Y40" i="69" s="1"/>
  <c r="CV21" i="68"/>
  <c r="CN21" i="68"/>
  <c r="CF21" i="68"/>
  <c r="BX21" i="68"/>
  <c r="BP21" i="68"/>
  <c r="BH21" i="68"/>
  <c r="AZ21" i="68"/>
  <c r="AR21" i="68"/>
  <c r="AJ21" i="68"/>
  <c r="CU21" i="68"/>
  <c r="CE21" i="68"/>
  <c r="BW21" i="68"/>
  <c r="BO21" i="68"/>
  <c r="BG21" i="68"/>
  <c r="AY21" i="68"/>
  <c r="AQ21" i="68"/>
  <c r="AI21" i="68"/>
  <c r="CT21" i="68"/>
  <c r="CD21" i="68"/>
  <c r="BV21" i="68"/>
  <c r="BN21" i="68"/>
  <c r="AX21" i="68"/>
  <c r="AP21" i="68"/>
  <c r="AH21" i="68"/>
  <c r="CS21" i="68"/>
  <c r="BU21" i="68"/>
  <c r="BM21" i="68"/>
  <c r="AW21" i="68"/>
  <c r="AO21" i="68"/>
  <c r="AG21" i="68"/>
  <c r="BT21" i="68"/>
  <c r="AT21" i="68"/>
  <c r="CH21" i="68"/>
  <c r="BS21" i="68"/>
  <c r="AS21" i="68"/>
  <c r="CW21" i="68"/>
  <c r="BR21" i="68"/>
  <c r="CR21" i="68"/>
  <c r="BQ21" i="68"/>
  <c r="AM21" i="68"/>
  <c r="BL21" i="68"/>
  <c r="CP21" i="68"/>
  <c r="BK21" i="68"/>
  <c r="AK21" i="68"/>
  <c r="CO21" i="68"/>
  <c r="BZ21" i="68"/>
  <c r="BJ21" i="68"/>
  <c r="AV21" i="68"/>
  <c r="BY21" i="68"/>
  <c r="BI21" i="68"/>
  <c r="AU21" i="68"/>
  <c r="AL21" i="68"/>
  <c r="AN21" i="68"/>
  <c r="CA20" i="68"/>
  <c r="O20" i="68" s="1"/>
  <c r="B22" i="68"/>
  <c r="A23" i="68"/>
  <c r="BB20" i="68"/>
  <c r="BA20" i="68"/>
  <c r="N20" i="68" s="1"/>
  <c r="A24" i="67"/>
  <c r="B23" i="67"/>
  <c r="BB21" i="67"/>
  <c r="BA21" i="67"/>
  <c r="N21" i="67" s="1"/>
  <c r="CP22" i="67"/>
  <c r="CH22" i="67"/>
  <c r="BZ22" i="67"/>
  <c r="BR22" i="67"/>
  <c r="BJ22" i="67"/>
  <c r="AT22" i="67"/>
  <c r="AL22" i="67"/>
  <c r="CW22" i="67"/>
  <c r="CO22" i="67"/>
  <c r="BY22" i="67"/>
  <c r="BQ22" i="67"/>
  <c r="BI22" i="67"/>
  <c r="AS22" i="67"/>
  <c r="AK22" i="67"/>
  <c r="D22" i="67"/>
  <c r="CS22" i="67"/>
  <c r="BU22" i="67"/>
  <c r="CR22" i="67"/>
  <c r="BS22" i="67"/>
  <c r="BK22" i="67"/>
  <c r="CT22" i="67"/>
  <c r="BM22" i="67"/>
  <c r="AZ22" i="67"/>
  <c r="AP22" i="67"/>
  <c r="CN22" i="67"/>
  <c r="BX22" i="67"/>
  <c r="BL22" i="67"/>
  <c r="AY22" i="67"/>
  <c r="AO22" i="67"/>
  <c r="BW22" i="67"/>
  <c r="BH22" i="67"/>
  <c r="AX22" i="67"/>
  <c r="AN22" i="67"/>
  <c r="BV22" i="67"/>
  <c r="BG22" i="67"/>
  <c r="AW22" i="67"/>
  <c r="AM22" i="67"/>
  <c r="CF22" i="67"/>
  <c r="BT22" i="67"/>
  <c r="AV22" i="67"/>
  <c r="AJ22" i="67"/>
  <c r="CE22" i="67"/>
  <c r="BP22" i="67"/>
  <c r="AU22" i="67"/>
  <c r="AI22" i="67"/>
  <c r="CV22" i="67"/>
  <c r="CD22" i="67"/>
  <c r="BO22" i="67"/>
  <c r="AR22" i="67"/>
  <c r="AH22" i="67"/>
  <c r="CU22" i="67"/>
  <c r="BN22" i="67"/>
  <c r="AQ22" i="67"/>
  <c r="AG22" i="67"/>
  <c r="BB21" i="66"/>
  <c r="BA21" i="66"/>
  <c r="N21" i="66" s="1"/>
  <c r="A24" i="66"/>
  <c r="B23" i="66"/>
  <c r="CP22" i="66"/>
  <c r="CH22" i="66"/>
  <c r="BZ22" i="66"/>
  <c r="BR22" i="66"/>
  <c r="BJ22" i="66"/>
  <c r="AT22" i="66"/>
  <c r="AL22" i="66"/>
  <c r="CW22" i="66"/>
  <c r="CO22" i="66"/>
  <c r="BY22" i="66"/>
  <c r="BQ22" i="66"/>
  <c r="AS22" i="66"/>
  <c r="AK22" i="66"/>
  <c r="D22" i="66"/>
  <c r="CV22" i="66"/>
  <c r="CN22" i="66"/>
  <c r="BX22" i="66"/>
  <c r="BP22" i="66"/>
  <c r="BH22" i="66"/>
  <c r="AZ22" i="66"/>
  <c r="AR22" i="66"/>
  <c r="AJ22" i="66"/>
  <c r="CU22" i="66"/>
  <c r="CE22" i="66"/>
  <c r="BW22" i="66"/>
  <c r="BO22" i="66"/>
  <c r="BG22" i="66"/>
  <c r="AY22" i="66"/>
  <c r="AQ22" i="66"/>
  <c r="AI22" i="66"/>
  <c r="CT22" i="66"/>
  <c r="CD22" i="66"/>
  <c r="BV22" i="66"/>
  <c r="AX22" i="66"/>
  <c r="AP22" i="66"/>
  <c r="AH22" i="66"/>
  <c r="CS22" i="66"/>
  <c r="BU22" i="66"/>
  <c r="BM22" i="66"/>
  <c r="AW22" i="66"/>
  <c r="AO22" i="66"/>
  <c r="AG22" i="66"/>
  <c r="CR22" i="66"/>
  <c r="BT22" i="66"/>
  <c r="BL22" i="66"/>
  <c r="AV22" i="66"/>
  <c r="AN22" i="66"/>
  <c r="BS22" i="66"/>
  <c r="BK22" i="66"/>
  <c r="AU22" i="66"/>
  <c r="AM22" i="66"/>
  <c r="CA20" i="65"/>
  <c r="O20" i="65" s="1"/>
  <c r="CP21" i="65"/>
  <c r="CH21" i="65"/>
  <c r="BZ21" i="65"/>
  <c r="BR21" i="65"/>
  <c r="BJ21" i="65"/>
  <c r="AT21" i="65"/>
  <c r="AL21" i="65"/>
  <c r="CW21" i="65"/>
  <c r="CO21" i="65"/>
  <c r="BY21" i="65"/>
  <c r="BQ21" i="65"/>
  <c r="BI21" i="65"/>
  <c r="AS21" i="65"/>
  <c r="AK21" i="65"/>
  <c r="D21" i="65"/>
  <c r="CV21" i="65"/>
  <c r="CN21" i="65"/>
  <c r="CF21" i="65"/>
  <c r="BX21" i="65"/>
  <c r="BP21" i="65"/>
  <c r="BH21" i="65"/>
  <c r="AZ21" i="65"/>
  <c r="AR21" i="65"/>
  <c r="AJ21" i="65"/>
  <c r="CU21" i="65"/>
  <c r="CE21" i="65"/>
  <c r="BW21" i="65"/>
  <c r="BO21" i="65"/>
  <c r="BG21" i="65"/>
  <c r="AY21" i="65"/>
  <c r="AQ21" i="65"/>
  <c r="AI21" i="65"/>
  <c r="CT21" i="65"/>
  <c r="CD21" i="65"/>
  <c r="BV21" i="65"/>
  <c r="BN21" i="65"/>
  <c r="AX21" i="65"/>
  <c r="AP21" i="65"/>
  <c r="AH21" i="65"/>
  <c r="CS21" i="65"/>
  <c r="BU21" i="65"/>
  <c r="BM21" i="65"/>
  <c r="AW21" i="65"/>
  <c r="AO21" i="65"/>
  <c r="AG21" i="65"/>
  <c r="CR21" i="65"/>
  <c r="BT21" i="65"/>
  <c r="BL21" i="65"/>
  <c r="AV21" i="65"/>
  <c r="AN21" i="65"/>
  <c r="BS21" i="65"/>
  <c r="BK21" i="65"/>
  <c r="AU21" i="65"/>
  <c r="AM21" i="65"/>
  <c r="BB20" i="65"/>
  <c r="BA20" i="65"/>
  <c r="N20" i="65" s="1"/>
  <c r="Y20" i="65" s="1"/>
  <c r="A23" i="65"/>
  <c r="B22" i="65"/>
  <c r="BB20" i="64"/>
  <c r="BA20" i="64"/>
  <c r="N20" i="64" s="1"/>
  <c r="A23" i="64"/>
  <c r="B22" i="64"/>
  <c r="CW21" i="64"/>
  <c r="CO21" i="64"/>
  <c r="BY21" i="64"/>
  <c r="BQ21" i="64"/>
  <c r="BI21" i="64"/>
  <c r="AS21" i="64"/>
  <c r="AK21" i="64"/>
  <c r="D21" i="64"/>
  <c r="CV21" i="64"/>
  <c r="CN21" i="64"/>
  <c r="CF21" i="64"/>
  <c r="BX21" i="64"/>
  <c r="BP21" i="64"/>
  <c r="BH21" i="64"/>
  <c r="AZ21" i="64"/>
  <c r="AR21" i="64"/>
  <c r="AJ21" i="64"/>
  <c r="CU21" i="64"/>
  <c r="CE21" i="64"/>
  <c r="BW21" i="64"/>
  <c r="BO21" i="64"/>
  <c r="BG21" i="64"/>
  <c r="AY21" i="64"/>
  <c r="AQ21" i="64"/>
  <c r="AI21" i="64"/>
  <c r="CT21" i="64"/>
  <c r="CD21" i="64"/>
  <c r="BV21" i="64"/>
  <c r="BN21" i="64"/>
  <c r="AX21" i="64"/>
  <c r="AP21" i="64"/>
  <c r="AH21" i="64"/>
  <c r="CS21" i="64"/>
  <c r="BU21" i="64"/>
  <c r="BM21" i="64"/>
  <c r="AW21" i="64"/>
  <c r="AO21" i="64"/>
  <c r="AG21" i="64"/>
  <c r="CR21" i="64"/>
  <c r="BT21" i="64"/>
  <c r="BL21" i="64"/>
  <c r="AV21" i="64"/>
  <c r="AN21" i="64"/>
  <c r="BS21" i="64"/>
  <c r="BK21" i="64"/>
  <c r="AU21" i="64"/>
  <c r="AM21" i="64"/>
  <c r="CP21" i="64"/>
  <c r="CH21" i="64"/>
  <c r="BZ21" i="64"/>
  <c r="BR21" i="64"/>
  <c r="AT21" i="64"/>
  <c r="AL21" i="64"/>
  <c r="BB20" i="63"/>
  <c r="BA20" i="63"/>
  <c r="N20" i="63" s="1"/>
  <c r="Y20" i="63" s="1"/>
  <c r="A23" i="63"/>
  <c r="B22" i="63"/>
  <c r="BS21" i="63"/>
  <c r="BK21" i="63"/>
  <c r="AU21" i="63"/>
  <c r="AM21" i="63"/>
  <c r="CP21" i="63"/>
  <c r="CH21" i="63"/>
  <c r="BZ21" i="63"/>
  <c r="BR21" i="63"/>
  <c r="BJ21" i="63"/>
  <c r="AT21" i="63"/>
  <c r="AL21" i="63"/>
  <c r="CW21" i="63"/>
  <c r="CO21" i="63"/>
  <c r="BY21" i="63"/>
  <c r="BQ21" i="63"/>
  <c r="BI21" i="63"/>
  <c r="AS21" i="63"/>
  <c r="AK21" i="63"/>
  <c r="D21" i="63"/>
  <c r="CV21" i="63"/>
  <c r="CN21" i="63"/>
  <c r="CF21" i="63"/>
  <c r="BX21" i="63"/>
  <c r="BP21" i="63"/>
  <c r="AZ21" i="63"/>
  <c r="AR21" i="63"/>
  <c r="AJ21" i="63"/>
  <c r="CU21" i="63"/>
  <c r="BW21" i="63"/>
  <c r="BO21" i="63"/>
  <c r="BG21" i="63"/>
  <c r="AY21" i="63"/>
  <c r="AQ21" i="63"/>
  <c r="AI21" i="63"/>
  <c r="CT21" i="63"/>
  <c r="CD21" i="63"/>
  <c r="BV21" i="63"/>
  <c r="BN21" i="63"/>
  <c r="AX21" i="63"/>
  <c r="AP21" i="63"/>
  <c r="AH21" i="63"/>
  <c r="CR21" i="63"/>
  <c r="BT21" i="63"/>
  <c r="BL21" i="63"/>
  <c r="AV21" i="63"/>
  <c r="AN21" i="63"/>
  <c r="BM21" i="63"/>
  <c r="CS21" i="63"/>
  <c r="AW21" i="63"/>
  <c r="AO21" i="63"/>
  <c r="BU21" i="63"/>
  <c r="AG21" i="63"/>
  <c r="CI23" i="67" l="1"/>
  <c r="CQ23" i="67"/>
  <c r="CG23" i="67"/>
  <c r="CJ23" i="67"/>
  <c r="CK23" i="67"/>
  <c r="CL23" i="67"/>
  <c r="CM23" i="67"/>
  <c r="CQ21" i="72"/>
  <c r="CK21" i="72"/>
  <c r="CI21" i="72"/>
  <c r="CL21" i="72"/>
  <c r="CM21" i="72"/>
  <c r="CG21" i="72"/>
  <c r="CQ22" i="73"/>
  <c r="CJ22" i="73"/>
  <c r="CG22" i="73"/>
  <c r="CI22" i="73"/>
  <c r="CK22" i="73"/>
  <c r="CL22" i="73"/>
  <c r="CM22" i="73"/>
  <c r="CI22" i="69"/>
  <c r="CK22" i="69"/>
  <c r="CG22" i="69"/>
  <c r="CL22" i="69"/>
  <c r="CM22" i="69"/>
  <c r="CQ22" i="69"/>
  <c r="CI23" i="70"/>
  <c r="CK23" i="70"/>
  <c r="CG23" i="70"/>
  <c r="CL23" i="70"/>
  <c r="CQ23" i="70"/>
  <c r="CM23" i="70"/>
  <c r="CJ23" i="70"/>
  <c r="CI22" i="68"/>
  <c r="CJ22" i="68"/>
  <c r="CG22" i="68"/>
  <c r="CK22" i="68"/>
  <c r="CL22" i="68"/>
  <c r="CM22" i="68"/>
  <c r="CQ22" i="68"/>
  <c r="CI22" i="71"/>
  <c r="CJ22" i="71"/>
  <c r="CK22" i="71"/>
  <c r="CL22" i="71"/>
  <c r="CM22" i="71"/>
  <c r="CQ22" i="71"/>
  <c r="CG22" i="71"/>
  <c r="CI23" i="66"/>
  <c r="CJ23" i="66"/>
  <c r="CM23" i="66"/>
  <c r="CK23" i="66"/>
  <c r="CQ23" i="66"/>
  <c r="CL23" i="66"/>
  <c r="CI22" i="65"/>
  <c r="CJ22" i="65"/>
  <c r="CK22" i="65"/>
  <c r="CL22" i="65"/>
  <c r="CM22" i="65"/>
  <c r="CG22" i="65"/>
  <c r="CQ22" i="65"/>
  <c r="CI22" i="64"/>
  <c r="CL22" i="64"/>
  <c r="CM22" i="64"/>
  <c r="CG22" i="64"/>
  <c r="CJ22" i="64"/>
  <c r="CK22" i="64"/>
  <c r="CQ22" i="64"/>
  <c r="CI22" i="63"/>
  <c r="CJ22" i="63"/>
  <c r="CK22" i="63"/>
  <c r="CL22" i="63"/>
  <c r="CM22" i="63"/>
  <c r="CG22" i="63"/>
  <c r="CQ22" i="63"/>
  <c r="Q20" i="69"/>
  <c r="CX21" i="73"/>
  <c r="P21" i="73" s="1"/>
  <c r="CX21" i="65"/>
  <c r="P21" i="65" s="1"/>
  <c r="CX21" i="71"/>
  <c r="P21" i="71" s="1"/>
  <c r="CX22" i="67"/>
  <c r="P22" i="67" s="1"/>
  <c r="CX21" i="68"/>
  <c r="P21" i="68" s="1"/>
  <c r="Q20" i="65"/>
  <c r="Q20" i="73"/>
  <c r="Q20" i="68"/>
  <c r="BB21" i="73"/>
  <c r="BA21" i="73"/>
  <c r="N21" i="73" s="1"/>
  <c r="CU22" i="73"/>
  <c r="CE22" i="73"/>
  <c r="BW22" i="73"/>
  <c r="BO22" i="73"/>
  <c r="BG22" i="73"/>
  <c r="AY22" i="73"/>
  <c r="AQ22" i="73"/>
  <c r="CT22" i="73"/>
  <c r="CD22" i="73"/>
  <c r="BV22" i="73"/>
  <c r="BN22" i="73"/>
  <c r="AX22" i="73"/>
  <c r="AP22" i="73"/>
  <c r="AH22" i="73"/>
  <c r="CS22" i="73"/>
  <c r="BU22" i="73"/>
  <c r="BM22" i="73"/>
  <c r="CR22" i="73"/>
  <c r="BT22" i="73"/>
  <c r="BL22" i="73"/>
  <c r="AV22" i="73"/>
  <c r="AN22" i="73"/>
  <c r="BS22" i="73"/>
  <c r="BK22" i="73"/>
  <c r="CN22" i="73"/>
  <c r="BX22" i="73"/>
  <c r="AT22" i="73"/>
  <c r="AI22" i="73"/>
  <c r="CH22" i="73"/>
  <c r="BR22" i="73"/>
  <c r="AS22" i="73"/>
  <c r="AG22" i="73"/>
  <c r="BQ22" i="73"/>
  <c r="AR22" i="73"/>
  <c r="CF22" i="73"/>
  <c r="BP22" i="73"/>
  <c r="AO22" i="73"/>
  <c r="CW22" i="73"/>
  <c r="BJ22" i="73"/>
  <c r="AM22" i="73"/>
  <c r="D22" i="73"/>
  <c r="CV22" i="73"/>
  <c r="BI22" i="73"/>
  <c r="AZ22" i="73"/>
  <c r="AL22" i="73"/>
  <c r="CP22" i="73"/>
  <c r="BZ22" i="73"/>
  <c r="BH22" i="73"/>
  <c r="AW22" i="73"/>
  <c r="AK22" i="73"/>
  <c r="CO22" i="73"/>
  <c r="BY22" i="73"/>
  <c r="AU22" i="73"/>
  <c r="AJ22" i="73"/>
  <c r="CA21" i="73"/>
  <c r="O21" i="73" s="1"/>
  <c r="B23" i="73"/>
  <c r="A24" i="73"/>
  <c r="CS21" i="72"/>
  <c r="BU21" i="72"/>
  <c r="AW21" i="72"/>
  <c r="AO21" i="72"/>
  <c r="AG21" i="72"/>
  <c r="CR21" i="72"/>
  <c r="BT21" i="72"/>
  <c r="BL21" i="72"/>
  <c r="AV21" i="72"/>
  <c r="AN21" i="72"/>
  <c r="BS21" i="72"/>
  <c r="BK21" i="72"/>
  <c r="AU21" i="72"/>
  <c r="AM21" i="72"/>
  <c r="CP21" i="72"/>
  <c r="CH21" i="72"/>
  <c r="BZ21" i="72"/>
  <c r="BR21" i="72"/>
  <c r="BJ21" i="72"/>
  <c r="AT21" i="72"/>
  <c r="AL21" i="72"/>
  <c r="BY21" i="72"/>
  <c r="BI21" i="72"/>
  <c r="AZ21" i="72"/>
  <c r="AJ21" i="72"/>
  <c r="CW21" i="72"/>
  <c r="BG21" i="72"/>
  <c r="AX21" i="72"/>
  <c r="AH21" i="72"/>
  <c r="CV21" i="72"/>
  <c r="CF21" i="72"/>
  <c r="BV21" i="72"/>
  <c r="AS21" i="72"/>
  <c r="D21" i="72"/>
  <c r="CU21" i="72"/>
  <c r="BQ21" i="72"/>
  <c r="AR21" i="72"/>
  <c r="CD21" i="72"/>
  <c r="BP21" i="72"/>
  <c r="AQ21" i="72"/>
  <c r="CO21" i="72"/>
  <c r="BO21" i="72"/>
  <c r="AP21" i="72"/>
  <c r="CN21" i="72"/>
  <c r="BN21" i="72"/>
  <c r="AK21" i="72"/>
  <c r="AY21" i="72"/>
  <c r="AI21" i="72"/>
  <c r="BX21" i="72"/>
  <c r="B22" i="72"/>
  <c r="A23" i="72"/>
  <c r="BB20" i="72"/>
  <c r="BA20" i="72"/>
  <c r="N20" i="72" s="1"/>
  <c r="BB21" i="71"/>
  <c r="BA21" i="71"/>
  <c r="N21" i="71" s="1"/>
  <c r="CR22" i="71"/>
  <c r="BT22" i="71"/>
  <c r="BL22" i="71"/>
  <c r="AV22" i="71"/>
  <c r="AN22" i="71"/>
  <c r="BS22" i="71"/>
  <c r="BK22" i="71"/>
  <c r="AU22" i="71"/>
  <c r="AM22" i="71"/>
  <c r="CV22" i="71"/>
  <c r="BQ22" i="71"/>
  <c r="BG22" i="71"/>
  <c r="AY22" i="71"/>
  <c r="AO22" i="71"/>
  <c r="D22" i="71"/>
  <c r="CU22" i="71"/>
  <c r="BZ22" i="71"/>
  <c r="BP22" i="71"/>
  <c r="AX22" i="71"/>
  <c r="AL22" i="71"/>
  <c r="CT22" i="71"/>
  <c r="CH22" i="71"/>
  <c r="BY22" i="71"/>
  <c r="BO22" i="71"/>
  <c r="AW22" i="71"/>
  <c r="AK22" i="71"/>
  <c r="CS22" i="71"/>
  <c r="BX22" i="71"/>
  <c r="BN22" i="71"/>
  <c r="AT22" i="71"/>
  <c r="AJ22" i="71"/>
  <c r="CP22" i="71"/>
  <c r="CF22" i="71"/>
  <c r="BW22" i="71"/>
  <c r="BM22" i="71"/>
  <c r="AS22" i="71"/>
  <c r="AI22" i="71"/>
  <c r="CO22" i="71"/>
  <c r="CE22" i="71"/>
  <c r="BV22" i="71"/>
  <c r="BJ22" i="71"/>
  <c r="AR22" i="71"/>
  <c r="AH22" i="71"/>
  <c r="CW22" i="71"/>
  <c r="BR22" i="71"/>
  <c r="BH22" i="71"/>
  <c r="AZ22" i="71"/>
  <c r="AP22" i="71"/>
  <c r="CN22" i="71"/>
  <c r="CD22" i="71"/>
  <c r="AQ22" i="71"/>
  <c r="BU22" i="71"/>
  <c r="AG22" i="71"/>
  <c r="BI22" i="71"/>
  <c r="CA21" i="71"/>
  <c r="O21" i="71" s="1"/>
  <c r="A24" i="71"/>
  <c r="B23" i="71"/>
  <c r="A25" i="70"/>
  <c r="B24" i="70"/>
  <c r="CW23" i="70"/>
  <c r="CO23" i="70"/>
  <c r="BY23" i="70"/>
  <c r="BQ23" i="70"/>
  <c r="BI23" i="70"/>
  <c r="AS23" i="70"/>
  <c r="AK23" i="70"/>
  <c r="D23" i="70"/>
  <c r="CV23" i="70"/>
  <c r="CN23" i="70"/>
  <c r="CF23" i="70"/>
  <c r="BX23" i="70"/>
  <c r="BP23" i="70"/>
  <c r="BH23" i="70"/>
  <c r="AZ23" i="70"/>
  <c r="AR23" i="70"/>
  <c r="AJ23" i="70"/>
  <c r="CP23" i="70"/>
  <c r="CD23" i="70"/>
  <c r="BT23" i="70"/>
  <c r="BJ23" i="70"/>
  <c r="AX23" i="70"/>
  <c r="AN23" i="70"/>
  <c r="BS23" i="70"/>
  <c r="BG23" i="70"/>
  <c r="AW23" i="70"/>
  <c r="AM23" i="70"/>
  <c r="BR23" i="70"/>
  <c r="AV23" i="70"/>
  <c r="AL23" i="70"/>
  <c r="CU23" i="70"/>
  <c r="BO23" i="70"/>
  <c r="AU23" i="70"/>
  <c r="AI23" i="70"/>
  <c r="CT23" i="70"/>
  <c r="BZ23" i="70"/>
  <c r="BN23" i="70"/>
  <c r="AT23" i="70"/>
  <c r="AH23" i="70"/>
  <c r="CS23" i="70"/>
  <c r="BW23" i="70"/>
  <c r="BM23" i="70"/>
  <c r="AQ23" i="70"/>
  <c r="AG23" i="70"/>
  <c r="CR23" i="70"/>
  <c r="CH23" i="70"/>
  <c r="BV23" i="70"/>
  <c r="BL23" i="70"/>
  <c r="AP23" i="70"/>
  <c r="CE23" i="70"/>
  <c r="BU23" i="70"/>
  <c r="BK23" i="70"/>
  <c r="AY23" i="70"/>
  <c r="AO23" i="70"/>
  <c r="BB22" i="70"/>
  <c r="BA22" i="70"/>
  <c r="N22" i="70" s="1"/>
  <c r="BB21" i="69"/>
  <c r="BA21" i="69"/>
  <c r="N21" i="69" s="1"/>
  <c r="A24" i="69"/>
  <c r="B23" i="69"/>
  <c r="BS22" i="69"/>
  <c r="BK22" i="69"/>
  <c r="AU22" i="69"/>
  <c r="AM22" i="69"/>
  <c r="CP22" i="69"/>
  <c r="CH22" i="69"/>
  <c r="BZ22" i="69"/>
  <c r="BJ22" i="69"/>
  <c r="AT22" i="69"/>
  <c r="AL22" i="69"/>
  <c r="CW22" i="69"/>
  <c r="BY22" i="69"/>
  <c r="BQ22" i="69"/>
  <c r="BI22" i="69"/>
  <c r="AS22" i="69"/>
  <c r="AK22" i="69"/>
  <c r="D22" i="69"/>
  <c r="CV22" i="69"/>
  <c r="CN22" i="69"/>
  <c r="CF22" i="69"/>
  <c r="BX22" i="69"/>
  <c r="BP22" i="69"/>
  <c r="AZ22" i="69"/>
  <c r="AR22" i="69"/>
  <c r="AJ22" i="69"/>
  <c r="CU22" i="69"/>
  <c r="BW22" i="69"/>
  <c r="BO22" i="69"/>
  <c r="BG22" i="69"/>
  <c r="AY22" i="69"/>
  <c r="AQ22" i="69"/>
  <c r="AI22" i="69"/>
  <c r="CT22" i="69"/>
  <c r="CD22" i="69"/>
  <c r="BV22" i="69"/>
  <c r="BN22" i="69"/>
  <c r="AX22" i="69"/>
  <c r="AP22" i="69"/>
  <c r="AH22" i="69"/>
  <c r="CS22" i="69"/>
  <c r="BU22" i="69"/>
  <c r="AW22" i="69"/>
  <c r="AO22" i="69"/>
  <c r="AG22" i="69"/>
  <c r="BT22" i="69"/>
  <c r="BL22" i="69"/>
  <c r="CR22" i="69"/>
  <c r="AV22" i="69"/>
  <c r="AN22" i="69"/>
  <c r="A24" i="68"/>
  <c r="B23" i="68"/>
  <c r="BS22" i="68"/>
  <c r="BK22" i="68"/>
  <c r="AU22" i="68"/>
  <c r="AM22" i="68"/>
  <c r="CP22" i="68"/>
  <c r="CH22" i="68"/>
  <c r="BZ22" i="68"/>
  <c r="BR22" i="68"/>
  <c r="BJ22" i="68"/>
  <c r="AT22" i="68"/>
  <c r="AL22" i="68"/>
  <c r="CW22" i="68"/>
  <c r="CO22" i="68"/>
  <c r="BY22" i="68"/>
  <c r="BQ22" i="68"/>
  <c r="BI22" i="68"/>
  <c r="AS22" i="68"/>
  <c r="AK22" i="68"/>
  <c r="D22" i="68"/>
  <c r="CV22" i="68"/>
  <c r="CN22" i="68"/>
  <c r="CF22" i="68"/>
  <c r="BX22" i="68"/>
  <c r="BP22" i="68"/>
  <c r="BH22" i="68"/>
  <c r="AZ22" i="68"/>
  <c r="AR22" i="68"/>
  <c r="AJ22" i="68"/>
  <c r="CU22" i="68"/>
  <c r="CE22" i="68"/>
  <c r="BW22" i="68"/>
  <c r="CT22" i="68"/>
  <c r="CD22" i="68"/>
  <c r="BV22" i="68"/>
  <c r="BN22" i="68"/>
  <c r="AX22" i="68"/>
  <c r="CS22" i="68"/>
  <c r="BU22" i="68"/>
  <c r="BM22" i="68"/>
  <c r="AW22" i="68"/>
  <c r="AO22" i="68"/>
  <c r="AG22" i="68"/>
  <c r="CR22" i="68"/>
  <c r="BT22" i="68"/>
  <c r="BL22" i="68"/>
  <c r="AV22" i="68"/>
  <c r="AN22" i="68"/>
  <c r="AY22" i="68"/>
  <c r="AQ22" i="68"/>
  <c r="BO22" i="68"/>
  <c r="AP22" i="68"/>
  <c r="BG22" i="68"/>
  <c r="AI22" i="68"/>
  <c r="AH22" i="68"/>
  <c r="CA21" i="68"/>
  <c r="O21" i="68" s="1"/>
  <c r="BB21" i="68"/>
  <c r="BA21" i="68"/>
  <c r="N21" i="68" s="1"/>
  <c r="BB22" i="67"/>
  <c r="BA22" i="67"/>
  <c r="N22" i="67" s="1"/>
  <c r="CA22" i="67"/>
  <c r="O22" i="67" s="1"/>
  <c r="CS23" i="67"/>
  <c r="BU23" i="67"/>
  <c r="BM23" i="67"/>
  <c r="AW23" i="67"/>
  <c r="AO23" i="67"/>
  <c r="AG23" i="67"/>
  <c r="CR23" i="67"/>
  <c r="BT23" i="67"/>
  <c r="BL23" i="67"/>
  <c r="AV23" i="67"/>
  <c r="AN23" i="67"/>
  <c r="CP23" i="67"/>
  <c r="CH23" i="67"/>
  <c r="BZ23" i="67"/>
  <c r="CV23" i="67"/>
  <c r="CN23" i="67"/>
  <c r="CF23" i="67"/>
  <c r="BX23" i="67"/>
  <c r="BP23" i="67"/>
  <c r="BH23" i="67"/>
  <c r="AZ23" i="67"/>
  <c r="AR23" i="67"/>
  <c r="AJ23" i="67"/>
  <c r="CU23" i="67"/>
  <c r="CE23" i="67"/>
  <c r="BW23" i="67"/>
  <c r="BO23" i="67"/>
  <c r="BG23" i="67"/>
  <c r="AY23" i="67"/>
  <c r="AQ23" i="67"/>
  <c r="AI23" i="67"/>
  <c r="CT23" i="67"/>
  <c r="CD23" i="67"/>
  <c r="BV23" i="67"/>
  <c r="BN23" i="67"/>
  <c r="AX23" i="67"/>
  <c r="AP23" i="67"/>
  <c r="AH23" i="67"/>
  <c r="CW23" i="67"/>
  <c r="BY23" i="67"/>
  <c r="AM23" i="67"/>
  <c r="BS23" i="67"/>
  <c r="AL23" i="67"/>
  <c r="CO23" i="67"/>
  <c r="BR23" i="67"/>
  <c r="AK23" i="67"/>
  <c r="BQ23" i="67"/>
  <c r="BK23" i="67"/>
  <c r="D23" i="67"/>
  <c r="BJ23" i="67"/>
  <c r="AU23" i="67"/>
  <c r="BI23" i="67"/>
  <c r="AT23" i="67"/>
  <c r="AS23" i="67"/>
  <c r="B24" i="67"/>
  <c r="A25" i="67"/>
  <c r="BS23" i="66"/>
  <c r="BK23" i="66"/>
  <c r="AU23" i="66"/>
  <c r="AM23" i="66"/>
  <c r="CP23" i="66"/>
  <c r="CH23" i="66"/>
  <c r="BZ23" i="66"/>
  <c r="BR23" i="66"/>
  <c r="CW23" i="66"/>
  <c r="CO23" i="66"/>
  <c r="BY23" i="66"/>
  <c r="BQ23" i="66"/>
  <c r="BI23" i="66"/>
  <c r="AS23" i="66"/>
  <c r="AK23" i="66"/>
  <c r="CU23" i="66"/>
  <c r="CE23" i="66"/>
  <c r="BW23" i="66"/>
  <c r="BL23" i="66"/>
  <c r="AQ23" i="66"/>
  <c r="AG23" i="66"/>
  <c r="BV23" i="66"/>
  <c r="AZ23" i="66"/>
  <c r="AP23" i="66"/>
  <c r="BU23" i="66"/>
  <c r="BH23" i="66"/>
  <c r="AY23" i="66"/>
  <c r="AO23" i="66"/>
  <c r="CV23" i="66"/>
  <c r="CF23" i="66"/>
  <c r="BT23" i="66"/>
  <c r="BG23" i="66"/>
  <c r="AX23" i="66"/>
  <c r="AN23" i="66"/>
  <c r="CT23" i="66"/>
  <c r="CD23" i="66"/>
  <c r="BP23" i="66"/>
  <c r="AW23" i="66"/>
  <c r="AL23" i="66"/>
  <c r="D23" i="66"/>
  <c r="CS23" i="66"/>
  <c r="AV23" i="66"/>
  <c r="AJ23" i="66"/>
  <c r="CR23" i="66"/>
  <c r="BN23" i="66"/>
  <c r="AT23" i="66"/>
  <c r="AI23" i="66"/>
  <c r="CN23" i="66"/>
  <c r="BX23" i="66"/>
  <c r="BM23" i="66"/>
  <c r="AR23" i="66"/>
  <c r="AH23" i="66"/>
  <c r="BB22" i="66"/>
  <c r="BA22" i="66"/>
  <c r="N22" i="66" s="1"/>
  <c r="A25" i="66"/>
  <c r="B24" i="66"/>
  <c r="CA21" i="65"/>
  <c r="O21" i="65" s="1"/>
  <c r="CS22" i="65"/>
  <c r="BU22" i="65"/>
  <c r="BM22" i="65"/>
  <c r="AW22" i="65"/>
  <c r="AO22" i="65"/>
  <c r="AG22" i="65"/>
  <c r="CR22" i="65"/>
  <c r="BT22" i="65"/>
  <c r="AV22" i="65"/>
  <c r="AN22" i="65"/>
  <c r="BS22" i="65"/>
  <c r="BK22" i="65"/>
  <c r="AU22" i="65"/>
  <c r="AM22" i="65"/>
  <c r="CP22" i="65"/>
  <c r="CH22" i="65"/>
  <c r="BZ22" i="65"/>
  <c r="BR22" i="65"/>
  <c r="BJ22" i="65"/>
  <c r="AT22" i="65"/>
  <c r="AL22" i="65"/>
  <c r="CW22" i="65"/>
  <c r="CO22" i="65"/>
  <c r="BY22" i="65"/>
  <c r="BQ22" i="65"/>
  <c r="BI22" i="65"/>
  <c r="AS22" i="65"/>
  <c r="AK22" i="65"/>
  <c r="D22" i="65"/>
  <c r="CV22" i="65"/>
  <c r="CN22" i="65"/>
  <c r="CF22" i="65"/>
  <c r="BX22" i="65"/>
  <c r="BP22" i="65"/>
  <c r="BH22" i="65"/>
  <c r="AZ22" i="65"/>
  <c r="AR22" i="65"/>
  <c r="AJ22" i="65"/>
  <c r="CU22" i="65"/>
  <c r="CE22" i="65"/>
  <c r="BW22" i="65"/>
  <c r="BO22" i="65"/>
  <c r="AY22" i="65"/>
  <c r="AQ22" i="65"/>
  <c r="AI22" i="65"/>
  <c r="CT22" i="65"/>
  <c r="BV22" i="65"/>
  <c r="BN22" i="65"/>
  <c r="AX22" i="65"/>
  <c r="AP22" i="65"/>
  <c r="AH22" i="65"/>
  <c r="B23" i="65"/>
  <c r="A24" i="65"/>
  <c r="BB21" i="65"/>
  <c r="BA21" i="65"/>
  <c r="N21" i="65" s="1"/>
  <c r="Y21" i="65" s="1"/>
  <c r="BB21" i="64"/>
  <c r="BA21" i="64"/>
  <c r="N21" i="64" s="1"/>
  <c r="Y20" i="64" s="1"/>
  <c r="Y40" i="64" s="1"/>
  <c r="CR22" i="64"/>
  <c r="CT22" i="64"/>
  <c r="BT22" i="64"/>
  <c r="BL22" i="64"/>
  <c r="AV22" i="64"/>
  <c r="AN22" i="64"/>
  <c r="CS22" i="64"/>
  <c r="BS22" i="64"/>
  <c r="AU22" i="64"/>
  <c r="AM22" i="64"/>
  <c r="BZ22" i="64"/>
  <c r="BR22" i="64"/>
  <c r="BJ22" i="64"/>
  <c r="AT22" i="64"/>
  <c r="AL22" i="64"/>
  <c r="CP22" i="64"/>
  <c r="BY22" i="64"/>
  <c r="BQ22" i="64"/>
  <c r="BI22" i="64"/>
  <c r="AS22" i="64"/>
  <c r="AK22" i="64"/>
  <c r="D22" i="64"/>
  <c r="CO22" i="64"/>
  <c r="CF22" i="64"/>
  <c r="BX22" i="64"/>
  <c r="BP22" i="64"/>
  <c r="BH22" i="64"/>
  <c r="AZ22" i="64"/>
  <c r="AR22" i="64"/>
  <c r="AJ22" i="64"/>
  <c r="CW22" i="64"/>
  <c r="CN22" i="64"/>
  <c r="CE22" i="64"/>
  <c r="BW22" i="64"/>
  <c r="BO22" i="64"/>
  <c r="BG22" i="64"/>
  <c r="AY22" i="64"/>
  <c r="AQ22" i="64"/>
  <c r="AI22" i="64"/>
  <c r="CV22" i="64"/>
  <c r="CD22" i="64"/>
  <c r="BV22" i="64"/>
  <c r="BN22" i="64"/>
  <c r="AX22" i="64"/>
  <c r="AP22" i="64"/>
  <c r="AH22" i="64"/>
  <c r="CU22" i="64"/>
  <c r="BU22" i="64"/>
  <c r="BM22" i="64"/>
  <c r="AW22" i="64"/>
  <c r="AO22" i="64"/>
  <c r="AG22" i="64"/>
  <c r="A24" i="64"/>
  <c r="B23" i="64"/>
  <c r="BB21" i="63"/>
  <c r="BA21" i="63"/>
  <c r="N21" i="63" s="1"/>
  <c r="Y21" i="63" s="1"/>
  <c r="CT22" i="63"/>
  <c r="CD22" i="63"/>
  <c r="BV22" i="63"/>
  <c r="BN22" i="63"/>
  <c r="AX22" i="63"/>
  <c r="AP22" i="63"/>
  <c r="AH22" i="63"/>
  <c r="CS22" i="63"/>
  <c r="BU22" i="63"/>
  <c r="BM22" i="63"/>
  <c r="AW22" i="63"/>
  <c r="AO22" i="63"/>
  <c r="AG22" i="63"/>
  <c r="CR22" i="63"/>
  <c r="BT22" i="63"/>
  <c r="BL22" i="63"/>
  <c r="AV22" i="63"/>
  <c r="AN22" i="63"/>
  <c r="BS22" i="63"/>
  <c r="BK22" i="63"/>
  <c r="AU22" i="63"/>
  <c r="AM22" i="63"/>
  <c r="CP22" i="63"/>
  <c r="CH22" i="63"/>
  <c r="BZ22" i="63"/>
  <c r="BR22" i="63"/>
  <c r="BJ22" i="63"/>
  <c r="AT22" i="63"/>
  <c r="AL22" i="63"/>
  <c r="CW22" i="63"/>
  <c r="CO22" i="63"/>
  <c r="BY22" i="63"/>
  <c r="BQ22" i="63"/>
  <c r="AS22" i="63"/>
  <c r="AK22" i="63"/>
  <c r="D22" i="63"/>
  <c r="CV22" i="63"/>
  <c r="CN22" i="63"/>
  <c r="BX22" i="63"/>
  <c r="BP22" i="63"/>
  <c r="BH22" i="63"/>
  <c r="AZ22" i="63"/>
  <c r="AR22" i="63"/>
  <c r="AJ22" i="63"/>
  <c r="CU22" i="63"/>
  <c r="CE22" i="63"/>
  <c r="BW22" i="63"/>
  <c r="BO22" i="63"/>
  <c r="BG22" i="63"/>
  <c r="AY22" i="63"/>
  <c r="AQ22" i="63"/>
  <c r="AI22" i="63"/>
  <c r="B23" i="63"/>
  <c r="A24" i="63"/>
  <c r="CQ24" i="67" l="1"/>
  <c r="CL24" i="67"/>
  <c r="CG24" i="67"/>
  <c r="CM24" i="67"/>
  <c r="CJ24" i="67"/>
  <c r="CK24" i="67"/>
  <c r="CI24" i="70"/>
  <c r="CG24" i="70"/>
  <c r="CQ24" i="70"/>
  <c r="CJ24" i="70"/>
  <c r="CK24" i="70"/>
  <c r="CL24" i="70"/>
  <c r="CM24" i="70"/>
  <c r="CG22" i="72"/>
  <c r="CQ22" i="72"/>
  <c r="CI22" i="72"/>
  <c r="CJ22" i="72"/>
  <c r="CL22" i="72"/>
  <c r="CM22" i="72"/>
  <c r="CI23" i="68"/>
  <c r="CK23" i="68"/>
  <c r="CQ23" i="68"/>
  <c r="CL23" i="68"/>
  <c r="CM23" i="68"/>
  <c r="CG23" i="68"/>
  <c r="CJ23" i="68"/>
  <c r="CM23" i="71"/>
  <c r="CJ23" i="71"/>
  <c r="CK23" i="71"/>
  <c r="CQ23" i="71"/>
  <c r="CL23" i="71"/>
  <c r="CG23" i="71"/>
  <c r="CI23" i="69"/>
  <c r="CG23" i="69"/>
  <c r="CJ23" i="69"/>
  <c r="CQ23" i="69"/>
  <c r="CL23" i="69"/>
  <c r="CM23" i="69"/>
  <c r="CK23" i="73"/>
  <c r="CQ23" i="73"/>
  <c r="CL23" i="73"/>
  <c r="CM23" i="73"/>
  <c r="CG23" i="73"/>
  <c r="CI23" i="73"/>
  <c r="CJ23" i="73"/>
  <c r="CI24" i="66"/>
  <c r="CK24" i="66"/>
  <c r="CL24" i="66"/>
  <c r="CG24" i="66"/>
  <c r="CQ24" i="66"/>
  <c r="CM24" i="66"/>
  <c r="CJ24" i="66"/>
  <c r="CI23" i="65"/>
  <c r="CG23" i="65"/>
  <c r="CJ23" i="65"/>
  <c r="CK23" i="65"/>
  <c r="CL23" i="65"/>
  <c r="CQ23" i="65"/>
  <c r="CM23" i="65"/>
  <c r="CI23" i="64"/>
  <c r="CQ23" i="64"/>
  <c r="CJ23" i="64"/>
  <c r="CK23" i="64"/>
  <c r="CL23" i="64"/>
  <c r="CM23" i="64"/>
  <c r="CG23" i="64"/>
  <c r="CI23" i="63"/>
  <c r="CJ23" i="63"/>
  <c r="CK23" i="63"/>
  <c r="CL23" i="63"/>
  <c r="CM23" i="63"/>
  <c r="CQ23" i="63"/>
  <c r="CX22" i="71"/>
  <c r="P22" i="71" s="1"/>
  <c r="CX22" i="73"/>
  <c r="P22" i="73" s="1"/>
  <c r="CX23" i="70"/>
  <c r="P23" i="70" s="1"/>
  <c r="CX23" i="67"/>
  <c r="P23" i="67" s="1"/>
  <c r="CX22" i="68"/>
  <c r="P22" i="68" s="1"/>
  <c r="Q21" i="65"/>
  <c r="Q21" i="73"/>
  <c r="Q21" i="71"/>
  <c r="Q21" i="68"/>
  <c r="A25" i="73"/>
  <c r="B24" i="73"/>
  <c r="CA22" i="73"/>
  <c r="O22" i="73" s="1"/>
  <c r="CP23" i="73"/>
  <c r="CH23" i="73"/>
  <c r="BZ23" i="73"/>
  <c r="BR23" i="73"/>
  <c r="BJ23" i="73"/>
  <c r="AT23" i="73"/>
  <c r="AL23" i="73"/>
  <c r="CW23" i="73"/>
  <c r="CO23" i="73"/>
  <c r="BY23" i="73"/>
  <c r="BQ23" i="73"/>
  <c r="BI23" i="73"/>
  <c r="AS23" i="73"/>
  <c r="AK23" i="73"/>
  <c r="D23" i="73"/>
  <c r="CV23" i="73"/>
  <c r="CN23" i="73"/>
  <c r="CF23" i="73"/>
  <c r="BX23" i="73"/>
  <c r="BP23" i="73"/>
  <c r="BH23" i="73"/>
  <c r="AZ23" i="73"/>
  <c r="AR23" i="73"/>
  <c r="AJ23" i="73"/>
  <c r="CU23" i="73"/>
  <c r="CE23" i="73"/>
  <c r="BW23" i="73"/>
  <c r="BO23" i="73"/>
  <c r="BG23" i="73"/>
  <c r="AY23" i="73"/>
  <c r="AQ23" i="73"/>
  <c r="AI23" i="73"/>
  <c r="CT23" i="73"/>
  <c r="CD23" i="73"/>
  <c r="BV23" i="73"/>
  <c r="BN23" i="73"/>
  <c r="AX23" i="73"/>
  <c r="AP23" i="73"/>
  <c r="AH23" i="73"/>
  <c r="CS23" i="73"/>
  <c r="BU23" i="73"/>
  <c r="BM23" i="73"/>
  <c r="AW23" i="73"/>
  <c r="AO23" i="73"/>
  <c r="AG23" i="73"/>
  <c r="BL23" i="73"/>
  <c r="AN23" i="73"/>
  <c r="BK23" i="73"/>
  <c r="AM23" i="73"/>
  <c r="BT23" i="73"/>
  <c r="AV23" i="73"/>
  <c r="CR23" i="73"/>
  <c r="BS23" i="73"/>
  <c r="AU23" i="73"/>
  <c r="BB22" i="73"/>
  <c r="BA22" i="73"/>
  <c r="N22" i="73" s="1"/>
  <c r="BB21" i="72"/>
  <c r="BA21" i="72"/>
  <c r="N21" i="72" s="1"/>
  <c r="Y21" i="72" s="1"/>
  <c r="Y39" i="72" s="1"/>
  <c r="B23" i="72"/>
  <c r="A24" i="72"/>
  <c r="CV22" i="72"/>
  <c r="CN22" i="72"/>
  <c r="BP22" i="72"/>
  <c r="BH22" i="72"/>
  <c r="AZ22" i="72"/>
  <c r="AR22" i="72"/>
  <c r="AJ22" i="72"/>
  <c r="CE22" i="72"/>
  <c r="BW22" i="72"/>
  <c r="BO22" i="72"/>
  <c r="BG22" i="72"/>
  <c r="AY22" i="72"/>
  <c r="AQ22" i="72"/>
  <c r="AI22" i="72"/>
  <c r="CT22" i="72"/>
  <c r="CD22" i="72"/>
  <c r="BV22" i="72"/>
  <c r="AX22" i="72"/>
  <c r="AP22" i="72"/>
  <c r="AH22" i="72"/>
  <c r="CS22" i="72"/>
  <c r="BU22" i="72"/>
  <c r="BM22" i="72"/>
  <c r="AW22" i="72"/>
  <c r="AO22" i="72"/>
  <c r="AG22" i="72"/>
  <c r="BT22" i="72"/>
  <c r="AT22" i="72"/>
  <c r="D22" i="72"/>
  <c r="CW22" i="72"/>
  <c r="BR22" i="72"/>
  <c r="AN22" i="72"/>
  <c r="CR22" i="72"/>
  <c r="BQ22" i="72"/>
  <c r="AM22" i="72"/>
  <c r="BL22" i="72"/>
  <c r="AL22" i="72"/>
  <c r="CP22" i="72"/>
  <c r="BK22" i="72"/>
  <c r="AK22" i="72"/>
  <c r="CO22" i="72"/>
  <c r="BZ22" i="72"/>
  <c r="BJ22" i="72"/>
  <c r="AV22" i="72"/>
  <c r="BY22" i="72"/>
  <c r="AU22" i="72"/>
  <c r="CH22" i="72"/>
  <c r="AS22" i="72"/>
  <c r="BS22" i="72"/>
  <c r="CU23" i="71"/>
  <c r="CE23" i="71"/>
  <c r="BW23" i="71"/>
  <c r="BO23" i="71"/>
  <c r="AY23" i="71"/>
  <c r="AQ23" i="71"/>
  <c r="AI23" i="71"/>
  <c r="CT23" i="71"/>
  <c r="BN23" i="71"/>
  <c r="AX23" i="71"/>
  <c r="AP23" i="71"/>
  <c r="AH23" i="71"/>
  <c r="CR23" i="71"/>
  <c r="CH23" i="71"/>
  <c r="BX23" i="71"/>
  <c r="AS23" i="71"/>
  <c r="AG23" i="71"/>
  <c r="BU23" i="71"/>
  <c r="BK23" i="71"/>
  <c r="AR23" i="71"/>
  <c r="CP23" i="71"/>
  <c r="CF23" i="71"/>
  <c r="BT23" i="71"/>
  <c r="BJ23" i="71"/>
  <c r="AO23" i="71"/>
  <c r="CO23" i="71"/>
  <c r="BS23" i="71"/>
  <c r="BI23" i="71"/>
  <c r="AZ23" i="71"/>
  <c r="AN23" i="71"/>
  <c r="BR23" i="71"/>
  <c r="BH23" i="71"/>
  <c r="AW23" i="71"/>
  <c r="AM23" i="71"/>
  <c r="D23" i="71"/>
  <c r="CW23" i="71"/>
  <c r="AV23" i="71"/>
  <c r="AL23" i="71"/>
  <c r="CV23" i="71"/>
  <c r="BZ23" i="71"/>
  <c r="BP23" i="71"/>
  <c r="BY23" i="71"/>
  <c r="BM23" i="71"/>
  <c r="AT23" i="71"/>
  <c r="AJ23" i="71"/>
  <c r="AU23" i="71"/>
  <c r="AK23" i="71"/>
  <c r="A25" i="71"/>
  <c r="B24" i="71"/>
  <c r="BB22" i="71"/>
  <c r="BA22" i="71"/>
  <c r="N22" i="71" s="1"/>
  <c r="Y21" i="71" s="1"/>
  <c r="CA22" i="71"/>
  <c r="O22" i="71" s="1"/>
  <c r="CA23" i="70"/>
  <c r="O23" i="70" s="1"/>
  <c r="BB23" i="70"/>
  <c r="BA23" i="70"/>
  <c r="N23" i="70" s="1"/>
  <c r="Y23" i="70" s="1"/>
  <c r="CR24" i="70"/>
  <c r="BT24" i="70"/>
  <c r="BL24" i="70"/>
  <c r="AV24" i="70"/>
  <c r="AN24" i="70"/>
  <c r="BS24" i="70"/>
  <c r="BK24" i="70"/>
  <c r="AU24" i="70"/>
  <c r="AM24" i="70"/>
  <c r="CT24" i="70"/>
  <c r="CH24" i="70"/>
  <c r="BY24" i="70"/>
  <c r="BO24" i="70"/>
  <c r="AW24" i="70"/>
  <c r="AK24" i="70"/>
  <c r="CS24" i="70"/>
  <c r="BX24" i="70"/>
  <c r="BN24" i="70"/>
  <c r="AT24" i="70"/>
  <c r="AJ24" i="70"/>
  <c r="CP24" i="70"/>
  <c r="CF24" i="70"/>
  <c r="BW24" i="70"/>
  <c r="BM24" i="70"/>
  <c r="AS24" i="70"/>
  <c r="AI24" i="70"/>
  <c r="CO24" i="70"/>
  <c r="CE24" i="70"/>
  <c r="BV24" i="70"/>
  <c r="BJ24" i="70"/>
  <c r="AR24" i="70"/>
  <c r="AH24" i="70"/>
  <c r="CN24" i="70"/>
  <c r="CD24" i="70"/>
  <c r="BU24" i="70"/>
  <c r="BI24" i="70"/>
  <c r="AQ24" i="70"/>
  <c r="AG24" i="70"/>
  <c r="CW24" i="70"/>
  <c r="BR24" i="70"/>
  <c r="BH24" i="70"/>
  <c r="AZ24" i="70"/>
  <c r="AP24" i="70"/>
  <c r="CV24" i="70"/>
  <c r="BQ24" i="70"/>
  <c r="BG24" i="70"/>
  <c r="AY24" i="70"/>
  <c r="AO24" i="70"/>
  <c r="D24" i="70"/>
  <c r="CU24" i="70"/>
  <c r="BZ24" i="70"/>
  <c r="BP24" i="70"/>
  <c r="AX24" i="70"/>
  <c r="AL24" i="70"/>
  <c r="A26" i="70"/>
  <c r="B25" i="70"/>
  <c r="CV23" i="69"/>
  <c r="CN23" i="69"/>
  <c r="BX23" i="69"/>
  <c r="CU23" i="69"/>
  <c r="CE23" i="69"/>
  <c r="CT23" i="69"/>
  <c r="CD23" i="69"/>
  <c r="CS23" i="69"/>
  <c r="CH23" i="69"/>
  <c r="BV23" i="69"/>
  <c r="AX23" i="69"/>
  <c r="AP23" i="69"/>
  <c r="AH23" i="69"/>
  <c r="CR23" i="69"/>
  <c r="BU23" i="69"/>
  <c r="BM23" i="69"/>
  <c r="AW23" i="69"/>
  <c r="AO23" i="69"/>
  <c r="AG23" i="69"/>
  <c r="BT23" i="69"/>
  <c r="BL23" i="69"/>
  <c r="AV23" i="69"/>
  <c r="AN23" i="69"/>
  <c r="BK23" i="69"/>
  <c r="AU23" i="69"/>
  <c r="AM23" i="69"/>
  <c r="CO23" i="69"/>
  <c r="BR23" i="69"/>
  <c r="BJ23" i="69"/>
  <c r="AT23" i="69"/>
  <c r="AL23" i="69"/>
  <c r="BZ23" i="69"/>
  <c r="BQ23" i="69"/>
  <c r="AS23" i="69"/>
  <c r="AK23" i="69"/>
  <c r="D23" i="69"/>
  <c r="BY23" i="69"/>
  <c r="BP23" i="69"/>
  <c r="BH23" i="69"/>
  <c r="AZ23" i="69"/>
  <c r="AR23" i="69"/>
  <c r="AJ23" i="69"/>
  <c r="AY23" i="69"/>
  <c r="BW23" i="69"/>
  <c r="AQ23" i="69"/>
  <c r="BO23" i="69"/>
  <c r="AI23" i="69"/>
  <c r="BG23" i="69"/>
  <c r="CW23" i="69"/>
  <c r="A25" i="69"/>
  <c r="B24" i="69"/>
  <c r="BB22" i="69"/>
  <c r="BA22" i="69"/>
  <c r="N22" i="69" s="1"/>
  <c r="BB22" i="68"/>
  <c r="BA22" i="68"/>
  <c r="N22" i="68" s="1"/>
  <c r="CA22" i="68"/>
  <c r="O22" i="68" s="1"/>
  <c r="CT23" i="68"/>
  <c r="CD23" i="68"/>
  <c r="BV23" i="68"/>
  <c r="BN23" i="68"/>
  <c r="AX23" i="68"/>
  <c r="AP23" i="68"/>
  <c r="AH23" i="68"/>
  <c r="CS23" i="68"/>
  <c r="BU23" i="68"/>
  <c r="BM23" i="68"/>
  <c r="AW23" i="68"/>
  <c r="AO23" i="68"/>
  <c r="AG23" i="68"/>
  <c r="CR23" i="68"/>
  <c r="BT23" i="68"/>
  <c r="BL23" i="68"/>
  <c r="AV23" i="68"/>
  <c r="AN23" i="68"/>
  <c r="BS23" i="68"/>
  <c r="BK23" i="68"/>
  <c r="AU23" i="68"/>
  <c r="AM23" i="68"/>
  <c r="CP23" i="68"/>
  <c r="CH23" i="68"/>
  <c r="BZ23" i="68"/>
  <c r="BR23" i="68"/>
  <c r="BJ23" i="68"/>
  <c r="AT23" i="68"/>
  <c r="AL23" i="68"/>
  <c r="CW23" i="68"/>
  <c r="CO23" i="68"/>
  <c r="BY23" i="68"/>
  <c r="BQ23" i="68"/>
  <c r="BI23" i="68"/>
  <c r="AS23" i="68"/>
  <c r="AK23" i="68"/>
  <c r="D23" i="68"/>
  <c r="CV23" i="68"/>
  <c r="CN23" i="68"/>
  <c r="CF23" i="68"/>
  <c r="BX23" i="68"/>
  <c r="BP23" i="68"/>
  <c r="BH23" i="68"/>
  <c r="AZ23" i="68"/>
  <c r="AR23" i="68"/>
  <c r="AJ23" i="68"/>
  <c r="CU23" i="68"/>
  <c r="CE23" i="68"/>
  <c r="BW23" i="68"/>
  <c r="BO23" i="68"/>
  <c r="BG23" i="68"/>
  <c r="AY23" i="68"/>
  <c r="AQ23" i="68"/>
  <c r="AI23" i="68"/>
  <c r="B24" i="68"/>
  <c r="A25" i="68"/>
  <c r="CV24" i="67"/>
  <c r="CF24" i="67"/>
  <c r="BX24" i="67"/>
  <c r="BP24" i="67"/>
  <c r="BH24" i="67"/>
  <c r="AZ24" i="67"/>
  <c r="AR24" i="67"/>
  <c r="AJ24" i="67"/>
  <c r="CU24" i="67"/>
  <c r="CE24" i="67"/>
  <c r="BW24" i="67"/>
  <c r="BO24" i="67"/>
  <c r="AY24" i="67"/>
  <c r="AQ24" i="67"/>
  <c r="AI24" i="67"/>
  <c r="CT24" i="67"/>
  <c r="BV24" i="67"/>
  <c r="BN24" i="67"/>
  <c r="AX24" i="67"/>
  <c r="AP24" i="67"/>
  <c r="AH24" i="67"/>
  <c r="CS24" i="67"/>
  <c r="BU24" i="67"/>
  <c r="BM24" i="67"/>
  <c r="AW24" i="67"/>
  <c r="AO24" i="67"/>
  <c r="AG24" i="67"/>
  <c r="CR24" i="67"/>
  <c r="BT24" i="67"/>
  <c r="AV24" i="67"/>
  <c r="AN24" i="67"/>
  <c r="BS24" i="67"/>
  <c r="BK24" i="67"/>
  <c r="AU24" i="67"/>
  <c r="AM24" i="67"/>
  <c r="CP24" i="67"/>
  <c r="CH24" i="67"/>
  <c r="BZ24" i="67"/>
  <c r="BR24" i="67"/>
  <c r="BJ24" i="67"/>
  <c r="AT24" i="67"/>
  <c r="AL24" i="67"/>
  <c r="CW24" i="67"/>
  <c r="CO24" i="67"/>
  <c r="BY24" i="67"/>
  <c r="BI24" i="67"/>
  <c r="AS24" i="67"/>
  <c r="AK24" i="67"/>
  <c r="D24" i="67"/>
  <c r="B25" i="67"/>
  <c r="A26" i="67"/>
  <c r="CA23" i="67"/>
  <c r="O23" i="67" s="1"/>
  <c r="BB23" i="67"/>
  <c r="BA23" i="67"/>
  <c r="N23" i="67" s="1"/>
  <c r="Y22" i="67" s="1"/>
  <c r="Q22" i="67"/>
  <c r="CU24" i="66"/>
  <c r="CE24" i="66"/>
  <c r="BW24" i="66"/>
  <c r="BO24" i="66"/>
  <c r="BG24" i="66"/>
  <c r="CT24" i="66"/>
  <c r="CD24" i="66"/>
  <c r="BV24" i="66"/>
  <c r="BN24" i="66"/>
  <c r="AX24" i="66"/>
  <c r="AP24" i="66"/>
  <c r="AH24" i="66"/>
  <c r="CS24" i="66"/>
  <c r="BU24" i="66"/>
  <c r="BM24" i="66"/>
  <c r="AW24" i="66"/>
  <c r="AO24" i="66"/>
  <c r="AG24" i="66"/>
  <c r="CR24" i="66"/>
  <c r="BT24" i="66"/>
  <c r="BL24" i="66"/>
  <c r="AV24" i="66"/>
  <c r="AN24" i="66"/>
  <c r="CP24" i="66"/>
  <c r="BZ24" i="66"/>
  <c r="BR24" i="66"/>
  <c r="BJ24" i="66"/>
  <c r="AT24" i="66"/>
  <c r="AL24" i="66"/>
  <c r="CO24" i="66"/>
  <c r="BY24" i="66"/>
  <c r="AS24" i="66"/>
  <c r="CN24" i="66"/>
  <c r="BX24" i="66"/>
  <c r="AR24" i="66"/>
  <c r="BS24" i="66"/>
  <c r="AQ24" i="66"/>
  <c r="BQ24" i="66"/>
  <c r="AM24" i="66"/>
  <c r="CF24" i="66"/>
  <c r="AK24" i="66"/>
  <c r="AZ24" i="66"/>
  <c r="AJ24" i="66"/>
  <c r="CW24" i="66"/>
  <c r="BI24" i="66"/>
  <c r="AY24" i="66"/>
  <c r="AI24" i="66"/>
  <c r="CV24" i="66"/>
  <c r="BH24" i="66"/>
  <c r="AU24" i="66"/>
  <c r="D24" i="66"/>
  <c r="BB23" i="66"/>
  <c r="BA23" i="66"/>
  <c r="N23" i="66" s="1"/>
  <c r="Y22" i="66" s="1"/>
  <c r="Y40" i="66" s="1"/>
  <c r="B25" i="66"/>
  <c r="A26" i="66"/>
  <c r="BB22" i="65"/>
  <c r="BA22" i="65"/>
  <c r="N22" i="65" s="1"/>
  <c r="B24" i="65"/>
  <c r="A25" i="65"/>
  <c r="CV23" i="65"/>
  <c r="CN23" i="65"/>
  <c r="CF23" i="65"/>
  <c r="BX23" i="65"/>
  <c r="BP23" i="65"/>
  <c r="AZ23" i="65"/>
  <c r="AR23" i="65"/>
  <c r="AJ23" i="65"/>
  <c r="CU23" i="65"/>
  <c r="BW23" i="65"/>
  <c r="BO23" i="65"/>
  <c r="BG23" i="65"/>
  <c r="AY23" i="65"/>
  <c r="AQ23" i="65"/>
  <c r="AI23" i="65"/>
  <c r="CT23" i="65"/>
  <c r="CD23" i="65"/>
  <c r="BV23" i="65"/>
  <c r="BN23" i="65"/>
  <c r="AX23" i="65"/>
  <c r="AP23" i="65"/>
  <c r="AH23" i="65"/>
  <c r="CS23" i="65"/>
  <c r="BU23" i="65"/>
  <c r="AW23" i="65"/>
  <c r="AO23" i="65"/>
  <c r="AG23" i="65"/>
  <c r="CR23" i="65"/>
  <c r="BT23" i="65"/>
  <c r="BL23" i="65"/>
  <c r="AV23" i="65"/>
  <c r="AN23" i="65"/>
  <c r="BS23" i="65"/>
  <c r="BK23" i="65"/>
  <c r="AU23" i="65"/>
  <c r="AM23" i="65"/>
  <c r="CP23" i="65"/>
  <c r="CH23" i="65"/>
  <c r="BZ23" i="65"/>
  <c r="BR23" i="65"/>
  <c r="BJ23" i="65"/>
  <c r="AT23" i="65"/>
  <c r="AL23" i="65"/>
  <c r="CW23" i="65"/>
  <c r="CO23" i="65"/>
  <c r="BY23" i="65"/>
  <c r="BQ23" i="65"/>
  <c r="BI23" i="65"/>
  <c r="AS23" i="65"/>
  <c r="AK23" i="65"/>
  <c r="D23" i="65"/>
  <c r="CU23" i="64"/>
  <c r="CE23" i="64"/>
  <c r="BW23" i="64"/>
  <c r="BO23" i="64"/>
  <c r="BG23" i="64"/>
  <c r="AY23" i="64"/>
  <c r="AQ23" i="64"/>
  <c r="AI23" i="64"/>
  <c r="CT23" i="64"/>
  <c r="CD23" i="64"/>
  <c r="BV23" i="64"/>
  <c r="BN23" i="64"/>
  <c r="AX23" i="64"/>
  <c r="AP23" i="64"/>
  <c r="CS23" i="64"/>
  <c r="BU23" i="64"/>
  <c r="BM23" i="64"/>
  <c r="AW23" i="64"/>
  <c r="AO23" i="64"/>
  <c r="CR23" i="64"/>
  <c r="BT23" i="64"/>
  <c r="BL23" i="64"/>
  <c r="AV23" i="64"/>
  <c r="AN23" i="64"/>
  <c r="BQ23" i="64"/>
  <c r="AR23" i="64"/>
  <c r="CP23" i="64"/>
  <c r="BP23" i="64"/>
  <c r="AM23" i="64"/>
  <c r="D23" i="64"/>
  <c r="CO23" i="64"/>
  <c r="BK23" i="64"/>
  <c r="AL23" i="64"/>
  <c r="CN23" i="64"/>
  <c r="BZ23" i="64"/>
  <c r="BJ23" i="64"/>
  <c r="AK23" i="64"/>
  <c r="BY23" i="64"/>
  <c r="BI23" i="64"/>
  <c r="AZ23" i="64"/>
  <c r="AJ23" i="64"/>
  <c r="CH23" i="64"/>
  <c r="BX23" i="64"/>
  <c r="BH23" i="64"/>
  <c r="AU23" i="64"/>
  <c r="AH23" i="64"/>
  <c r="CW23" i="64"/>
  <c r="BS23" i="64"/>
  <c r="AT23" i="64"/>
  <c r="AG23" i="64"/>
  <c r="CV23" i="64"/>
  <c r="CF23" i="64"/>
  <c r="BR23" i="64"/>
  <c r="AS23" i="64"/>
  <c r="B24" i="64"/>
  <c r="A25" i="64"/>
  <c r="BB22" i="64"/>
  <c r="BA22" i="64"/>
  <c r="N22" i="64" s="1"/>
  <c r="A25" i="63"/>
  <c r="B24" i="63"/>
  <c r="CW23" i="63"/>
  <c r="CO23" i="63"/>
  <c r="BY23" i="63"/>
  <c r="BQ23" i="63"/>
  <c r="BI23" i="63"/>
  <c r="AS23" i="63"/>
  <c r="AK23" i="63"/>
  <c r="D23" i="63"/>
  <c r="CV23" i="63"/>
  <c r="CN23" i="63"/>
  <c r="CF23" i="63"/>
  <c r="BX23" i="63"/>
  <c r="BP23" i="63"/>
  <c r="BH23" i="63"/>
  <c r="AZ23" i="63"/>
  <c r="AR23" i="63"/>
  <c r="AJ23" i="63"/>
  <c r="CU23" i="63"/>
  <c r="CE23" i="63"/>
  <c r="BW23" i="63"/>
  <c r="BO23" i="63"/>
  <c r="BG23" i="63"/>
  <c r="AY23" i="63"/>
  <c r="AQ23" i="63"/>
  <c r="AI23" i="63"/>
  <c r="CT23" i="63"/>
  <c r="CD23" i="63"/>
  <c r="BV23" i="63"/>
  <c r="BN23" i="63"/>
  <c r="AX23" i="63"/>
  <c r="AP23" i="63"/>
  <c r="AH23" i="63"/>
  <c r="CS23" i="63"/>
  <c r="BU23" i="63"/>
  <c r="BM23" i="63"/>
  <c r="AW23" i="63"/>
  <c r="AO23" i="63"/>
  <c r="AG23" i="63"/>
  <c r="CR23" i="63"/>
  <c r="BT23" i="63"/>
  <c r="BL23" i="63"/>
  <c r="AV23" i="63"/>
  <c r="AN23" i="63"/>
  <c r="BS23" i="63"/>
  <c r="BK23" i="63"/>
  <c r="AU23" i="63"/>
  <c r="AM23" i="63"/>
  <c r="CP23" i="63"/>
  <c r="CH23" i="63"/>
  <c r="BZ23" i="63"/>
  <c r="BR23" i="63"/>
  <c r="AT23" i="63"/>
  <c r="AL23" i="63"/>
  <c r="BB22" i="63"/>
  <c r="BA22" i="63"/>
  <c r="N22" i="63" s="1"/>
  <c r="Y22" i="63" s="1"/>
  <c r="CQ24" i="73" l="1"/>
  <c r="CJ24" i="73"/>
  <c r="CK24" i="73"/>
  <c r="CL24" i="73"/>
  <c r="CG24" i="73"/>
  <c r="CI24" i="73"/>
  <c r="CM24" i="73"/>
  <c r="CK25" i="70"/>
  <c r="CL25" i="70"/>
  <c r="CM25" i="70"/>
  <c r="CG25" i="70"/>
  <c r="CQ25" i="70"/>
  <c r="CJ25" i="70"/>
  <c r="CI24" i="68"/>
  <c r="CQ24" i="68"/>
  <c r="CJ24" i="68"/>
  <c r="CK24" i="68"/>
  <c r="CL24" i="68"/>
  <c r="CG24" i="68"/>
  <c r="CM24" i="68"/>
  <c r="CJ23" i="72"/>
  <c r="CK23" i="72"/>
  <c r="CQ23" i="72"/>
  <c r="CM23" i="72"/>
  <c r="CI23" i="72"/>
  <c r="CI24" i="69"/>
  <c r="CJ24" i="69"/>
  <c r="CK24" i="69"/>
  <c r="CM24" i="69"/>
  <c r="CQ24" i="69"/>
  <c r="CI25" i="67"/>
  <c r="CQ25" i="67"/>
  <c r="CG25" i="67"/>
  <c r="CK25" i="67"/>
  <c r="CL25" i="67"/>
  <c r="CM25" i="67"/>
  <c r="CQ24" i="71"/>
  <c r="CK24" i="71"/>
  <c r="CI24" i="71"/>
  <c r="CL24" i="71"/>
  <c r="CM24" i="71"/>
  <c r="CG24" i="71"/>
  <c r="CI25" i="66"/>
  <c r="CG25" i="66"/>
  <c r="CM25" i="66"/>
  <c r="CJ25" i="66"/>
  <c r="CK25" i="66"/>
  <c r="CL25" i="66"/>
  <c r="CQ25" i="66"/>
  <c r="CI24" i="65"/>
  <c r="CQ24" i="65"/>
  <c r="CJ24" i="65"/>
  <c r="CG24" i="65"/>
  <c r="CK24" i="65"/>
  <c r="CL24" i="65"/>
  <c r="CM24" i="65"/>
  <c r="CI24" i="64"/>
  <c r="CL24" i="64"/>
  <c r="CM24" i="64"/>
  <c r="CQ24" i="64"/>
  <c r="CJ24" i="64"/>
  <c r="CK24" i="64"/>
  <c r="CG24" i="64"/>
  <c r="CI24" i="63"/>
  <c r="CJ24" i="63"/>
  <c r="CK24" i="63"/>
  <c r="CL24" i="63"/>
  <c r="CM24" i="63"/>
  <c r="CG24" i="63"/>
  <c r="CQ24" i="63"/>
  <c r="CX23" i="64"/>
  <c r="P23" i="64" s="1"/>
  <c r="CX24" i="70"/>
  <c r="P24" i="70" s="1"/>
  <c r="CX23" i="73"/>
  <c r="P23" i="73" s="1"/>
  <c r="CX23" i="68"/>
  <c r="P23" i="68" s="1"/>
  <c r="Q23" i="70"/>
  <c r="Q22" i="71"/>
  <c r="Q23" i="67"/>
  <c r="Q22" i="73"/>
  <c r="BB23" i="73"/>
  <c r="BA23" i="73"/>
  <c r="N23" i="73" s="1"/>
  <c r="CS24" i="73"/>
  <c r="BU24" i="73"/>
  <c r="BM24" i="73"/>
  <c r="AW24" i="73"/>
  <c r="AO24" i="73"/>
  <c r="AG24" i="73"/>
  <c r="CR24" i="73"/>
  <c r="BT24" i="73"/>
  <c r="BL24" i="73"/>
  <c r="AV24" i="73"/>
  <c r="AN24" i="73"/>
  <c r="BS24" i="73"/>
  <c r="BK24" i="73"/>
  <c r="AU24" i="73"/>
  <c r="AM24" i="73"/>
  <c r="CP24" i="73"/>
  <c r="CH24" i="73"/>
  <c r="BZ24" i="73"/>
  <c r="BR24" i="73"/>
  <c r="BJ24" i="73"/>
  <c r="AT24" i="73"/>
  <c r="AL24" i="73"/>
  <c r="CW24" i="73"/>
  <c r="CO24" i="73"/>
  <c r="BY24" i="73"/>
  <c r="BQ24" i="73"/>
  <c r="BI24" i="73"/>
  <c r="AS24" i="73"/>
  <c r="AK24" i="73"/>
  <c r="D24" i="73"/>
  <c r="CV24" i="73"/>
  <c r="CN24" i="73"/>
  <c r="CF24" i="73"/>
  <c r="BX24" i="73"/>
  <c r="BP24" i="73"/>
  <c r="BH24" i="73"/>
  <c r="AZ24" i="73"/>
  <c r="AR24" i="73"/>
  <c r="AJ24" i="73"/>
  <c r="CU24" i="73"/>
  <c r="CE24" i="73"/>
  <c r="BW24" i="73"/>
  <c r="BO24" i="73"/>
  <c r="BG24" i="73"/>
  <c r="CT24" i="73"/>
  <c r="CD24" i="73"/>
  <c r="BV24" i="73"/>
  <c r="BN24" i="73"/>
  <c r="AX24" i="73"/>
  <c r="AP24" i="73"/>
  <c r="AH24" i="73"/>
  <c r="AY24" i="73"/>
  <c r="AQ24" i="73"/>
  <c r="AI24" i="73"/>
  <c r="CA23" i="73"/>
  <c r="O23" i="73" s="1"/>
  <c r="B25" i="73"/>
  <c r="A26" i="73"/>
  <c r="BB22" i="72"/>
  <c r="BA22" i="72"/>
  <c r="N22" i="72" s="1"/>
  <c r="A25" i="72"/>
  <c r="B24" i="72"/>
  <c r="BS23" i="72"/>
  <c r="BK23" i="72"/>
  <c r="AU23" i="72"/>
  <c r="AM23" i="72"/>
  <c r="CP23" i="72"/>
  <c r="CH23" i="72"/>
  <c r="BZ23" i="72"/>
  <c r="BR23" i="72"/>
  <c r="AT23" i="72"/>
  <c r="AL23" i="72"/>
  <c r="CW23" i="72"/>
  <c r="CO23" i="72"/>
  <c r="BQ23" i="72"/>
  <c r="BI23" i="72"/>
  <c r="AS23" i="72"/>
  <c r="AK23" i="72"/>
  <c r="D23" i="72"/>
  <c r="CN23" i="72"/>
  <c r="CF23" i="72"/>
  <c r="BX23" i="72"/>
  <c r="BP23" i="72"/>
  <c r="BH23" i="72"/>
  <c r="AZ23" i="72"/>
  <c r="AR23" i="72"/>
  <c r="AJ23" i="72"/>
  <c r="CT23" i="72"/>
  <c r="CD23" i="72"/>
  <c r="BV23" i="72"/>
  <c r="BN23" i="72"/>
  <c r="CR23" i="72"/>
  <c r="BW23" i="72"/>
  <c r="AP23" i="72"/>
  <c r="CS23" i="72"/>
  <c r="BT23" i="72"/>
  <c r="AN23" i="72"/>
  <c r="AY23" i="72"/>
  <c r="AI23" i="72"/>
  <c r="BM23" i="72"/>
  <c r="AX23" i="72"/>
  <c r="AH23" i="72"/>
  <c r="CE23" i="72"/>
  <c r="BL23" i="72"/>
  <c r="AW23" i="72"/>
  <c r="AG23" i="72"/>
  <c r="BG23" i="72"/>
  <c r="AV23" i="72"/>
  <c r="AQ23" i="72"/>
  <c r="CU23" i="72"/>
  <c r="AO23" i="72"/>
  <c r="BU23" i="72"/>
  <c r="BB23" i="71"/>
  <c r="BA23" i="71"/>
  <c r="N23" i="71" s="1"/>
  <c r="Y22" i="71" s="1"/>
  <c r="CP24" i="71"/>
  <c r="CH24" i="71"/>
  <c r="BZ24" i="71"/>
  <c r="BJ24" i="71"/>
  <c r="AT24" i="71"/>
  <c r="AL24" i="71"/>
  <c r="CW24" i="71"/>
  <c r="BY24" i="71"/>
  <c r="BQ24" i="71"/>
  <c r="BI24" i="71"/>
  <c r="AS24" i="71"/>
  <c r="AK24" i="71"/>
  <c r="D24" i="71"/>
  <c r="CV24" i="71"/>
  <c r="CN24" i="71"/>
  <c r="CF24" i="71"/>
  <c r="BX24" i="71"/>
  <c r="BP24" i="71"/>
  <c r="AZ24" i="71"/>
  <c r="AR24" i="71"/>
  <c r="AJ24" i="71"/>
  <c r="CD24" i="71"/>
  <c r="BV24" i="71"/>
  <c r="BN24" i="71"/>
  <c r="AX24" i="71"/>
  <c r="AP24" i="71"/>
  <c r="AH24" i="71"/>
  <c r="BG24" i="71"/>
  <c r="AU24" i="71"/>
  <c r="BU24" i="71"/>
  <c r="AQ24" i="71"/>
  <c r="BT24" i="71"/>
  <c r="AO24" i="71"/>
  <c r="BS24" i="71"/>
  <c r="AN24" i="71"/>
  <c r="CU24" i="71"/>
  <c r="BO24" i="71"/>
  <c r="AM24" i="71"/>
  <c r="CS24" i="71"/>
  <c r="AY24" i="71"/>
  <c r="AI24" i="71"/>
  <c r="CR24" i="71"/>
  <c r="BL24" i="71"/>
  <c r="AW24" i="71"/>
  <c r="AG24" i="71"/>
  <c r="BK24" i="71"/>
  <c r="AV24" i="71"/>
  <c r="A26" i="71"/>
  <c r="B25" i="71"/>
  <c r="CU25" i="70"/>
  <c r="CE25" i="70"/>
  <c r="BW25" i="70"/>
  <c r="BO25" i="70"/>
  <c r="AY25" i="70"/>
  <c r="AQ25" i="70"/>
  <c r="AI25" i="70"/>
  <c r="CT25" i="70"/>
  <c r="BN25" i="70"/>
  <c r="AX25" i="70"/>
  <c r="AP25" i="70"/>
  <c r="AH25" i="70"/>
  <c r="CP25" i="70"/>
  <c r="CF25" i="70"/>
  <c r="BT25" i="70"/>
  <c r="BJ25" i="70"/>
  <c r="AO25" i="70"/>
  <c r="CO25" i="70"/>
  <c r="BS25" i="70"/>
  <c r="BI25" i="70"/>
  <c r="AZ25" i="70"/>
  <c r="AN25" i="70"/>
  <c r="BR25" i="70"/>
  <c r="BH25" i="70"/>
  <c r="AW25" i="70"/>
  <c r="AM25" i="70"/>
  <c r="D25" i="70"/>
  <c r="CW25" i="70"/>
  <c r="AV25" i="70"/>
  <c r="AL25" i="70"/>
  <c r="CV25" i="70"/>
  <c r="BZ25" i="70"/>
  <c r="BP25" i="70"/>
  <c r="AU25" i="70"/>
  <c r="AK25" i="70"/>
  <c r="BY25" i="70"/>
  <c r="BM25" i="70"/>
  <c r="AT25" i="70"/>
  <c r="AJ25" i="70"/>
  <c r="CR25" i="70"/>
  <c r="CH25" i="70"/>
  <c r="BX25" i="70"/>
  <c r="AS25" i="70"/>
  <c r="AG25" i="70"/>
  <c r="BU25" i="70"/>
  <c r="BK25" i="70"/>
  <c r="AR25" i="70"/>
  <c r="A27" i="70"/>
  <c r="B26" i="70"/>
  <c r="CA24" i="70"/>
  <c r="O24" i="70" s="1"/>
  <c r="BB24" i="70"/>
  <c r="BA24" i="70"/>
  <c r="N24" i="70" s="1"/>
  <c r="Y24" i="70" s="1"/>
  <c r="BB23" i="69"/>
  <c r="BA23" i="69"/>
  <c r="N23" i="69" s="1"/>
  <c r="BS24" i="69"/>
  <c r="BK24" i="69"/>
  <c r="AU24" i="69"/>
  <c r="AM24" i="69"/>
  <c r="CP24" i="69"/>
  <c r="CH24" i="69"/>
  <c r="BZ24" i="69"/>
  <c r="BR24" i="69"/>
  <c r="AT24" i="69"/>
  <c r="AL24" i="69"/>
  <c r="CW24" i="69"/>
  <c r="CO24" i="69"/>
  <c r="BY24" i="69"/>
  <c r="BQ24" i="69"/>
  <c r="BI24" i="69"/>
  <c r="AS24" i="69"/>
  <c r="AK24" i="69"/>
  <c r="D24" i="69"/>
  <c r="CS24" i="69"/>
  <c r="CE24" i="69"/>
  <c r="AV24" i="69"/>
  <c r="AH24" i="69"/>
  <c r="CR24" i="69"/>
  <c r="CD24" i="69"/>
  <c r="BP24" i="69"/>
  <c r="AR24" i="69"/>
  <c r="AG24" i="69"/>
  <c r="CN24" i="69"/>
  <c r="AQ24" i="69"/>
  <c r="BN24" i="69"/>
  <c r="AP24" i="69"/>
  <c r="BX24" i="69"/>
  <c r="BM24" i="69"/>
  <c r="AZ24" i="69"/>
  <c r="AO24" i="69"/>
  <c r="CV24" i="69"/>
  <c r="BW24" i="69"/>
  <c r="BL24" i="69"/>
  <c r="AY24" i="69"/>
  <c r="AN24" i="69"/>
  <c r="CU24" i="69"/>
  <c r="BV24" i="69"/>
  <c r="BH24" i="69"/>
  <c r="AX24" i="69"/>
  <c r="AJ24" i="69"/>
  <c r="CT24" i="69"/>
  <c r="CF24" i="69"/>
  <c r="AW24" i="69"/>
  <c r="AI24" i="69"/>
  <c r="BU24" i="69"/>
  <c r="BG24" i="69"/>
  <c r="A26" i="69"/>
  <c r="B25" i="69"/>
  <c r="A26" i="68"/>
  <c r="B25" i="68"/>
  <c r="CA23" i="68"/>
  <c r="O23" i="68" s="1"/>
  <c r="CW24" i="68"/>
  <c r="CO24" i="68"/>
  <c r="BY24" i="68"/>
  <c r="BQ24" i="68"/>
  <c r="BI24" i="68"/>
  <c r="AS24" i="68"/>
  <c r="AK24" i="68"/>
  <c r="D24" i="68"/>
  <c r="CV24" i="68"/>
  <c r="CN24" i="68"/>
  <c r="CF24" i="68"/>
  <c r="BX24" i="68"/>
  <c r="BP24" i="68"/>
  <c r="BH24" i="68"/>
  <c r="AZ24" i="68"/>
  <c r="AR24" i="68"/>
  <c r="AJ24" i="68"/>
  <c r="CU24" i="68"/>
  <c r="CE24" i="68"/>
  <c r="BW24" i="68"/>
  <c r="BO24" i="68"/>
  <c r="BG24" i="68"/>
  <c r="AY24" i="68"/>
  <c r="AQ24" i="68"/>
  <c r="AI24" i="68"/>
  <c r="CT24" i="68"/>
  <c r="CD24" i="68"/>
  <c r="BV24" i="68"/>
  <c r="BN24" i="68"/>
  <c r="AX24" i="68"/>
  <c r="AP24" i="68"/>
  <c r="AH24" i="68"/>
  <c r="CS24" i="68"/>
  <c r="BU24" i="68"/>
  <c r="BM24" i="68"/>
  <c r="AW24" i="68"/>
  <c r="AO24" i="68"/>
  <c r="AG24" i="68"/>
  <c r="CR24" i="68"/>
  <c r="BT24" i="68"/>
  <c r="BL24" i="68"/>
  <c r="AV24" i="68"/>
  <c r="AN24" i="68"/>
  <c r="BS24" i="68"/>
  <c r="BK24" i="68"/>
  <c r="AU24" i="68"/>
  <c r="AM24" i="68"/>
  <c r="CP24" i="68"/>
  <c r="CH24" i="68"/>
  <c r="BZ24" i="68"/>
  <c r="BR24" i="68"/>
  <c r="BJ24" i="68"/>
  <c r="AT24" i="68"/>
  <c r="AL24" i="68"/>
  <c r="BB23" i="68"/>
  <c r="BA23" i="68"/>
  <c r="N23" i="68" s="1"/>
  <c r="Q22" i="68"/>
  <c r="A27" i="67"/>
  <c r="B26" i="67"/>
  <c r="BS25" i="67"/>
  <c r="BK25" i="67"/>
  <c r="AU25" i="67"/>
  <c r="AM25" i="67"/>
  <c r="CP25" i="67"/>
  <c r="CH25" i="67"/>
  <c r="BZ25" i="67"/>
  <c r="BJ25" i="67"/>
  <c r="AT25" i="67"/>
  <c r="AL25" i="67"/>
  <c r="CW25" i="67"/>
  <c r="BY25" i="67"/>
  <c r="BQ25" i="67"/>
  <c r="BI25" i="67"/>
  <c r="AS25" i="67"/>
  <c r="AK25" i="67"/>
  <c r="D25" i="67"/>
  <c r="CV25" i="67"/>
  <c r="CN25" i="67"/>
  <c r="CF25" i="67"/>
  <c r="BX25" i="67"/>
  <c r="BP25" i="67"/>
  <c r="AZ25" i="67"/>
  <c r="AR25" i="67"/>
  <c r="AJ25" i="67"/>
  <c r="CU25" i="67"/>
  <c r="BW25" i="67"/>
  <c r="BO25" i="67"/>
  <c r="BG25" i="67"/>
  <c r="AY25" i="67"/>
  <c r="AQ25" i="67"/>
  <c r="AI25" i="67"/>
  <c r="CT25" i="67"/>
  <c r="CD25" i="67"/>
  <c r="BV25" i="67"/>
  <c r="BN25" i="67"/>
  <c r="AX25" i="67"/>
  <c r="AP25" i="67"/>
  <c r="AH25" i="67"/>
  <c r="CS25" i="67"/>
  <c r="BU25" i="67"/>
  <c r="AW25" i="67"/>
  <c r="AO25" i="67"/>
  <c r="AG25" i="67"/>
  <c r="CR25" i="67"/>
  <c r="BT25" i="67"/>
  <c r="BL25" i="67"/>
  <c r="AV25" i="67"/>
  <c r="AN25" i="67"/>
  <c r="BB24" i="67"/>
  <c r="BA24" i="67"/>
  <c r="N24" i="67" s="1"/>
  <c r="Y23" i="67" s="1"/>
  <c r="BB24" i="66"/>
  <c r="BA24" i="66"/>
  <c r="N24" i="66" s="1"/>
  <c r="CP25" i="66"/>
  <c r="CH25" i="66"/>
  <c r="BZ25" i="66"/>
  <c r="BR25" i="66"/>
  <c r="BJ25" i="66"/>
  <c r="AT25" i="66"/>
  <c r="AL25" i="66"/>
  <c r="CW25" i="66"/>
  <c r="CO25" i="66"/>
  <c r="BY25" i="66"/>
  <c r="BQ25" i="66"/>
  <c r="BI25" i="66"/>
  <c r="AS25" i="66"/>
  <c r="AK25" i="66"/>
  <c r="D25" i="66"/>
  <c r="CV25" i="66"/>
  <c r="CN25" i="66"/>
  <c r="CF25" i="66"/>
  <c r="BX25" i="66"/>
  <c r="BP25" i="66"/>
  <c r="BH25" i="66"/>
  <c r="AZ25" i="66"/>
  <c r="AR25" i="66"/>
  <c r="AJ25" i="66"/>
  <c r="CU25" i="66"/>
  <c r="CE25" i="66"/>
  <c r="BW25" i="66"/>
  <c r="BO25" i="66"/>
  <c r="BG25" i="66"/>
  <c r="AY25" i="66"/>
  <c r="AQ25" i="66"/>
  <c r="AI25" i="66"/>
  <c r="CT25" i="66"/>
  <c r="CD25" i="66"/>
  <c r="BV25" i="66"/>
  <c r="BN25" i="66"/>
  <c r="AX25" i="66"/>
  <c r="AP25" i="66"/>
  <c r="AH25" i="66"/>
  <c r="CS25" i="66"/>
  <c r="BU25" i="66"/>
  <c r="BM25" i="66"/>
  <c r="AW25" i="66"/>
  <c r="AO25" i="66"/>
  <c r="AG25" i="66"/>
  <c r="CR25" i="66"/>
  <c r="BT25" i="66"/>
  <c r="BL25" i="66"/>
  <c r="AV25" i="66"/>
  <c r="AN25" i="66"/>
  <c r="AU25" i="66"/>
  <c r="AM25" i="66"/>
  <c r="BS25" i="66"/>
  <c r="BK25" i="66"/>
  <c r="A27" i="66"/>
  <c r="B26" i="66"/>
  <c r="BB23" i="65"/>
  <c r="BA23" i="65"/>
  <c r="N23" i="65" s="1"/>
  <c r="A26" i="65"/>
  <c r="B25" i="65"/>
  <c r="CP24" i="65"/>
  <c r="CH24" i="65"/>
  <c r="BZ24" i="65"/>
  <c r="BR24" i="65"/>
  <c r="BJ24" i="65"/>
  <c r="AT24" i="65"/>
  <c r="AL24" i="65"/>
  <c r="CW24" i="65"/>
  <c r="CO24" i="65"/>
  <c r="BY24" i="65"/>
  <c r="BQ24" i="65"/>
  <c r="CN24" i="65"/>
  <c r="CD24" i="65"/>
  <c r="BT24" i="65"/>
  <c r="BH24" i="65"/>
  <c r="AX24" i="65"/>
  <c r="AO24" i="65"/>
  <c r="BS24" i="65"/>
  <c r="BG24" i="65"/>
  <c r="AW24" i="65"/>
  <c r="AN24" i="65"/>
  <c r="CV24" i="65"/>
  <c r="BP24" i="65"/>
  <c r="AV24" i="65"/>
  <c r="AM24" i="65"/>
  <c r="D24" i="65"/>
  <c r="CU24" i="65"/>
  <c r="BO24" i="65"/>
  <c r="AU24" i="65"/>
  <c r="AK24" i="65"/>
  <c r="CT24" i="65"/>
  <c r="BX24" i="65"/>
  <c r="AS24" i="65"/>
  <c r="AJ24" i="65"/>
  <c r="CS24" i="65"/>
  <c r="BW24" i="65"/>
  <c r="BM24" i="65"/>
  <c r="AR24" i="65"/>
  <c r="AI24" i="65"/>
  <c r="CR24" i="65"/>
  <c r="BV24" i="65"/>
  <c r="BL24" i="65"/>
  <c r="AZ24" i="65"/>
  <c r="AQ24" i="65"/>
  <c r="AH24" i="65"/>
  <c r="CE24" i="65"/>
  <c r="BU24" i="65"/>
  <c r="BK24" i="65"/>
  <c r="AY24" i="65"/>
  <c r="AP24" i="65"/>
  <c r="AG24" i="65"/>
  <c r="BB23" i="64"/>
  <c r="BA23" i="64"/>
  <c r="N23" i="64" s="1"/>
  <c r="CA23" i="64"/>
  <c r="O23" i="64" s="1"/>
  <c r="A26" i="64"/>
  <c r="B25" i="64"/>
  <c r="CP24" i="64"/>
  <c r="CH24" i="64"/>
  <c r="BZ24" i="64"/>
  <c r="BR24" i="64"/>
  <c r="BJ24" i="64"/>
  <c r="AT24" i="64"/>
  <c r="AL24" i="64"/>
  <c r="CW24" i="64"/>
  <c r="CO24" i="64"/>
  <c r="BY24" i="64"/>
  <c r="BQ24" i="64"/>
  <c r="BI24" i="64"/>
  <c r="AS24" i="64"/>
  <c r="AK24" i="64"/>
  <c r="D24" i="64"/>
  <c r="CV24" i="64"/>
  <c r="CN24" i="64"/>
  <c r="CF24" i="64"/>
  <c r="BX24" i="64"/>
  <c r="BP24" i="64"/>
  <c r="BH24" i="64"/>
  <c r="AZ24" i="64"/>
  <c r="AR24" i="64"/>
  <c r="AJ24" i="64"/>
  <c r="CU24" i="64"/>
  <c r="CE24" i="64"/>
  <c r="BW24" i="64"/>
  <c r="BO24" i="64"/>
  <c r="BG24" i="64"/>
  <c r="AY24" i="64"/>
  <c r="AQ24" i="64"/>
  <c r="AI24" i="64"/>
  <c r="CT24" i="64"/>
  <c r="CD24" i="64"/>
  <c r="BN24" i="64"/>
  <c r="AX24" i="64"/>
  <c r="AH24" i="64"/>
  <c r="CS24" i="64"/>
  <c r="BM24" i="64"/>
  <c r="AW24" i="64"/>
  <c r="AG24" i="64"/>
  <c r="CR24" i="64"/>
  <c r="BL24" i="64"/>
  <c r="AV24" i="64"/>
  <c r="BK24" i="64"/>
  <c r="AU24" i="64"/>
  <c r="BV24" i="64"/>
  <c r="AP24" i="64"/>
  <c r="BU24" i="64"/>
  <c r="AO24" i="64"/>
  <c r="BT24" i="64"/>
  <c r="AN24" i="64"/>
  <c r="BS24" i="64"/>
  <c r="AM24" i="64"/>
  <c r="BB23" i="63"/>
  <c r="BA23" i="63"/>
  <c r="N23" i="63" s="1"/>
  <c r="Y23" i="63" s="1"/>
  <c r="CW24" i="63"/>
  <c r="CO24" i="63"/>
  <c r="BY24" i="63"/>
  <c r="CV24" i="63"/>
  <c r="CN24" i="63"/>
  <c r="CF24" i="63"/>
  <c r="BX24" i="63"/>
  <c r="BP24" i="63"/>
  <c r="BH24" i="63"/>
  <c r="AZ24" i="63"/>
  <c r="AR24" i="63"/>
  <c r="CT24" i="63"/>
  <c r="BZ24" i="63"/>
  <c r="BO24" i="63"/>
  <c r="AW24" i="63"/>
  <c r="AN24" i="63"/>
  <c r="CS24" i="63"/>
  <c r="BW24" i="63"/>
  <c r="BN24" i="63"/>
  <c r="AV24" i="63"/>
  <c r="AM24" i="63"/>
  <c r="CR24" i="63"/>
  <c r="BV24" i="63"/>
  <c r="BM24" i="63"/>
  <c r="AU24" i="63"/>
  <c r="AL24" i="63"/>
  <c r="CE24" i="63"/>
  <c r="BU24" i="63"/>
  <c r="BL24" i="63"/>
  <c r="AT24" i="63"/>
  <c r="AK24" i="63"/>
  <c r="D24" i="63"/>
  <c r="CP24" i="63"/>
  <c r="CD24" i="63"/>
  <c r="BT24" i="63"/>
  <c r="AS24" i="63"/>
  <c r="AJ24" i="63"/>
  <c r="BS24" i="63"/>
  <c r="BJ24" i="63"/>
  <c r="AQ24" i="63"/>
  <c r="AI24" i="63"/>
  <c r="BR24" i="63"/>
  <c r="BI24" i="63"/>
  <c r="AY24" i="63"/>
  <c r="AP24" i="63"/>
  <c r="AH24" i="63"/>
  <c r="CU24" i="63"/>
  <c r="BQ24" i="63"/>
  <c r="BG24" i="63"/>
  <c r="AX24" i="63"/>
  <c r="AO24" i="63"/>
  <c r="AG24" i="63"/>
  <c r="A26" i="63"/>
  <c r="B25" i="63"/>
  <c r="CI25" i="69" l="1"/>
  <c r="CQ25" i="69"/>
  <c r="CJ25" i="69"/>
  <c r="CG25" i="69"/>
  <c r="CK25" i="69"/>
  <c r="CL25" i="69"/>
  <c r="CK25" i="73"/>
  <c r="CL25" i="73"/>
  <c r="CM25" i="73"/>
  <c r="CQ25" i="73"/>
  <c r="CG25" i="73"/>
  <c r="CI25" i="73"/>
  <c r="CJ25" i="73"/>
  <c r="CI26" i="67"/>
  <c r="CQ26" i="67"/>
  <c r="CL26" i="67"/>
  <c r="CM26" i="67"/>
  <c r="CG26" i="67"/>
  <c r="CJ26" i="67"/>
  <c r="CI26" i="70"/>
  <c r="CJ26" i="70"/>
  <c r="CG26" i="70"/>
  <c r="CK26" i="70"/>
  <c r="CQ26" i="70"/>
  <c r="CL26" i="70"/>
  <c r="CM26" i="70"/>
  <c r="CG24" i="72"/>
  <c r="CQ24" i="72"/>
  <c r="CJ24" i="72"/>
  <c r="CI24" i="72"/>
  <c r="CK24" i="72"/>
  <c r="CL24" i="72"/>
  <c r="CM25" i="71"/>
  <c r="CQ25" i="71"/>
  <c r="CI25" i="71"/>
  <c r="CJ25" i="71"/>
  <c r="CL25" i="71"/>
  <c r="CG25" i="71"/>
  <c r="CI25" i="68"/>
  <c r="CK25" i="68"/>
  <c r="CL25" i="68"/>
  <c r="CM25" i="68"/>
  <c r="CQ25" i="68"/>
  <c r="CG25" i="68"/>
  <c r="CJ25" i="68"/>
  <c r="CI26" i="66"/>
  <c r="CQ26" i="66"/>
  <c r="CK26" i="66"/>
  <c r="CG26" i="66"/>
  <c r="CL26" i="66"/>
  <c r="CM26" i="66"/>
  <c r="CJ26" i="66"/>
  <c r="CI25" i="65"/>
  <c r="CQ25" i="65"/>
  <c r="CJ25" i="65"/>
  <c r="CK25" i="65"/>
  <c r="CL25" i="65"/>
  <c r="CM25" i="65"/>
  <c r="CI25" i="64"/>
  <c r="CG25" i="64"/>
  <c r="CJ25" i="64"/>
  <c r="CQ25" i="64"/>
  <c r="CK25" i="64"/>
  <c r="CL25" i="64"/>
  <c r="CM25" i="64"/>
  <c r="CI25" i="63"/>
  <c r="CJ25" i="63"/>
  <c r="CK25" i="63"/>
  <c r="CL25" i="63"/>
  <c r="CM25" i="63"/>
  <c r="CQ25" i="63"/>
  <c r="CG25" i="63"/>
  <c r="CX24" i="64"/>
  <c r="P24" i="64" s="1"/>
  <c r="CX24" i="68"/>
  <c r="P24" i="68" s="1"/>
  <c r="CX24" i="73"/>
  <c r="P24" i="73" s="1"/>
  <c r="Q24" i="70"/>
  <c r="Q23" i="68"/>
  <c r="CV25" i="73"/>
  <c r="CN25" i="73"/>
  <c r="CF25" i="73"/>
  <c r="BX25" i="73"/>
  <c r="BP25" i="73"/>
  <c r="BH25" i="73"/>
  <c r="AZ25" i="73"/>
  <c r="AR25" i="73"/>
  <c r="AJ25" i="73"/>
  <c r="CU25" i="73"/>
  <c r="CE25" i="73"/>
  <c r="BW25" i="73"/>
  <c r="BO25" i="73"/>
  <c r="BG25" i="73"/>
  <c r="AY25" i="73"/>
  <c r="AQ25" i="73"/>
  <c r="AI25" i="73"/>
  <c r="CT25" i="73"/>
  <c r="CD25" i="73"/>
  <c r="BV25" i="73"/>
  <c r="BN25" i="73"/>
  <c r="AX25" i="73"/>
  <c r="AP25" i="73"/>
  <c r="AH25" i="73"/>
  <c r="CS25" i="73"/>
  <c r="BU25" i="73"/>
  <c r="BM25" i="73"/>
  <c r="AW25" i="73"/>
  <c r="AO25" i="73"/>
  <c r="AG25" i="73"/>
  <c r="CR25" i="73"/>
  <c r="BT25" i="73"/>
  <c r="BL25" i="73"/>
  <c r="AV25" i="73"/>
  <c r="AN25" i="73"/>
  <c r="BS25" i="73"/>
  <c r="BK25" i="73"/>
  <c r="AU25" i="73"/>
  <c r="AM25" i="73"/>
  <c r="CP25" i="73"/>
  <c r="CH25" i="73"/>
  <c r="BZ25" i="73"/>
  <c r="BR25" i="73"/>
  <c r="BJ25" i="73"/>
  <c r="AT25" i="73"/>
  <c r="AL25" i="73"/>
  <c r="CW25" i="73"/>
  <c r="CO25" i="73"/>
  <c r="BY25" i="73"/>
  <c r="BQ25" i="73"/>
  <c r="BI25" i="73"/>
  <c r="AS25" i="73"/>
  <c r="AK25" i="73"/>
  <c r="D25" i="73"/>
  <c r="CA24" i="73"/>
  <c r="O24" i="73" s="1"/>
  <c r="Q23" i="73"/>
  <c r="B26" i="73"/>
  <c r="A27" i="73"/>
  <c r="BB24" i="73"/>
  <c r="BA24" i="73"/>
  <c r="N24" i="73" s="1"/>
  <c r="CT24" i="72"/>
  <c r="CD24" i="72"/>
  <c r="BV24" i="72"/>
  <c r="BN24" i="72"/>
  <c r="AX24" i="72"/>
  <c r="AP24" i="72"/>
  <c r="AH24" i="72"/>
  <c r="CS24" i="72"/>
  <c r="BU24" i="72"/>
  <c r="BM24" i="72"/>
  <c r="AW24" i="72"/>
  <c r="AO24" i="72"/>
  <c r="AG24" i="72"/>
  <c r="CR24" i="72"/>
  <c r="BT24" i="72"/>
  <c r="BL24" i="72"/>
  <c r="AV24" i="72"/>
  <c r="AN24" i="72"/>
  <c r="BS24" i="72"/>
  <c r="AU24" i="72"/>
  <c r="AM24" i="72"/>
  <c r="CO24" i="72"/>
  <c r="BY24" i="72"/>
  <c r="BQ24" i="72"/>
  <c r="BI24" i="72"/>
  <c r="AS24" i="72"/>
  <c r="AK24" i="72"/>
  <c r="D24" i="72"/>
  <c r="CV24" i="72"/>
  <c r="CN24" i="72"/>
  <c r="CF24" i="72"/>
  <c r="BX24" i="72"/>
  <c r="BH24" i="72"/>
  <c r="AZ24" i="72"/>
  <c r="AR24" i="72"/>
  <c r="AJ24" i="72"/>
  <c r="CU24" i="72"/>
  <c r="CE24" i="72"/>
  <c r="BW24" i="72"/>
  <c r="BO24" i="72"/>
  <c r="BG24" i="72"/>
  <c r="AY24" i="72"/>
  <c r="AQ24" i="72"/>
  <c r="AI24" i="72"/>
  <c r="AT24" i="72"/>
  <c r="BR24" i="72"/>
  <c r="AL24" i="72"/>
  <c r="BJ24" i="72"/>
  <c r="CP24" i="72"/>
  <c r="B25" i="72"/>
  <c r="A26" i="72"/>
  <c r="BB23" i="72"/>
  <c r="BA23" i="72"/>
  <c r="N23" i="72" s="1"/>
  <c r="CS25" i="71"/>
  <c r="BU25" i="71"/>
  <c r="BM25" i="71"/>
  <c r="AW25" i="71"/>
  <c r="AO25" i="71"/>
  <c r="AG25" i="71"/>
  <c r="CR25" i="71"/>
  <c r="BR25" i="71"/>
  <c r="AR25" i="71"/>
  <c r="AI25" i="71"/>
  <c r="CH25" i="71"/>
  <c r="BZ25" i="71"/>
  <c r="BQ25" i="71"/>
  <c r="BH25" i="71"/>
  <c r="AZ25" i="71"/>
  <c r="AQ25" i="71"/>
  <c r="AH25" i="71"/>
  <c r="BY25" i="71"/>
  <c r="BP25" i="71"/>
  <c r="BG25" i="71"/>
  <c r="AY25" i="71"/>
  <c r="AP25" i="71"/>
  <c r="CO25" i="71"/>
  <c r="BO25" i="71"/>
  <c r="AX25" i="71"/>
  <c r="AN25" i="71"/>
  <c r="CW25" i="71"/>
  <c r="CN25" i="71"/>
  <c r="CE25" i="71"/>
  <c r="BW25" i="71"/>
  <c r="AV25" i="71"/>
  <c r="AM25" i="71"/>
  <c r="D25" i="71"/>
  <c r="CV25" i="71"/>
  <c r="BV25" i="71"/>
  <c r="AJ25" i="71"/>
  <c r="BT25" i="71"/>
  <c r="CT25" i="71"/>
  <c r="BL25" i="71"/>
  <c r="AU25" i="71"/>
  <c r="BK25" i="71"/>
  <c r="AT25" i="71"/>
  <c r="CD25" i="71"/>
  <c r="BJ25" i="71"/>
  <c r="AS25" i="71"/>
  <c r="AL25" i="71"/>
  <c r="AK25" i="71"/>
  <c r="B26" i="71"/>
  <c r="A27" i="71"/>
  <c r="BB24" i="71"/>
  <c r="BA24" i="71"/>
  <c r="N24" i="71" s="1"/>
  <c r="BB25" i="70"/>
  <c r="BA25" i="70"/>
  <c r="N25" i="70" s="1"/>
  <c r="CV26" i="70"/>
  <c r="CN26" i="70"/>
  <c r="CF26" i="70"/>
  <c r="BX26" i="70"/>
  <c r="BP26" i="70"/>
  <c r="CU26" i="70"/>
  <c r="BT26" i="70"/>
  <c r="BK26" i="70"/>
  <c r="AT26" i="70"/>
  <c r="AL26" i="70"/>
  <c r="BS26" i="70"/>
  <c r="BJ26" i="70"/>
  <c r="AS26" i="70"/>
  <c r="AK26" i="70"/>
  <c r="D26" i="70"/>
  <c r="CH26" i="70"/>
  <c r="BY26" i="70"/>
  <c r="BO26" i="70"/>
  <c r="CW26" i="70"/>
  <c r="BV26" i="70"/>
  <c r="BG26" i="70"/>
  <c r="AW26" i="70"/>
  <c r="AM26" i="70"/>
  <c r="CS26" i="70"/>
  <c r="BU26" i="70"/>
  <c r="AV26" i="70"/>
  <c r="AJ26" i="70"/>
  <c r="CR26" i="70"/>
  <c r="CD26" i="70"/>
  <c r="AU26" i="70"/>
  <c r="AI26" i="70"/>
  <c r="CP26" i="70"/>
  <c r="BQ26" i="70"/>
  <c r="AR26" i="70"/>
  <c r="AH26" i="70"/>
  <c r="BN26" i="70"/>
  <c r="AQ26" i="70"/>
  <c r="AG26" i="70"/>
  <c r="BM26" i="70"/>
  <c r="AZ26" i="70"/>
  <c r="AP26" i="70"/>
  <c r="BZ26" i="70"/>
  <c r="BL26" i="70"/>
  <c r="AY26" i="70"/>
  <c r="AO26" i="70"/>
  <c r="BI26" i="70"/>
  <c r="AX26" i="70"/>
  <c r="AN26" i="70"/>
  <c r="A28" i="70"/>
  <c r="B27" i="70"/>
  <c r="CT25" i="69"/>
  <c r="CD25" i="69"/>
  <c r="BV25" i="69"/>
  <c r="BN25" i="69"/>
  <c r="AX25" i="69"/>
  <c r="AP25" i="69"/>
  <c r="AH25" i="69"/>
  <c r="CS25" i="69"/>
  <c r="BM25" i="69"/>
  <c r="AW25" i="69"/>
  <c r="AO25" i="69"/>
  <c r="AG25" i="69"/>
  <c r="BT25" i="69"/>
  <c r="BL25" i="69"/>
  <c r="AV25" i="69"/>
  <c r="AN25" i="69"/>
  <c r="BS25" i="69"/>
  <c r="AU25" i="69"/>
  <c r="AM25" i="69"/>
  <c r="CP25" i="69"/>
  <c r="BZ25" i="69"/>
  <c r="CW25" i="69"/>
  <c r="CO25" i="69"/>
  <c r="BY25" i="69"/>
  <c r="BQ25" i="69"/>
  <c r="BI25" i="69"/>
  <c r="AS25" i="69"/>
  <c r="AK25" i="69"/>
  <c r="D25" i="69"/>
  <c r="CV25" i="69"/>
  <c r="CN25" i="69"/>
  <c r="CF25" i="69"/>
  <c r="BX25" i="69"/>
  <c r="BH25" i="69"/>
  <c r="AZ25" i="69"/>
  <c r="AR25" i="69"/>
  <c r="AJ25" i="69"/>
  <c r="BG25" i="69"/>
  <c r="AQ25" i="69"/>
  <c r="CE25" i="69"/>
  <c r="AL25" i="69"/>
  <c r="AI25" i="69"/>
  <c r="BW25" i="69"/>
  <c r="BR25" i="69"/>
  <c r="BO25" i="69"/>
  <c r="AY25" i="69"/>
  <c r="CU25" i="69"/>
  <c r="AT25" i="69"/>
  <c r="BJ25" i="69"/>
  <c r="B26" i="69"/>
  <c r="A27" i="69"/>
  <c r="BB24" i="69"/>
  <c r="BA24" i="69"/>
  <c r="N24" i="69" s="1"/>
  <c r="BB24" i="68"/>
  <c r="BA24" i="68"/>
  <c r="N24" i="68" s="1"/>
  <c r="CA24" i="68"/>
  <c r="O24" i="68" s="1"/>
  <c r="CU25" i="68"/>
  <c r="CE25" i="68"/>
  <c r="BW25" i="68"/>
  <c r="BO25" i="68"/>
  <c r="BG25" i="68"/>
  <c r="AY25" i="68"/>
  <c r="AQ25" i="68"/>
  <c r="AI25" i="68"/>
  <c r="CR25" i="68"/>
  <c r="BZ25" i="68"/>
  <c r="BQ25" i="68"/>
  <c r="BH25" i="68"/>
  <c r="AX25" i="68"/>
  <c r="AO25" i="68"/>
  <c r="CH25" i="68"/>
  <c r="BY25" i="68"/>
  <c r="BP25" i="68"/>
  <c r="AW25" i="68"/>
  <c r="AN25" i="68"/>
  <c r="CP25" i="68"/>
  <c r="BX25" i="68"/>
  <c r="BN25" i="68"/>
  <c r="AV25" i="68"/>
  <c r="AM25" i="68"/>
  <c r="CO25" i="68"/>
  <c r="CF25" i="68"/>
  <c r="BV25" i="68"/>
  <c r="BM25" i="68"/>
  <c r="AU25" i="68"/>
  <c r="AL25" i="68"/>
  <c r="D25" i="68"/>
  <c r="CW25" i="68"/>
  <c r="CN25" i="68"/>
  <c r="CD25" i="68"/>
  <c r="BU25" i="68"/>
  <c r="BL25" i="68"/>
  <c r="AT25" i="68"/>
  <c r="AK25" i="68"/>
  <c r="CV25" i="68"/>
  <c r="BT25" i="68"/>
  <c r="BK25" i="68"/>
  <c r="AS25" i="68"/>
  <c r="AJ25" i="68"/>
  <c r="CT25" i="68"/>
  <c r="BS25" i="68"/>
  <c r="BJ25" i="68"/>
  <c r="AR25" i="68"/>
  <c r="AH25" i="68"/>
  <c r="CS25" i="68"/>
  <c r="BR25" i="68"/>
  <c r="BI25" i="68"/>
  <c r="AZ25" i="68"/>
  <c r="AP25" i="68"/>
  <c r="AG25" i="68"/>
  <c r="A27" i="68"/>
  <c r="B26" i="68"/>
  <c r="BB25" i="67"/>
  <c r="BA25" i="67"/>
  <c r="N25" i="67" s="1"/>
  <c r="CT26" i="67"/>
  <c r="CD26" i="67"/>
  <c r="BV26" i="67"/>
  <c r="AX26" i="67"/>
  <c r="AP26" i="67"/>
  <c r="AH26" i="67"/>
  <c r="CS26" i="67"/>
  <c r="BU26" i="67"/>
  <c r="BM26" i="67"/>
  <c r="AW26" i="67"/>
  <c r="AO26" i="67"/>
  <c r="AG26" i="67"/>
  <c r="CR26" i="67"/>
  <c r="BT26" i="67"/>
  <c r="BL26" i="67"/>
  <c r="AV26" i="67"/>
  <c r="AN26" i="67"/>
  <c r="BK26" i="67"/>
  <c r="AU26" i="67"/>
  <c r="AM26" i="67"/>
  <c r="CH26" i="67"/>
  <c r="BZ26" i="67"/>
  <c r="BR26" i="67"/>
  <c r="BJ26" i="67"/>
  <c r="AT26" i="67"/>
  <c r="AL26" i="67"/>
  <c r="CW26" i="67"/>
  <c r="CO26" i="67"/>
  <c r="BY26" i="67"/>
  <c r="BQ26" i="67"/>
  <c r="AS26" i="67"/>
  <c r="AK26" i="67"/>
  <c r="D26" i="67"/>
  <c r="CV26" i="67"/>
  <c r="CN26" i="67"/>
  <c r="BX26" i="67"/>
  <c r="BP26" i="67"/>
  <c r="BH26" i="67"/>
  <c r="AZ26" i="67"/>
  <c r="AR26" i="67"/>
  <c r="AJ26" i="67"/>
  <c r="CU26" i="67"/>
  <c r="CE26" i="67"/>
  <c r="BW26" i="67"/>
  <c r="BO26" i="67"/>
  <c r="BG26" i="67"/>
  <c r="AY26" i="67"/>
  <c r="AQ26" i="67"/>
  <c r="AI26" i="67"/>
  <c r="B27" i="67"/>
  <c r="A28" i="67"/>
  <c r="CS26" i="66"/>
  <c r="BU26" i="66"/>
  <c r="BM26" i="66"/>
  <c r="AW26" i="66"/>
  <c r="AO26" i="66"/>
  <c r="AG26" i="66"/>
  <c r="CR26" i="66"/>
  <c r="BT26" i="66"/>
  <c r="BL26" i="66"/>
  <c r="AV26" i="66"/>
  <c r="AN26" i="66"/>
  <c r="BS26" i="66"/>
  <c r="BK26" i="66"/>
  <c r="AU26" i="66"/>
  <c r="AM26" i="66"/>
  <c r="CP26" i="66"/>
  <c r="CH26" i="66"/>
  <c r="BZ26" i="66"/>
  <c r="BR26" i="66"/>
  <c r="BJ26" i="66"/>
  <c r="AT26" i="66"/>
  <c r="AL26" i="66"/>
  <c r="CW26" i="66"/>
  <c r="CO26" i="66"/>
  <c r="BY26" i="66"/>
  <c r="BQ26" i="66"/>
  <c r="BI26" i="66"/>
  <c r="AS26" i="66"/>
  <c r="AK26" i="66"/>
  <c r="D26" i="66"/>
  <c r="CV26" i="66"/>
  <c r="CN26" i="66"/>
  <c r="CF26" i="66"/>
  <c r="BX26" i="66"/>
  <c r="BP26" i="66"/>
  <c r="BH26" i="66"/>
  <c r="AZ26" i="66"/>
  <c r="AR26" i="66"/>
  <c r="AJ26" i="66"/>
  <c r="CU26" i="66"/>
  <c r="CE26" i="66"/>
  <c r="BW26" i="66"/>
  <c r="BO26" i="66"/>
  <c r="BG26" i="66"/>
  <c r="AY26" i="66"/>
  <c r="AQ26" i="66"/>
  <c r="AI26" i="66"/>
  <c r="CT26" i="66"/>
  <c r="CD26" i="66"/>
  <c r="BV26" i="66"/>
  <c r="BN26" i="66"/>
  <c r="AX26" i="66"/>
  <c r="AP26" i="66"/>
  <c r="AH26" i="66"/>
  <c r="BB25" i="66"/>
  <c r="BA25" i="66"/>
  <c r="N25" i="66" s="1"/>
  <c r="B27" i="66"/>
  <c r="A28" i="66"/>
  <c r="CA25" i="66"/>
  <c r="O25" i="66" s="1"/>
  <c r="BB24" i="65"/>
  <c r="BA24" i="65"/>
  <c r="N24" i="65" s="1"/>
  <c r="Y24" i="65" s="1"/>
  <c r="Y39" i="65" s="1"/>
  <c r="CS25" i="65"/>
  <c r="BU25" i="65"/>
  <c r="BM25" i="65"/>
  <c r="AW25" i="65"/>
  <c r="AO25" i="65"/>
  <c r="AG25" i="65"/>
  <c r="CR25" i="65"/>
  <c r="BT25" i="65"/>
  <c r="BL25" i="65"/>
  <c r="AV25" i="65"/>
  <c r="AN25" i="65"/>
  <c r="BY25" i="65"/>
  <c r="AU25" i="65"/>
  <c r="AK25" i="65"/>
  <c r="CP25" i="65"/>
  <c r="CF25" i="65"/>
  <c r="BX25" i="65"/>
  <c r="BN25" i="65"/>
  <c r="AT25" i="65"/>
  <c r="AJ25" i="65"/>
  <c r="CO25" i="65"/>
  <c r="CE25" i="65"/>
  <c r="BW25" i="65"/>
  <c r="BK25" i="65"/>
  <c r="AS25" i="65"/>
  <c r="AI25" i="65"/>
  <c r="CN25" i="65"/>
  <c r="CD25" i="65"/>
  <c r="BV25" i="65"/>
  <c r="AR25" i="65"/>
  <c r="AH25" i="65"/>
  <c r="CW25" i="65"/>
  <c r="BS25" i="65"/>
  <c r="BI25" i="65"/>
  <c r="AQ25" i="65"/>
  <c r="CV25" i="65"/>
  <c r="BR25" i="65"/>
  <c r="BH25" i="65"/>
  <c r="AZ25" i="65"/>
  <c r="AP25" i="65"/>
  <c r="D25" i="65"/>
  <c r="CU25" i="65"/>
  <c r="BQ25" i="65"/>
  <c r="BG25" i="65"/>
  <c r="AY25" i="65"/>
  <c r="AM25" i="65"/>
  <c r="CT25" i="65"/>
  <c r="CH25" i="65"/>
  <c r="BZ25" i="65"/>
  <c r="BP25" i="65"/>
  <c r="AX25" i="65"/>
  <c r="AL25" i="65"/>
  <c r="B26" i="65"/>
  <c r="A27" i="65"/>
  <c r="CS25" i="64"/>
  <c r="BU25" i="64"/>
  <c r="BM25" i="64"/>
  <c r="AW25" i="64"/>
  <c r="AO25" i="64"/>
  <c r="AG25" i="64"/>
  <c r="CR25" i="64"/>
  <c r="BT25" i="64"/>
  <c r="BL25" i="64"/>
  <c r="AV25" i="64"/>
  <c r="AN25" i="64"/>
  <c r="BS25" i="64"/>
  <c r="BK25" i="64"/>
  <c r="AU25" i="64"/>
  <c r="AM25" i="64"/>
  <c r="CP25" i="64"/>
  <c r="CH25" i="64"/>
  <c r="BZ25" i="64"/>
  <c r="BR25" i="64"/>
  <c r="BJ25" i="64"/>
  <c r="AT25" i="64"/>
  <c r="AL25" i="64"/>
  <c r="CW25" i="64"/>
  <c r="CO25" i="64"/>
  <c r="BY25" i="64"/>
  <c r="BQ25" i="64"/>
  <c r="BI25" i="64"/>
  <c r="AS25" i="64"/>
  <c r="AK25" i="64"/>
  <c r="BW25" i="64"/>
  <c r="AP25" i="64"/>
  <c r="BV25" i="64"/>
  <c r="AJ25" i="64"/>
  <c r="CF25" i="64"/>
  <c r="BP25" i="64"/>
  <c r="AI25" i="64"/>
  <c r="CE25" i="64"/>
  <c r="BO25" i="64"/>
  <c r="AZ25" i="64"/>
  <c r="AH25" i="64"/>
  <c r="D25" i="64"/>
  <c r="CV25" i="64"/>
  <c r="CD25" i="64"/>
  <c r="BN25" i="64"/>
  <c r="AY25" i="64"/>
  <c r="CU25" i="64"/>
  <c r="BH25" i="64"/>
  <c r="AX25" i="64"/>
  <c r="CT25" i="64"/>
  <c r="BG25" i="64"/>
  <c r="AR25" i="64"/>
  <c r="CN25" i="64"/>
  <c r="BX25" i="64"/>
  <c r="AQ25" i="64"/>
  <c r="B26" i="64"/>
  <c r="A27" i="64"/>
  <c r="Q23" i="64"/>
  <c r="BB24" i="64"/>
  <c r="BA24" i="64"/>
  <c r="N24" i="64" s="1"/>
  <c r="CA24" i="64"/>
  <c r="O24" i="64" s="1"/>
  <c r="CR25" i="63"/>
  <c r="BT25" i="63"/>
  <c r="BL25" i="63"/>
  <c r="AV25" i="63"/>
  <c r="AN25" i="63"/>
  <c r="BS25" i="63"/>
  <c r="BK25" i="63"/>
  <c r="AU25" i="63"/>
  <c r="AM25" i="63"/>
  <c r="CN25" i="63"/>
  <c r="CD25" i="63"/>
  <c r="BU25" i="63"/>
  <c r="BI25" i="63"/>
  <c r="AQ25" i="63"/>
  <c r="AG25" i="63"/>
  <c r="CW25" i="63"/>
  <c r="BR25" i="63"/>
  <c r="BH25" i="63"/>
  <c r="AZ25" i="63"/>
  <c r="AP25" i="63"/>
  <c r="CV25" i="63"/>
  <c r="BQ25" i="63"/>
  <c r="BG25" i="63"/>
  <c r="AY25" i="63"/>
  <c r="AO25" i="63"/>
  <c r="D25" i="63"/>
  <c r="CU25" i="63"/>
  <c r="BZ25" i="63"/>
  <c r="BP25" i="63"/>
  <c r="AX25" i="63"/>
  <c r="AL25" i="63"/>
  <c r="CT25" i="63"/>
  <c r="CH25" i="63"/>
  <c r="BY25" i="63"/>
  <c r="BO25" i="63"/>
  <c r="AW25" i="63"/>
  <c r="AK25" i="63"/>
  <c r="CS25" i="63"/>
  <c r="BX25" i="63"/>
  <c r="BN25" i="63"/>
  <c r="AT25" i="63"/>
  <c r="AJ25" i="63"/>
  <c r="CP25" i="63"/>
  <c r="CF25" i="63"/>
  <c r="BW25" i="63"/>
  <c r="BM25" i="63"/>
  <c r="AS25" i="63"/>
  <c r="AI25" i="63"/>
  <c r="CO25" i="63"/>
  <c r="CE25" i="63"/>
  <c r="BV25" i="63"/>
  <c r="BJ25" i="63"/>
  <c r="AR25" i="63"/>
  <c r="AH25" i="63"/>
  <c r="A27" i="63"/>
  <c r="B26" i="63"/>
  <c r="BB24" i="63"/>
  <c r="BA24" i="63"/>
  <c r="N24" i="63" s="1"/>
  <c r="Y24" i="63" s="1"/>
  <c r="CI26" i="69" l="1"/>
  <c r="CJ26" i="69"/>
  <c r="CQ26" i="69"/>
  <c r="CK26" i="69"/>
  <c r="CL26" i="69"/>
  <c r="CM26" i="69"/>
  <c r="CG26" i="69"/>
  <c r="CJ26" i="71"/>
  <c r="CQ26" i="71"/>
  <c r="CK26" i="71"/>
  <c r="CL26" i="71"/>
  <c r="CM26" i="71"/>
  <c r="CI26" i="71"/>
  <c r="CG26" i="71"/>
  <c r="CI26" i="68"/>
  <c r="CJ26" i="68"/>
  <c r="CQ26" i="68"/>
  <c r="CK26" i="68"/>
  <c r="CL26" i="68"/>
  <c r="CM26" i="68"/>
  <c r="CG26" i="68"/>
  <c r="CI27" i="70"/>
  <c r="CK27" i="70"/>
  <c r="CL27" i="70"/>
  <c r="CM27" i="70"/>
  <c r="CG27" i="70"/>
  <c r="CQ27" i="70"/>
  <c r="CJ27" i="70"/>
  <c r="CI26" i="73"/>
  <c r="CJ26" i="73"/>
  <c r="CQ26" i="73"/>
  <c r="CK26" i="73"/>
  <c r="CL26" i="73"/>
  <c r="CM26" i="73"/>
  <c r="CG26" i="73"/>
  <c r="CJ25" i="72"/>
  <c r="CK25" i="72"/>
  <c r="CL25" i="72"/>
  <c r="CM25" i="72"/>
  <c r="CG25" i="72"/>
  <c r="CQ25" i="72"/>
  <c r="CI25" i="72"/>
  <c r="CI27" i="67"/>
  <c r="CJ27" i="67"/>
  <c r="CK27" i="67"/>
  <c r="CQ27" i="67"/>
  <c r="CM27" i="67"/>
  <c r="CI27" i="66"/>
  <c r="CQ27" i="66"/>
  <c r="CG27" i="66"/>
  <c r="CJ27" i="66"/>
  <c r="CK27" i="66"/>
  <c r="CL27" i="66"/>
  <c r="CM27" i="66"/>
  <c r="CI26" i="65"/>
  <c r="CJ26" i="65"/>
  <c r="CG26" i="65"/>
  <c r="CK26" i="65"/>
  <c r="CQ26" i="65"/>
  <c r="CL26" i="65"/>
  <c r="CM26" i="65"/>
  <c r="CI26" i="64"/>
  <c r="CL26" i="64"/>
  <c r="CM26" i="64"/>
  <c r="CG26" i="64"/>
  <c r="CQ26" i="64"/>
  <c r="CJ26" i="64"/>
  <c r="CK26" i="64"/>
  <c r="CI26" i="63"/>
  <c r="CJ26" i="63"/>
  <c r="CK26" i="63"/>
  <c r="CL26" i="63"/>
  <c r="CM26" i="63"/>
  <c r="CQ26" i="63"/>
  <c r="CG26" i="63"/>
  <c r="CX25" i="73"/>
  <c r="P25" i="73" s="1"/>
  <c r="CX25" i="68"/>
  <c r="P25" i="68" s="1"/>
  <c r="CX25" i="64"/>
  <c r="P25" i="64" s="1"/>
  <c r="Q24" i="64"/>
  <c r="CA25" i="64"/>
  <c r="O25" i="64" s="1"/>
  <c r="A28" i="73"/>
  <c r="B27" i="73"/>
  <c r="CA25" i="73"/>
  <c r="O25" i="73" s="1"/>
  <c r="BS26" i="73"/>
  <c r="BK26" i="73"/>
  <c r="AU26" i="73"/>
  <c r="AM26" i="73"/>
  <c r="CP26" i="73"/>
  <c r="CH26" i="73"/>
  <c r="BZ26" i="73"/>
  <c r="BR26" i="73"/>
  <c r="BJ26" i="73"/>
  <c r="AT26" i="73"/>
  <c r="AL26" i="73"/>
  <c r="CW26" i="73"/>
  <c r="CO26" i="73"/>
  <c r="BY26" i="73"/>
  <c r="BQ26" i="73"/>
  <c r="BI26" i="73"/>
  <c r="AS26" i="73"/>
  <c r="AK26" i="73"/>
  <c r="D26" i="73"/>
  <c r="CV26" i="73"/>
  <c r="CN26" i="73"/>
  <c r="CF26" i="73"/>
  <c r="BX26" i="73"/>
  <c r="BP26" i="73"/>
  <c r="BH26" i="73"/>
  <c r="AZ26" i="73"/>
  <c r="AR26" i="73"/>
  <c r="AJ26" i="73"/>
  <c r="CU26" i="73"/>
  <c r="CE26" i="73"/>
  <c r="BW26" i="73"/>
  <c r="BO26" i="73"/>
  <c r="BG26" i="73"/>
  <c r="AY26" i="73"/>
  <c r="AQ26" i="73"/>
  <c r="AI26" i="73"/>
  <c r="CT26" i="73"/>
  <c r="CD26" i="73"/>
  <c r="BV26" i="73"/>
  <c r="BN26" i="73"/>
  <c r="AX26" i="73"/>
  <c r="AP26" i="73"/>
  <c r="AH26" i="73"/>
  <c r="CS26" i="73"/>
  <c r="BU26" i="73"/>
  <c r="BM26" i="73"/>
  <c r="AW26" i="73"/>
  <c r="AO26" i="73"/>
  <c r="AG26" i="73"/>
  <c r="CR26" i="73"/>
  <c r="BT26" i="73"/>
  <c r="BL26" i="73"/>
  <c r="AV26" i="73"/>
  <c r="AN26" i="73"/>
  <c r="Q24" i="73"/>
  <c r="BB25" i="73"/>
  <c r="BA25" i="73"/>
  <c r="N25" i="73" s="1"/>
  <c r="BB24" i="72"/>
  <c r="BA24" i="72"/>
  <c r="N24" i="72" s="1"/>
  <c r="A27" i="72"/>
  <c r="B26" i="72"/>
  <c r="CW25" i="72"/>
  <c r="CO25" i="72"/>
  <c r="BY25" i="72"/>
  <c r="BQ25" i="72"/>
  <c r="BI25" i="72"/>
  <c r="AS25" i="72"/>
  <c r="AK25" i="72"/>
  <c r="D25" i="72"/>
  <c r="CV25" i="72"/>
  <c r="CN25" i="72"/>
  <c r="CF25" i="72"/>
  <c r="BX25" i="72"/>
  <c r="BP25" i="72"/>
  <c r="BH25" i="72"/>
  <c r="AZ25" i="72"/>
  <c r="AR25" i="72"/>
  <c r="AJ25" i="72"/>
  <c r="CU25" i="72"/>
  <c r="CE25" i="72"/>
  <c r="BW25" i="72"/>
  <c r="BO25" i="72"/>
  <c r="BG25" i="72"/>
  <c r="AY25" i="72"/>
  <c r="AQ25" i="72"/>
  <c r="AI25" i="72"/>
  <c r="CT25" i="72"/>
  <c r="CD25" i="72"/>
  <c r="BV25" i="72"/>
  <c r="BN25" i="72"/>
  <c r="AX25" i="72"/>
  <c r="AP25" i="72"/>
  <c r="AH25" i="72"/>
  <c r="CR25" i="72"/>
  <c r="BT25" i="72"/>
  <c r="BL25" i="72"/>
  <c r="AV25" i="72"/>
  <c r="AN25" i="72"/>
  <c r="BS25" i="72"/>
  <c r="BK25" i="72"/>
  <c r="AU25" i="72"/>
  <c r="AM25" i="72"/>
  <c r="CP25" i="72"/>
  <c r="CH25" i="72"/>
  <c r="BZ25" i="72"/>
  <c r="BR25" i="72"/>
  <c r="BJ25" i="72"/>
  <c r="AT25" i="72"/>
  <c r="AL25" i="72"/>
  <c r="BM25" i="72"/>
  <c r="CS25" i="72"/>
  <c r="AW25" i="72"/>
  <c r="AO25" i="72"/>
  <c r="BU25" i="72"/>
  <c r="AG25" i="72"/>
  <c r="BB25" i="71"/>
  <c r="BA25" i="71"/>
  <c r="N25" i="71" s="1"/>
  <c r="A28" i="71"/>
  <c r="B27" i="71"/>
  <c r="CP26" i="71"/>
  <c r="CW26" i="71"/>
  <c r="CO26" i="71"/>
  <c r="BY26" i="71"/>
  <c r="BQ26" i="71"/>
  <c r="CV26" i="71"/>
  <c r="CN26" i="71"/>
  <c r="CF26" i="71"/>
  <c r="BX26" i="71"/>
  <c r="BP26" i="71"/>
  <c r="BH26" i="71"/>
  <c r="AZ26" i="71"/>
  <c r="AR26" i="71"/>
  <c r="AJ26" i="71"/>
  <c r="CT26" i="71"/>
  <c r="BW26" i="71"/>
  <c r="BM26" i="71"/>
  <c r="AU26" i="71"/>
  <c r="AL26" i="71"/>
  <c r="D26" i="71"/>
  <c r="CS26" i="71"/>
  <c r="CH26" i="71"/>
  <c r="BV26" i="71"/>
  <c r="BL26" i="71"/>
  <c r="AT26" i="71"/>
  <c r="AK26" i="71"/>
  <c r="CR26" i="71"/>
  <c r="CE26" i="71"/>
  <c r="BU26" i="71"/>
  <c r="BK26" i="71"/>
  <c r="AS26" i="71"/>
  <c r="AI26" i="71"/>
  <c r="CD26" i="71"/>
  <c r="BT26" i="71"/>
  <c r="BJ26" i="71"/>
  <c r="AQ26" i="71"/>
  <c r="AH26" i="71"/>
  <c r="BS26" i="71"/>
  <c r="BI26" i="71"/>
  <c r="AY26" i="71"/>
  <c r="AP26" i="71"/>
  <c r="AG26" i="71"/>
  <c r="BR26" i="71"/>
  <c r="BG26" i="71"/>
  <c r="AX26" i="71"/>
  <c r="AO26" i="71"/>
  <c r="AW26" i="71"/>
  <c r="BZ26" i="71"/>
  <c r="AV26" i="71"/>
  <c r="BO26" i="71"/>
  <c r="AN26" i="71"/>
  <c r="CU26" i="71"/>
  <c r="BN26" i="71"/>
  <c r="AM26" i="71"/>
  <c r="BK27" i="70"/>
  <c r="AU27" i="70"/>
  <c r="AM27" i="70"/>
  <c r="CV27" i="70"/>
  <c r="CN27" i="70"/>
  <c r="BP27" i="70"/>
  <c r="BH27" i="70"/>
  <c r="AZ27" i="70"/>
  <c r="AR27" i="70"/>
  <c r="AJ27" i="70"/>
  <c r="CE27" i="70"/>
  <c r="BU27" i="70"/>
  <c r="BJ27" i="70"/>
  <c r="AP27" i="70"/>
  <c r="CO27" i="70"/>
  <c r="CD27" i="70"/>
  <c r="BT27" i="70"/>
  <c r="AY27" i="70"/>
  <c r="AO27" i="70"/>
  <c r="BR27" i="70"/>
  <c r="BG27" i="70"/>
  <c r="AX27" i="70"/>
  <c r="AN27" i="70"/>
  <c r="D27" i="70"/>
  <c r="CW27" i="70"/>
  <c r="BQ27" i="70"/>
  <c r="AW27" i="70"/>
  <c r="AL27" i="70"/>
  <c r="BZ27" i="70"/>
  <c r="BO27" i="70"/>
  <c r="AV27" i="70"/>
  <c r="AK27" i="70"/>
  <c r="CT27" i="70"/>
  <c r="BY27" i="70"/>
  <c r="CR27" i="70"/>
  <c r="BM27" i="70"/>
  <c r="AS27" i="70"/>
  <c r="CH27" i="70"/>
  <c r="BL27" i="70"/>
  <c r="AQ27" i="70"/>
  <c r="AI27" i="70"/>
  <c r="AH27" i="70"/>
  <c r="AG27" i="70"/>
  <c r="BW27" i="70"/>
  <c r="BV27" i="70"/>
  <c r="CS27" i="70"/>
  <c r="BN27" i="70"/>
  <c r="AT27" i="70"/>
  <c r="BB26" i="70"/>
  <c r="BA26" i="70"/>
  <c r="N26" i="70" s="1"/>
  <c r="B28" i="70"/>
  <c r="A29" i="70"/>
  <c r="BB25" i="69"/>
  <c r="BA25" i="69"/>
  <c r="N25" i="69" s="1"/>
  <c r="B27" i="69"/>
  <c r="A28" i="69"/>
  <c r="CW26" i="69"/>
  <c r="CO26" i="69"/>
  <c r="BY26" i="69"/>
  <c r="BQ26" i="69"/>
  <c r="BI26" i="69"/>
  <c r="AS26" i="69"/>
  <c r="AK26" i="69"/>
  <c r="D26" i="69"/>
  <c r="CV26" i="69"/>
  <c r="CN26" i="69"/>
  <c r="CF26" i="69"/>
  <c r="BX26" i="69"/>
  <c r="BP26" i="69"/>
  <c r="BH26" i="69"/>
  <c r="AZ26" i="69"/>
  <c r="AR26" i="69"/>
  <c r="AJ26" i="69"/>
  <c r="CU26" i="69"/>
  <c r="CE26" i="69"/>
  <c r="BW26" i="69"/>
  <c r="BO26" i="69"/>
  <c r="BG26" i="69"/>
  <c r="AY26" i="69"/>
  <c r="AQ26" i="69"/>
  <c r="AI26" i="69"/>
  <c r="CT26" i="69"/>
  <c r="CD26" i="69"/>
  <c r="BV26" i="69"/>
  <c r="BN26" i="69"/>
  <c r="AX26" i="69"/>
  <c r="AP26" i="69"/>
  <c r="AH26" i="69"/>
  <c r="CS26" i="69"/>
  <c r="BU26" i="69"/>
  <c r="BM26" i="69"/>
  <c r="AW26" i="69"/>
  <c r="AO26" i="69"/>
  <c r="AG26" i="69"/>
  <c r="CR26" i="69"/>
  <c r="BT26" i="69"/>
  <c r="BL26" i="69"/>
  <c r="AV26" i="69"/>
  <c r="AN26" i="69"/>
  <c r="BS26" i="69"/>
  <c r="BK26" i="69"/>
  <c r="AU26" i="69"/>
  <c r="AM26" i="69"/>
  <c r="CP26" i="69"/>
  <c r="CH26" i="69"/>
  <c r="BZ26" i="69"/>
  <c r="AT26" i="69"/>
  <c r="BR26" i="69"/>
  <c r="AL26" i="69"/>
  <c r="BJ26" i="69"/>
  <c r="BB25" i="68"/>
  <c r="BA25" i="68"/>
  <c r="N25" i="68" s="1"/>
  <c r="CR26" i="68"/>
  <c r="BT26" i="68"/>
  <c r="BL26" i="68"/>
  <c r="AV26" i="68"/>
  <c r="AN26" i="68"/>
  <c r="BS26" i="68"/>
  <c r="CP26" i="68"/>
  <c r="CH26" i="68"/>
  <c r="BZ26" i="68"/>
  <c r="BR26" i="68"/>
  <c r="BJ26" i="68"/>
  <c r="AT26" i="68"/>
  <c r="AL26" i="68"/>
  <c r="CW26" i="68"/>
  <c r="CO26" i="68"/>
  <c r="BY26" i="68"/>
  <c r="BQ26" i="68"/>
  <c r="BI26" i="68"/>
  <c r="AS26" i="68"/>
  <c r="AK26" i="68"/>
  <c r="CN26" i="68"/>
  <c r="BM26" i="68"/>
  <c r="AZ26" i="68"/>
  <c r="AO26" i="68"/>
  <c r="BX26" i="68"/>
  <c r="BK26" i="68"/>
  <c r="AY26" i="68"/>
  <c r="AM26" i="68"/>
  <c r="BW26" i="68"/>
  <c r="BH26" i="68"/>
  <c r="AX26" i="68"/>
  <c r="AJ26" i="68"/>
  <c r="BV26" i="68"/>
  <c r="BG26" i="68"/>
  <c r="AW26" i="68"/>
  <c r="AI26" i="68"/>
  <c r="CV26" i="68"/>
  <c r="CF26" i="68"/>
  <c r="BU26" i="68"/>
  <c r="AU26" i="68"/>
  <c r="AH26" i="68"/>
  <c r="CU26" i="68"/>
  <c r="CE26" i="68"/>
  <c r="BP26" i="68"/>
  <c r="AR26" i="68"/>
  <c r="AG26" i="68"/>
  <c r="CT26" i="68"/>
  <c r="CD26" i="68"/>
  <c r="BO26" i="68"/>
  <c r="AQ26" i="68"/>
  <c r="CS26" i="68"/>
  <c r="BN26" i="68"/>
  <c r="AP26" i="68"/>
  <c r="D26" i="68"/>
  <c r="Q24" i="68"/>
  <c r="A28" i="68"/>
  <c r="B27" i="68"/>
  <c r="CA25" i="68"/>
  <c r="O25" i="68" s="1"/>
  <c r="A29" i="67"/>
  <c r="B28" i="67"/>
  <c r="CW27" i="67"/>
  <c r="CO27" i="67"/>
  <c r="CV27" i="67"/>
  <c r="CN27" i="67"/>
  <c r="CF27" i="67"/>
  <c r="BX27" i="67"/>
  <c r="BP27" i="67"/>
  <c r="CU27" i="67"/>
  <c r="BR27" i="67"/>
  <c r="BI27" i="67"/>
  <c r="AS27" i="67"/>
  <c r="AK27" i="67"/>
  <c r="D27" i="67"/>
  <c r="CT27" i="67"/>
  <c r="BZ27" i="67"/>
  <c r="BQ27" i="67"/>
  <c r="BH27" i="67"/>
  <c r="AZ27" i="67"/>
  <c r="AR27" i="67"/>
  <c r="AJ27" i="67"/>
  <c r="CS27" i="67"/>
  <c r="BY27" i="67"/>
  <c r="BG27" i="67"/>
  <c r="AY27" i="67"/>
  <c r="AQ27" i="67"/>
  <c r="AI27" i="67"/>
  <c r="CR27" i="67"/>
  <c r="CH27" i="67"/>
  <c r="BW27" i="67"/>
  <c r="BN27" i="67"/>
  <c r="AX27" i="67"/>
  <c r="AP27" i="67"/>
  <c r="AH27" i="67"/>
  <c r="CE27" i="67"/>
  <c r="BV27" i="67"/>
  <c r="BM27" i="67"/>
  <c r="AW27" i="67"/>
  <c r="AO27" i="67"/>
  <c r="AG27" i="67"/>
  <c r="CP27" i="67"/>
  <c r="CD27" i="67"/>
  <c r="BU27" i="67"/>
  <c r="BL27" i="67"/>
  <c r="AV27" i="67"/>
  <c r="AN27" i="67"/>
  <c r="BK27" i="67"/>
  <c r="AU27" i="67"/>
  <c r="AM27" i="67"/>
  <c r="BS27" i="67"/>
  <c r="AT27" i="67"/>
  <c r="AL27" i="67"/>
  <c r="BB26" i="67"/>
  <c r="BA26" i="67"/>
  <c r="N26" i="67" s="1"/>
  <c r="BB26" i="66"/>
  <c r="BA26" i="66"/>
  <c r="N26" i="66" s="1"/>
  <c r="CA26" i="66"/>
  <c r="O26" i="66" s="1"/>
  <c r="CV27" i="66"/>
  <c r="CN27" i="66"/>
  <c r="CF27" i="66"/>
  <c r="BX27" i="66"/>
  <c r="BP27" i="66"/>
  <c r="BH27" i="66"/>
  <c r="AZ27" i="66"/>
  <c r="AR27" i="66"/>
  <c r="AJ27" i="66"/>
  <c r="CU27" i="66"/>
  <c r="CE27" i="66"/>
  <c r="BW27" i="66"/>
  <c r="BO27" i="66"/>
  <c r="AY27" i="66"/>
  <c r="AQ27" i="66"/>
  <c r="AI27" i="66"/>
  <c r="CT27" i="66"/>
  <c r="BV27" i="66"/>
  <c r="BN27" i="66"/>
  <c r="AX27" i="66"/>
  <c r="AP27" i="66"/>
  <c r="AH27" i="66"/>
  <c r="CS27" i="66"/>
  <c r="BU27" i="66"/>
  <c r="BM27" i="66"/>
  <c r="AW27" i="66"/>
  <c r="AO27" i="66"/>
  <c r="AG27" i="66"/>
  <c r="CR27" i="66"/>
  <c r="BT27" i="66"/>
  <c r="AV27" i="66"/>
  <c r="AN27" i="66"/>
  <c r="BS27" i="66"/>
  <c r="BK27" i="66"/>
  <c r="AU27" i="66"/>
  <c r="AM27" i="66"/>
  <c r="CP27" i="66"/>
  <c r="CH27" i="66"/>
  <c r="BZ27" i="66"/>
  <c r="BR27" i="66"/>
  <c r="BJ27" i="66"/>
  <c r="AT27" i="66"/>
  <c r="AL27" i="66"/>
  <c r="CW27" i="66"/>
  <c r="CO27" i="66"/>
  <c r="BY27" i="66"/>
  <c r="BQ27" i="66"/>
  <c r="BI27" i="66"/>
  <c r="AS27" i="66"/>
  <c r="AK27" i="66"/>
  <c r="D27" i="66"/>
  <c r="B28" i="66"/>
  <c r="A29" i="66"/>
  <c r="CV26" i="65"/>
  <c r="CN26" i="65"/>
  <c r="CF26" i="65"/>
  <c r="BX26" i="65"/>
  <c r="BH26" i="65"/>
  <c r="AZ26" i="65"/>
  <c r="AR26" i="65"/>
  <c r="AJ26" i="65"/>
  <c r="CU26" i="65"/>
  <c r="CE26" i="65"/>
  <c r="BW26" i="65"/>
  <c r="BO26" i="65"/>
  <c r="BG26" i="65"/>
  <c r="AY26" i="65"/>
  <c r="AQ26" i="65"/>
  <c r="AI26" i="65"/>
  <c r="CP26" i="65"/>
  <c r="CD26" i="65"/>
  <c r="BT26" i="65"/>
  <c r="BJ26" i="65"/>
  <c r="AX26" i="65"/>
  <c r="AN26" i="65"/>
  <c r="CO26" i="65"/>
  <c r="BS26" i="65"/>
  <c r="BI26" i="65"/>
  <c r="AW26" i="65"/>
  <c r="AM26" i="65"/>
  <c r="D26" i="65"/>
  <c r="BR26" i="65"/>
  <c r="AV26" i="65"/>
  <c r="AL26" i="65"/>
  <c r="CW26" i="65"/>
  <c r="BQ26" i="65"/>
  <c r="AU26" i="65"/>
  <c r="AK26" i="65"/>
  <c r="CT26" i="65"/>
  <c r="BZ26" i="65"/>
  <c r="BN26" i="65"/>
  <c r="AT26" i="65"/>
  <c r="AH26" i="65"/>
  <c r="CS26" i="65"/>
  <c r="BY26" i="65"/>
  <c r="BM26" i="65"/>
  <c r="AS26" i="65"/>
  <c r="AG26" i="65"/>
  <c r="CR26" i="65"/>
  <c r="BV26" i="65"/>
  <c r="BL26" i="65"/>
  <c r="AP26" i="65"/>
  <c r="BU26" i="65"/>
  <c r="AO26" i="65"/>
  <c r="B27" i="65"/>
  <c r="A28" i="65"/>
  <c r="BB25" i="65"/>
  <c r="BA25" i="65"/>
  <c r="N25" i="65" s="1"/>
  <c r="BB25" i="64"/>
  <c r="BA25" i="64"/>
  <c r="N25" i="64" s="1"/>
  <c r="B27" i="64"/>
  <c r="A28" i="64"/>
  <c r="CV26" i="64"/>
  <c r="CN26" i="64"/>
  <c r="CF26" i="64"/>
  <c r="BX26" i="64"/>
  <c r="BP26" i="64"/>
  <c r="BH26" i="64"/>
  <c r="AZ26" i="64"/>
  <c r="AR26" i="64"/>
  <c r="AJ26" i="64"/>
  <c r="CU26" i="64"/>
  <c r="CE26" i="64"/>
  <c r="BW26" i="64"/>
  <c r="BO26" i="64"/>
  <c r="BG26" i="64"/>
  <c r="AY26" i="64"/>
  <c r="AQ26" i="64"/>
  <c r="AI26" i="64"/>
  <c r="CT26" i="64"/>
  <c r="CD26" i="64"/>
  <c r="BV26" i="64"/>
  <c r="BN26" i="64"/>
  <c r="AX26" i="64"/>
  <c r="AP26" i="64"/>
  <c r="AH26" i="64"/>
  <c r="CS26" i="64"/>
  <c r="BU26" i="64"/>
  <c r="BM26" i="64"/>
  <c r="AW26" i="64"/>
  <c r="AO26" i="64"/>
  <c r="AG26" i="64"/>
  <c r="CR26" i="64"/>
  <c r="BT26" i="64"/>
  <c r="BL26" i="64"/>
  <c r="AV26" i="64"/>
  <c r="AN26" i="64"/>
  <c r="CH26" i="64"/>
  <c r="BR26" i="64"/>
  <c r="AK26" i="64"/>
  <c r="BQ26" i="64"/>
  <c r="BK26" i="64"/>
  <c r="D26" i="64"/>
  <c r="CW26" i="64"/>
  <c r="BJ26" i="64"/>
  <c r="AU26" i="64"/>
  <c r="BI26" i="64"/>
  <c r="AT26" i="64"/>
  <c r="CP26" i="64"/>
  <c r="BZ26" i="64"/>
  <c r="AS26" i="64"/>
  <c r="CO26" i="64"/>
  <c r="BY26" i="64"/>
  <c r="AM26" i="64"/>
  <c r="BS26" i="64"/>
  <c r="AL26" i="64"/>
  <c r="CU26" i="63"/>
  <c r="CE26" i="63"/>
  <c r="BW26" i="63"/>
  <c r="BO26" i="63"/>
  <c r="BG26" i="63"/>
  <c r="AY26" i="63"/>
  <c r="AQ26" i="63"/>
  <c r="AI26" i="63"/>
  <c r="CT26" i="63"/>
  <c r="CD26" i="63"/>
  <c r="BV26" i="63"/>
  <c r="BN26" i="63"/>
  <c r="AX26" i="63"/>
  <c r="AP26" i="63"/>
  <c r="AH26" i="63"/>
  <c r="CV26" i="63"/>
  <c r="BZ26" i="63"/>
  <c r="BP26" i="63"/>
  <c r="AU26" i="63"/>
  <c r="AK26" i="63"/>
  <c r="CS26" i="63"/>
  <c r="BY26" i="63"/>
  <c r="BM26" i="63"/>
  <c r="AT26" i="63"/>
  <c r="AJ26" i="63"/>
  <c r="CR26" i="63"/>
  <c r="CH26" i="63"/>
  <c r="BX26" i="63"/>
  <c r="BL26" i="63"/>
  <c r="AS26" i="63"/>
  <c r="AG26" i="63"/>
  <c r="BU26" i="63"/>
  <c r="BK26" i="63"/>
  <c r="AR26" i="63"/>
  <c r="CP26" i="63"/>
  <c r="CF26" i="63"/>
  <c r="BT26" i="63"/>
  <c r="BJ26" i="63"/>
  <c r="AO26" i="63"/>
  <c r="CO26" i="63"/>
  <c r="BS26" i="63"/>
  <c r="BI26" i="63"/>
  <c r="AZ26" i="63"/>
  <c r="AN26" i="63"/>
  <c r="CN26" i="63"/>
  <c r="BR26" i="63"/>
  <c r="BH26" i="63"/>
  <c r="AW26" i="63"/>
  <c r="AM26" i="63"/>
  <c r="D26" i="63"/>
  <c r="CW26" i="63"/>
  <c r="BQ26" i="63"/>
  <c r="AV26" i="63"/>
  <c r="AL26" i="63"/>
  <c r="A28" i="63"/>
  <c r="B27" i="63"/>
  <c r="CA25" i="63"/>
  <c r="O25" i="63" s="1"/>
  <c r="BB25" i="63"/>
  <c r="BA25" i="63"/>
  <c r="N25" i="63" s="1"/>
  <c r="Y25" i="63" s="1"/>
  <c r="CI28" i="67" l="1"/>
  <c r="CL28" i="67"/>
  <c r="CG28" i="67"/>
  <c r="CQ28" i="67"/>
  <c r="CJ28" i="67"/>
  <c r="CK28" i="67"/>
  <c r="CI28" i="70"/>
  <c r="CJ28" i="70"/>
  <c r="CK28" i="70"/>
  <c r="CM28" i="70"/>
  <c r="CQ28" i="70"/>
  <c r="CQ27" i="71"/>
  <c r="CJ27" i="71"/>
  <c r="CI27" i="71"/>
  <c r="CK27" i="71"/>
  <c r="CL27" i="71"/>
  <c r="CM27" i="71"/>
  <c r="CG27" i="71"/>
  <c r="CK27" i="73"/>
  <c r="CG27" i="73"/>
  <c r="CI27" i="73"/>
  <c r="CL27" i="73"/>
  <c r="CM27" i="73"/>
  <c r="CQ27" i="73"/>
  <c r="CJ27" i="73"/>
  <c r="CI27" i="68"/>
  <c r="CK27" i="68"/>
  <c r="CG27" i="68"/>
  <c r="CL27" i="68"/>
  <c r="CM27" i="68"/>
  <c r="CQ27" i="68"/>
  <c r="CJ27" i="68"/>
  <c r="CJ26" i="72"/>
  <c r="CG26" i="72"/>
  <c r="CK26" i="72"/>
  <c r="CQ26" i="72"/>
  <c r="CL26" i="72"/>
  <c r="CI26" i="72"/>
  <c r="CM26" i="72"/>
  <c r="CI27" i="69"/>
  <c r="CQ27" i="69"/>
  <c r="CJ27" i="69"/>
  <c r="CK27" i="69"/>
  <c r="CL27" i="69"/>
  <c r="CG27" i="69"/>
  <c r="CM27" i="69"/>
  <c r="CI28" i="66"/>
  <c r="CK28" i="66"/>
  <c r="CL28" i="66"/>
  <c r="CQ28" i="66"/>
  <c r="CM28" i="66"/>
  <c r="CG28" i="66"/>
  <c r="CJ28" i="66"/>
  <c r="CI27" i="65"/>
  <c r="CG27" i="65"/>
  <c r="CQ27" i="65"/>
  <c r="CJ27" i="65"/>
  <c r="CK27" i="65"/>
  <c r="CL27" i="65"/>
  <c r="CM27" i="65"/>
  <c r="CI27" i="64"/>
  <c r="CJ27" i="64"/>
  <c r="CG27" i="64"/>
  <c r="CK27" i="64"/>
  <c r="CL27" i="64"/>
  <c r="CQ27" i="64"/>
  <c r="CM27" i="64"/>
  <c r="CI27" i="63"/>
  <c r="CJ27" i="63"/>
  <c r="CK27" i="63"/>
  <c r="CL27" i="63"/>
  <c r="CM27" i="63"/>
  <c r="CG27" i="63"/>
  <c r="CQ27" i="63"/>
  <c r="CX26" i="69"/>
  <c r="P26" i="69" s="1"/>
  <c r="CX26" i="73"/>
  <c r="P26" i="73" s="1"/>
  <c r="CX26" i="68"/>
  <c r="P26" i="68" s="1"/>
  <c r="CX26" i="64"/>
  <c r="P26" i="64" s="1"/>
  <c r="CX26" i="71"/>
  <c r="P26" i="71" s="1"/>
  <c r="Q25" i="73"/>
  <c r="Q25" i="64"/>
  <c r="CA26" i="71"/>
  <c r="O26" i="71" s="1"/>
  <c r="BB26" i="73"/>
  <c r="BA26" i="73"/>
  <c r="N26" i="73" s="1"/>
  <c r="CA26" i="73"/>
  <c r="O26" i="73" s="1"/>
  <c r="CR27" i="73"/>
  <c r="CV27" i="73"/>
  <c r="CD27" i="73"/>
  <c r="BV27" i="73"/>
  <c r="BN27" i="73"/>
  <c r="AX27" i="73"/>
  <c r="AP27" i="73"/>
  <c r="AH27" i="73"/>
  <c r="CU27" i="73"/>
  <c r="BU27" i="73"/>
  <c r="BM27" i="73"/>
  <c r="AW27" i="73"/>
  <c r="AO27" i="73"/>
  <c r="AG27" i="73"/>
  <c r="CT27" i="73"/>
  <c r="BT27" i="73"/>
  <c r="BL27" i="73"/>
  <c r="AV27" i="73"/>
  <c r="AN27" i="73"/>
  <c r="CS27" i="73"/>
  <c r="BS27" i="73"/>
  <c r="BK27" i="73"/>
  <c r="AU27" i="73"/>
  <c r="AM27" i="73"/>
  <c r="CH27" i="73"/>
  <c r="BZ27" i="73"/>
  <c r="BR27" i="73"/>
  <c r="BJ27" i="73"/>
  <c r="AT27" i="73"/>
  <c r="AL27" i="73"/>
  <c r="CP27" i="73"/>
  <c r="BY27" i="73"/>
  <c r="BQ27" i="73"/>
  <c r="BI27" i="73"/>
  <c r="AS27" i="73"/>
  <c r="AK27" i="73"/>
  <c r="D27" i="73"/>
  <c r="CO27" i="73"/>
  <c r="CF27" i="73"/>
  <c r="BX27" i="73"/>
  <c r="BP27" i="73"/>
  <c r="BH27" i="73"/>
  <c r="AZ27" i="73"/>
  <c r="AR27" i="73"/>
  <c r="AJ27" i="73"/>
  <c r="CW27" i="73"/>
  <c r="CN27" i="73"/>
  <c r="CE27" i="73"/>
  <c r="BW27" i="73"/>
  <c r="BO27" i="73"/>
  <c r="BG27" i="73"/>
  <c r="AY27" i="73"/>
  <c r="AQ27" i="73"/>
  <c r="AI27" i="73"/>
  <c r="A29" i="73"/>
  <c r="B28" i="73"/>
  <c r="BB25" i="72"/>
  <c r="BA25" i="72"/>
  <c r="N25" i="72" s="1"/>
  <c r="CT26" i="72"/>
  <c r="CR26" i="72"/>
  <c r="BT26" i="72"/>
  <c r="BL26" i="72"/>
  <c r="AV26" i="72"/>
  <c r="AN26" i="72"/>
  <c r="BS26" i="72"/>
  <c r="BK26" i="72"/>
  <c r="AU26" i="72"/>
  <c r="AM26" i="72"/>
  <c r="CP26" i="72"/>
  <c r="CH26" i="72"/>
  <c r="BZ26" i="72"/>
  <c r="BR26" i="72"/>
  <c r="BJ26" i="72"/>
  <c r="AT26" i="72"/>
  <c r="AL26" i="72"/>
  <c r="CO26" i="72"/>
  <c r="BY26" i="72"/>
  <c r="BQ26" i="72"/>
  <c r="BI26" i="72"/>
  <c r="AS26" i="72"/>
  <c r="AK26" i="72"/>
  <c r="D26" i="72"/>
  <c r="CV26" i="72"/>
  <c r="CE26" i="72"/>
  <c r="BW26" i="72"/>
  <c r="BO26" i="72"/>
  <c r="BG26" i="72"/>
  <c r="AY26" i="72"/>
  <c r="AQ26" i="72"/>
  <c r="AI26" i="72"/>
  <c r="CU26" i="72"/>
  <c r="CD26" i="72"/>
  <c r="BV26" i="72"/>
  <c r="BN26" i="72"/>
  <c r="AX26" i="72"/>
  <c r="AP26" i="72"/>
  <c r="AH26" i="72"/>
  <c r="CS26" i="72"/>
  <c r="BU26" i="72"/>
  <c r="BM26" i="72"/>
  <c r="AW26" i="72"/>
  <c r="AO26" i="72"/>
  <c r="AG26" i="72"/>
  <c r="BX26" i="72"/>
  <c r="AR26" i="72"/>
  <c r="BH26" i="72"/>
  <c r="CW26" i="72"/>
  <c r="CN26" i="72"/>
  <c r="CF26" i="72"/>
  <c r="AZ26" i="72"/>
  <c r="AJ26" i="72"/>
  <c r="BP26" i="72"/>
  <c r="CA25" i="72"/>
  <c r="O25" i="72" s="1"/>
  <c r="A28" i="72"/>
  <c r="B27" i="72"/>
  <c r="CS27" i="71"/>
  <c r="BM27" i="71"/>
  <c r="AW27" i="71"/>
  <c r="AO27" i="71"/>
  <c r="AG27" i="71"/>
  <c r="BT27" i="71"/>
  <c r="BL27" i="71"/>
  <c r="AV27" i="71"/>
  <c r="AN27" i="71"/>
  <c r="BS27" i="71"/>
  <c r="AU27" i="71"/>
  <c r="AM27" i="71"/>
  <c r="CU27" i="71"/>
  <c r="CE27" i="71"/>
  <c r="BW27" i="71"/>
  <c r="BO27" i="71"/>
  <c r="BG27" i="71"/>
  <c r="AY27" i="71"/>
  <c r="AQ27" i="71"/>
  <c r="AI27" i="71"/>
  <c r="BY27" i="71"/>
  <c r="BI27" i="71"/>
  <c r="AZ27" i="71"/>
  <c r="AJ27" i="71"/>
  <c r="BX27" i="71"/>
  <c r="BH27" i="71"/>
  <c r="AX27" i="71"/>
  <c r="AH27" i="71"/>
  <c r="CW27" i="71"/>
  <c r="BV27" i="71"/>
  <c r="AT27" i="71"/>
  <c r="D27" i="71"/>
  <c r="CV27" i="71"/>
  <c r="CF27" i="71"/>
  <c r="BR27" i="71"/>
  <c r="AS27" i="71"/>
  <c r="CT27" i="71"/>
  <c r="CD27" i="71"/>
  <c r="BQ27" i="71"/>
  <c r="AR27" i="71"/>
  <c r="CP27" i="71"/>
  <c r="BP27" i="71"/>
  <c r="AP27" i="71"/>
  <c r="CN27" i="71"/>
  <c r="BZ27" i="71"/>
  <c r="BN27" i="71"/>
  <c r="AL27" i="71"/>
  <c r="BJ27" i="71"/>
  <c r="AK27" i="71"/>
  <c r="CO27" i="71"/>
  <c r="B28" i="71"/>
  <c r="A29" i="71"/>
  <c r="BB26" i="71"/>
  <c r="BA26" i="71"/>
  <c r="N26" i="71" s="1"/>
  <c r="Y25" i="71" s="1"/>
  <c r="Y40" i="71" s="1"/>
  <c r="CT28" i="70"/>
  <c r="CD28" i="70"/>
  <c r="BV28" i="70"/>
  <c r="BN28" i="70"/>
  <c r="AX28" i="70"/>
  <c r="AP28" i="70"/>
  <c r="AH28" i="70"/>
  <c r="BS28" i="70"/>
  <c r="BK28" i="70"/>
  <c r="AU28" i="70"/>
  <c r="AM28" i="70"/>
  <c r="BZ28" i="70"/>
  <c r="BP28" i="70"/>
  <c r="AW28" i="70"/>
  <c r="AL28" i="70"/>
  <c r="CU28" i="70"/>
  <c r="AV28" i="70"/>
  <c r="AK28" i="70"/>
  <c r="CS28" i="70"/>
  <c r="CH28" i="70"/>
  <c r="BX28" i="70"/>
  <c r="BM28" i="70"/>
  <c r="AT28" i="70"/>
  <c r="AJ28" i="70"/>
  <c r="CR28" i="70"/>
  <c r="BW28" i="70"/>
  <c r="BL28" i="70"/>
  <c r="AS28" i="70"/>
  <c r="AI28" i="70"/>
  <c r="CP28" i="70"/>
  <c r="CF28" i="70"/>
  <c r="BU28" i="70"/>
  <c r="AR28" i="70"/>
  <c r="AG28" i="70"/>
  <c r="CO28" i="70"/>
  <c r="CE28" i="70"/>
  <c r="BI28" i="70"/>
  <c r="AQ28" i="70"/>
  <c r="BR28" i="70"/>
  <c r="AZ28" i="70"/>
  <c r="BQ28" i="70"/>
  <c r="AY28" i="70"/>
  <c r="BH28" i="70"/>
  <c r="AO28" i="70"/>
  <c r="CW28" i="70"/>
  <c r="BG28" i="70"/>
  <c r="AN28" i="70"/>
  <c r="CN28" i="70"/>
  <c r="D28" i="70"/>
  <c r="BB27" i="70"/>
  <c r="BA27" i="70"/>
  <c r="N27" i="70" s="1"/>
  <c r="Y27" i="70" s="1"/>
  <c r="Y39" i="70" s="1"/>
  <c r="A30" i="70"/>
  <c r="B29" i="70"/>
  <c r="BB26" i="69"/>
  <c r="BA26" i="69"/>
  <c r="N26" i="69" s="1"/>
  <c r="A29" i="69"/>
  <c r="B28" i="69"/>
  <c r="CA26" i="69"/>
  <c r="O26" i="69" s="1"/>
  <c r="CP27" i="69"/>
  <c r="CH27" i="69"/>
  <c r="BZ27" i="69"/>
  <c r="BR27" i="69"/>
  <c r="BJ27" i="69"/>
  <c r="CW27" i="69"/>
  <c r="CN27" i="69"/>
  <c r="CE27" i="69"/>
  <c r="BV27" i="69"/>
  <c r="BM27" i="69"/>
  <c r="AV27" i="69"/>
  <c r="AN27" i="69"/>
  <c r="CV27" i="69"/>
  <c r="CD27" i="69"/>
  <c r="BU27" i="69"/>
  <c r="BL27" i="69"/>
  <c r="AU27" i="69"/>
  <c r="AM27" i="69"/>
  <c r="CU27" i="69"/>
  <c r="BT27" i="69"/>
  <c r="BK27" i="69"/>
  <c r="AT27" i="69"/>
  <c r="AL27" i="69"/>
  <c r="CT27" i="69"/>
  <c r="BS27" i="69"/>
  <c r="BI27" i="69"/>
  <c r="AS27" i="69"/>
  <c r="AK27" i="69"/>
  <c r="D27" i="69"/>
  <c r="CS27" i="69"/>
  <c r="BQ27" i="69"/>
  <c r="BH27" i="69"/>
  <c r="AZ27" i="69"/>
  <c r="AR27" i="69"/>
  <c r="AJ27" i="69"/>
  <c r="CR27" i="69"/>
  <c r="BY27" i="69"/>
  <c r="BP27" i="69"/>
  <c r="BG27" i="69"/>
  <c r="AY27" i="69"/>
  <c r="AQ27" i="69"/>
  <c r="AI27" i="69"/>
  <c r="BX27" i="69"/>
  <c r="BO27" i="69"/>
  <c r="AX27" i="69"/>
  <c r="AP27" i="69"/>
  <c r="AH27" i="69"/>
  <c r="CO27" i="69"/>
  <c r="CF27" i="69"/>
  <c r="AW27" i="69"/>
  <c r="AO27" i="69"/>
  <c r="BW27" i="69"/>
  <c r="AG27" i="69"/>
  <c r="BN27" i="69"/>
  <c r="CU27" i="68"/>
  <c r="CE27" i="68"/>
  <c r="BW27" i="68"/>
  <c r="BO27" i="68"/>
  <c r="BG27" i="68"/>
  <c r="AY27" i="68"/>
  <c r="AQ27" i="68"/>
  <c r="AI27" i="68"/>
  <c r="CT27" i="68"/>
  <c r="CD27" i="68"/>
  <c r="BV27" i="68"/>
  <c r="BN27" i="68"/>
  <c r="AX27" i="68"/>
  <c r="AP27" i="68"/>
  <c r="AH27" i="68"/>
  <c r="CS27" i="68"/>
  <c r="BU27" i="68"/>
  <c r="BM27" i="68"/>
  <c r="AW27" i="68"/>
  <c r="AO27" i="68"/>
  <c r="AG27" i="68"/>
  <c r="CR27" i="68"/>
  <c r="BT27" i="68"/>
  <c r="BL27" i="68"/>
  <c r="AV27" i="68"/>
  <c r="AN27" i="68"/>
  <c r="CH27" i="68"/>
  <c r="BX27" i="68"/>
  <c r="BH27" i="68"/>
  <c r="AU27" i="68"/>
  <c r="CW27" i="68"/>
  <c r="BS27" i="68"/>
  <c r="AT27" i="68"/>
  <c r="D27" i="68"/>
  <c r="CV27" i="68"/>
  <c r="CF27" i="68"/>
  <c r="BR27" i="68"/>
  <c r="AS27" i="68"/>
  <c r="BQ27" i="68"/>
  <c r="AR27" i="68"/>
  <c r="CP27" i="68"/>
  <c r="BP27" i="68"/>
  <c r="AM27" i="68"/>
  <c r="CO27" i="68"/>
  <c r="BK27" i="68"/>
  <c r="AL27" i="68"/>
  <c r="CN27" i="68"/>
  <c r="BZ27" i="68"/>
  <c r="BJ27" i="68"/>
  <c r="AK27" i="68"/>
  <c r="BY27" i="68"/>
  <c r="BI27" i="68"/>
  <c r="AZ27" i="68"/>
  <c r="AJ27" i="68"/>
  <c r="B28" i="68"/>
  <c r="A29" i="68"/>
  <c r="BB26" i="68"/>
  <c r="BA26" i="68"/>
  <c r="N26" i="68" s="1"/>
  <c r="Q25" i="68"/>
  <c r="CA26" i="68"/>
  <c r="O26" i="68" s="1"/>
  <c r="BB27" i="67"/>
  <c r="BA27" i="67"/>
  <c r="N27" i="67" s="1"/>
  <c r="Y26" i="67" s="1"/>
  <c r="Y40" i="67" s="1"/>
  <c r="CS28" i="67"/>
  <c r="BM28" i="67"/>
  <c r="AW28" i="67"/>
  <c r="AO28" i="67"/>
  <c r="AG28" i="67"/>
  <c r="BT28" i="67"/>
  <c r="BL28" i="67"/>
  <c r="AV28" i="67"/>
  <c r="AN28" i="67"/>
  <c r="BS28" i="67"/>
  <c r="AU28" i="67"/>
  <c r="AM28" i="67"/>
  <c r="CW28" i="67"/>
  <c r="CO28" i="67"/>
  <c r="BY28" i="67"/>
  <c r="BQ28" i="67"/>
  <c r="BI28" i="67"/>
  <c r="AS28" i="67"/>
  <c r="AK28" i="67"/>
  <c r="BZ28" i="67"/>
  <c r="BJ28" i="67"/>
  <c r="AZ28" i="67"/>
  <c r="AJ28" i="67"/>
  <c r="BX28" i="67"/>
  <c r="BH28" i="67"/>
  <c r="AY28" i="67"/>
  <c r="AI28" i="67"/>
  <c r="BW28" i="67"/>
  <c r="BG28" i="67"/>
  <c r="AX28" i="67"/>
  <c r="AH28" i="67"/>
  <c r="CV28" i="67"/>
  <c r="CF28" i="67"/>
  <c r="BV28" i="67"/>
  <c r="AT28" i="67"/>
  <c r="D28" i="67"/>
  <c r="CU28" i="67"/>
  <c r="CE28" i="67"/>
  <c r="BR28" i="67"/>
  <c r="AR28" i="67"/>
  <c r="CT28" i="67"/>
  <c r="CD28" i="67"/>
  <c r="AQ28" i="67"/>
  <c r="CP28" i="67"/>
  <c r="BO28" i="67"/>
  <c r="AP28" i="67"/>
  <c r="CN28" i="67"/>
  <c r="BN28" i="67"/>
  <c r="AL28" i="67"/>
  <c r="B29" i="67"/>
  <c r="A30" i="67"/>
  <c r="A30" i="66"/>
  <c r="B29" i="66"/>
  <c r="BB27" i="66"/>
  <c r="BA27" i="66"/>
  <c r="N27" i="66" s="1"/>
  <c r="CW28" i="66"/>
  <c r="CO28" i="66"/>
  <c r="BY28" i="66"/>
  <c r="BQ28" i="66"/>
  <c r="BI28" i="66"/>
  <c r="AS28" i="66"/>
  <c r="AK28" i="66"/>
  <c r="CV28" i="66"/>
  <c r="CN28" i="66"/>
  <c r="CF28" i="66"/>
  <c r="BX28" i="66"/>
  <c r="BP28" i="66"/>
  <c r="AZ28" i="66"/>
  <c r="BS28" i="66"/>
  <c r="BG28" i="66"/>
  <c r="AW28" i="66"/>
  <c r="AN28" i="66"/>
  <c r="BR28" i="66"/>
  <c r="AV28" i="66"/>
  <c r="AM28" i="66"/>
  <c r="CU28" i="66"/>
  <c r="BO28" i="66"/>
  <c r="AU28" i="66"/>
  <c r="AL28" i="66"/>
  <c r="D28" i="66"/>
  <c r="CT28" i="66"/>
  <c r="BZ28" i="66"/>
  <c r="BN28" i="66"/>
  <c r="AT28" i="66"/>
  <c r="AJ28" i="66"/>
  <c r="CS28" i="66"/>
  <c r="BW28" i="66"/>
  <c r="AR28" i="66"/>
  <c r="AI28" i="66"/>
  <c r="CR28" i="66"/>
  <c r="CH28" i="66"/>
  <c r="BV28" i="66"/>
  <c r="BL28" i="66"/>
  <c r="AQ28" i="66"/>
  <c r="AH28" i="66"/>
  <c r="BU28" i="66"/>
  <c r="BK28" i="66"/>
  <c r="AY28" i="66"/>
  <c r="AP28" i="66"/>
  <c r="AG28" i="66"/>
  <c r="CP28" i="66"/>
  <c r="CD28" i="66"/>
  <c r="BT28" i="66"/>
  <c r="BJ28" i="66"/>
  <c r="AX28" i="66"/>
  <c r="AO28" i="66"/>
  <c r="A29" i="65"/>
  <c r="B28" i="65"/>
  <c r="BB26" i="65"/>
  <c r="BA26" i="65"/>
  <c r="N26" i="65" s="1"/>
  <c r="CW27" i="65"/>
  <c r="CO27" i="65"/>
  <c r="BY27" i="65"/>
  <c r="BQ27" i="65"/>
  <c r="BI27" i="65"/>
  <c r="AS27" i="65"/>
  <c r="AK27" i="65"/>
  <c r="D27" i="65"/>
  <c r="CV27" i="65"/>
  <c r="CN27" i="65"/>
  <c r="CF27" i="65"/>
  <c r="BX27" i="65"/>
  <c r="BP27" i="65"/>
  <c r="BH27" i="65"/>
  <c r="AZ27" i="65"/>
  <c r="AR27" i="65"/>
  <c r="AJ27" i="65"/>
  <c r="CS27" i="65"/>
  <c r="BW27" i="65"/>
  <c r="BM27" i="65"/>
  <c r="AQ27" i="65"/>
  <c r="AG27" i="65"/>
  <c r="CR27" i="65"/>
  <c r="CH27" i="65"/>
  <c r="BV27" i="65"/>
  <c r="BL27" i="65"/>
  <c r="AP27" i="65"/>
  <c r="CU27" i="65"/>
  <c r="CE27" i="65"/>
  <c r="BS27" i="65"/>
  <c r="AT27" i="65"/>
  <c r="CT27" i="65"/>
  <c r="CD27" i="65"/>
  <c r="BR27" i="65"/>
  <c r="AO27" i="65"/>
  <c r="BO27" i="65"/>
  <c r="AN27" i="65"/>
  <c r="CP27" i="65"/>
  <c r="BN27" i="65"/>
  <c r="AY27" i="65"/>
  <c r="AM27" i="65"/>
  <c r="BK27" i="65"/>
  <c r="AX27" i="65"/>
  <c r="AL27" i="65"/>
  <c r="BZ27" i="65"/>
  <c r="BJ27" i="65"/>
  <c r="AW27" i="65"/>
  <c r="AI27" i="65"/>
  <c r="BU27" i="65"/>
  <c r="BG27" i="65"/>
  <c r="AV27" i="65"/>
  <c r="AH27" i="65"/>
  <c r="BT27" i="65"/>
  <c r="AU27" i="65"/>
  <c r="BB26" i="64"/>
  <c r="BA26" i="64"/>
  <c r="N26" i="64" s="1"/>
  <c r="B28" i="64"/>
  <c r="A29" i="64"/>
  <c r="CA26" i="64"/>
  <c r="O26" i="64" s="1"/>
  <c r="BS27" i="64"/>
  <c r="BK27" i="64"/>
  <c r="AU27" i="64"/>
  <c r="AM27" i="64"/>
  <c r="CP27" i="64"/>
  <c r="CH27" i="64"/>
  <c r="BZ27" i="64"/>
  <c r="BR27" i="64"/>
  <c r="BJ27" i="64"/>
  <c r="AT27" i="64"/>
  <c r="AL27" i="64"/>
  <c r="CW27" i="64"/>
  <c r="CO27" i="64"/>
  <c r="BY27" i="64"/>
  <c r="BQ27" i="64"/>
  <c r="BI27" i="64"/>
  <c r="AS27" i="64"/>
  <c r="AK27" i="64"/>
  <c r="D27" i="64"/>
  <c r="CV27" i="64"/>
  <c r="CN27" i="64"/>
  <c r="CF27" i="64"/>
  <c r="BX27" i="64"/>
  <c r="BP27" i="64"/>
  <c r="BH27" i="64"/>
  <c r="AZ27" i="64"/>
  <c r="AR27" i="64"/>
  <c r="AJ27" i="64"/>
  <c r="CU27" i="64"/>
  <c r="CE27" i="64"/>
  <c r="BW27" i="64"/>
  <c r="BO27" i="64"/>
  <c r="BG27" i="64"/>
  <c r="AY27" i="64"/>
  <c r="AQ27" i="64"/>
  <c r="AI27" i="64"/>
  <c r="CT27" i="64"/>
  <c r="CD27" i="64"/>
  <c r="BV27" i="64"/>
  <c r="BN27" i="64"/>
  <c r="AX27" i="64"/>
  <c r="AP27" i="64"/>
  <c r="CS27" i="64"/>
  <c r="CR27" i="64"/>
  <c r="BT27" i="64"/>
  <c r="BL27" i="64"/>
  <c r="AW27" i="64"/>
  <c r="AV27" i="64"/>
  <c r="BU27" i="64"/>
  <c r="AO27" i="64"/>
  <c r="BM27" i="64"/>
  <c r="AN27" i="64"/>
  <c r="AH27" i="64"/>
  <c r="AG27" i="64"/>
  <c r="CA26" i="63"/>
  <c r="O26" i="63" s="1"/>
  <c r="CP27" i="63"/>
  <c r="CH27" i="63"/>
  <c r="BZ27" i="63"/>
  <c r="BR27" i="63"/>
  <c r="BJ27" i="63"/>
  <c r="AT27" i="63"/>
  <c r="AL27" i="63"/>
  <c r="CW27" i="63"/>
  <c r="CO27" i="63"/>
  <c r="BY27" i="63"/>
  <c r="BQ27" i="63"/>
  <c r="BI27" i="63"/>
  <c r="AS27" i="63"/>
  <c r="AK27" i="63"/>
  <c r="D27" i="63"/>
  <c r="CS27" i="63"/>
  <c r="BW27" i="63"/>
  <c r="BM27" i="63"/>
  <c r="AQ27" i="63"/>
  <c r="AG27" i="63"/>
  <c r="CR27" i="63"/>
  <c r="CF27" i="63"/>
  <c r="BV27" i="63"/>
  <c r="BL27" i="63"/>
  <c r="AZ27" i="63"/>
  <c r="AP27" i="63"/>
  <c r="CE27" i="63"/>
  <c r="BU27" i="63"/>
  <c r="BK27" i="63"/>
  <c r="AY27" i="63"/>
  <c r="AO27" i="63"/>
  <c r="CN27" i="63"/>
  <c r="BT27" i="63"/>
  <c r="BH27" i="63"/>
  <c r="AX27" i="63"/>
  <c r="AN27" i="63"/>
  <c r="BS27" i="63"/>
  <c r="AW27" i="63"/>
  <c r="AM27" i="63"/>
  <c r="CV27" i="63"/>
  <c r="BP27" i="63"/>
  <c r="AV27" i="63"/>
  <c r="AJ27" i="63"/>
  <c r="CU27" i="63"/>
  <c r="BO27" i="63"/>
  <c r="AU27" i="63"/>
  <c r="AI27" i="63"/>
  <c r="CT27" i="63"/>
  <c r="BX27" i="63"/>
  <c r="BN27" i="63"/>
  <c r="AR27" i="63"/>
  <c r="AH27" i="63"/>
  <c r="B28" i="63"/>
  <c r="A29" i="63"/>
  <c r="BB26" i="63"/>
  <c r="BA26" i="63"/>
  <c r="N26" i="63" s="1"/>
  <c r="CI29" i="70" l="1"/>
  <c r="CQ29" i="70"/>
  <c r="CK29" i="70"/>
  <c r="CL29" i="70"/>
  <c r="CG29" i="70"/>
  <c r="CJ29" i="70"/>
  <c r="CQ28" i="71"/>
  <c r="CI28" i="71"/>
  <c r="CG28" i="71"/>
  <c r="CJ28" i="71"/>
  <c r="CK28" i="71"/>
  <c r="CL28" i="71"/>
  <c r="CM28" i="71"/>
  <c r="CJ28" i="69"/>
  <c r="CK28" i="69"/>
  <c r="CL28" i="69"/>
  <c r="CQ28" i="69"/>
  <c r="CM28" i="69"/>
  <c r="CG28" i="69"/>
  <c r="CJ27" i="72"/>
  <c r="CK27" i="72"/>
  <c r="CL27" i="72"/>
  <c r="CM27" i="72"/>
  <c r="CG27" i="72"/>
  <c r="CQ27" i="72"/>
  <c r="CI29" i="67"/>
  <c r="CJ29" i="67"/>
  <c r="CK29" i="67"/>
  <c r="CL29" i="67"/>
  <c r="CM29" i="67"/>
  <c r="CG29" i="67"/>
  <c r="CQ29" i="67"/>
  <c r="CG28" i="68"/>
  <c r="CJ28" i="68"/>
  <c r="CK28" i="68"/>
  <c r="CL28" i="68"/>
  <c r="CQ28" i="68"/>
  <c r="CM28" i="68"/>
  <c r="CG28" i="73"/>
  <c r="CI28" i="73"/>
  <c r="CJ28" i="73"/>
  <c r="CK28" i="73"/>
  <c r="CL28" i="73"/>
  <c r="CQ28" i="73"/>
  <c r="CM28" i="73"/>
  <c r="CI29" i="66"/>
  <c r="CQ29" i="66"/>
  <c r="CJ29" i="66"/>
  <c r="CK29" i="66"/>
  <c r="CM29" i="66"/>
  <c r="CG29" i="66"/>
  <c r="CL29" i="66"/>
  <c r="CI28" i="65"/>
  <c r="CJ28" i="65"/>
  <c r="CG28" i="65"/>
  <c r="CK28" i="65"/>
  <c r="CL28" i="65"/>
  <c r="CM28" i="65"/>
  <c r="CQ28" i="65"/>
  <c r="CI28" i="64"/>
  <c r="CL28" i="64"/>
  <c r="CM28" i="64"/>
  <c r="CG28" i="64"/>
  <c r="CQ28" i="64"/>
  <c r="CJ28" i="64"/>
  <c r="CK28" i="64"/>
  <c r="CI28" i="63"/>
  <c r="CJ28" i="63"/>
  <c r="CK28" i="63"/>
  <c r="CL28" i="63"/>
  <c r="CM28" i="63"/>
  <c r="CG28" i="63"/>
  <c r="CQ28" i="63"/>
  <c r="CX27" i="69"/>
  <c r="P27" i="69" s="1"/>
  <c r="CX27" i="64"/>
  <c r="P27" i="64" s="1"/>
  <c r="CX27" i="68"/>
  <c r="P27" i="68" s="1"/>
  <c r="Q26" i="71"/>
  <c r="CX27" i="65"/>
  <c r="P27" i="65" s="1"/>
  <c r="CX27" i="73"/>
  <c r="P27" i="73" s="1"/>
  <c r="Q26" i="68"/>
  <c r="Q26" i="73"/>
  <c r="CU28" i="73"/>
  <c r="CE28" i="73"/>
  <c r="BW28" i="73"/>
  <c r="BO28" i="73"/>
  <c r="BG28" i="73"/>
  <c r="AY28" i="73"/>
  <c r="AQ28" i="73"/>
  <c r="AI28" i="73"/>
  <c r="CR28" i="73"/>
  <c r="BZ28" i="73"/>
  <c r="BQ28" i="73"/>
  <c r="BH28" i="73"/>
  <c r="AX28" i="73"/>
  <c r="AO28" i="73"/>
  <c r="CH28" i="73"/>
  <c r="BY28" i="73"/>
  <c r="BP28" i="73"/>
  <c r="AW28" i="73"/>
  <c r="AN28" i="73"/>
  <c r="CP28" i="73"/>
  <c r="BX28" i="73"/>
  <c r="BN28" i="73"/>
  <c r="AV28" i="73"/>
  <c r="AM28" i="73"/>
  <c r="CO28" i="73"/>
  <c r="CF28" i="73"/>
  <c r="BV28" i="73"/>
  <c r="BM28" i="73"/>
  <c r="AU28" i="73"/>
  <c r="AL28" i="73"/>
  <c r="D28" i="73"/>
  <c r="CW28" i="73"/>
  <c r="CN28" i="73"/>
  <c r="CD28" i="73"/>
  <c r="BU28" i="73"/>
  <c r="BL28" i="73"/>
  <c r="AT28" i="73"/>
  <c r="AK28" i="73"/>
  <c r="CV28" i="73"/>
  <c r="BT28" i="73"/>
  <c r="BK28" i="73"/>
  <c r="AS28" i="73"/>
  <c r="AJ28" i="73"/>
  <c r="CT28" i="73"/>
  <c r="BS28" i="73"/>
  <c r="BJ28" i="73"/>
  <c r="AR28" i="73"/>
  <c r="AH28" i="73"/>
  <c r="CS28" i="73"/>
  <c r="BR28" i="73"/>
  <c r="BI28" i="73"/>
  <c r="AZ28" i="73"/>
  <c r="AP28" i="73"/>
  <c r="AG28" i="73"/>
  <c r="B29" i="73"/>
  <c r="A30" i="73"/>
  <c r="BB27" i="73"/>
  <c r="BA27" i="73"/>
  <c r="N27" i="73" s="1"/>
  <c r="CA27" i="73"/>
  <c r="O27" i="73" s="1"/>
  <c r="CW27" i="72"/>
  <c r="CO27" i="72"/>
  <c r="BY27" i="72"/>
  <c r="BQ27" i="72"/>
  <c r="BI27" i="72"/>
  <c r="AS27" i="72"/>
  <c r="AK27" i="72"/>
  <c r="D27" i="72"/>
  <c r="CN27" i="72"/>
  <c r="CE27" i="72"/>
  <c r="BM27" i="72"/>
  <c r="AU27" i="72"/>
  <c r="AL27" i="72"/>
  <c r="CV27" i="72"/>
  <c r="BU27" i="72"/>
  <c r="AT27" i="72"/>
  <c r="AJ27" i="72"/>
  <c r="CU27" i="72"/>
  <c r="BT27" i="72"/>
  <c r="BK27" i="72"/>
  <c r="AR27" i="72"/>
  <c r="AI27" i="72"/>
  <c r="CT27" i="72"/>
  <c r="BS27" i="72"/>
  <c r="BJ27" i="72"/>
  <c r="AZ27" i="72"/>
  <c r="AQ27" i="72"/>
  <c r="AH27" i="72"/>
  <c r="BR27" i="72"/>
  <c r="BH27" i="72"/>
  <c r="AY27" i="72"/>
  <c r="AP27" i="72"/>
  <c r="AG27" i="72"/>
  <c r="CR27" i="72"/>
  <c r="BZ27" i="72"/>
  <c r="BP27" i="72"/>
  <c r="AX27" i="72"/>
  <c r="AO27" i="72"/>
  <c r="CH27" i="72"/>
  <c r="BX27" i="72"/>
  <c r="BO27" i="72"/>
  <c r="AW27" i="72"/>
  <c r="AN27" i="72"/>
  <c r="CP27" i="72"/>
  <c r="CF27" i="72"/>
  <c r="BW27" i="72"/>
  <c r="BN27" i="72"/>
  <c r="AV27" i="72"/>
  <c r="AM27" i="72"/>
  <c r="A29" i="72"/>
  <c r="B28" i="72"/>
  <c r="BB26" i="72"/>
  <c r="BA26" i="72"/>
  <c r="N26" i="72" s="1"/>
  <c r="CA26" i="72"/>
  <c r="O26" i="72" s="1"/>
  <c r="BB27" i="71"/>
  <c r="BA27" i="71"/>
  <c r="N27" i="71" s="1"/>
  <c r="A30" i="71"/>
  <c r="B29" i="71"/>
  <c r="CV28" i="71"/>
  <c r="CN28" i="71"/>
  <c r="CF28" i="71"/>
  <c r="BX28" i="71"/>
  <c r="BP28" i="71"/>
  <c r="BH28" i="71"/>
  <c r="AZ28" i="71"/>
  <c r="AR28" i="71"/>
  <c r="AJ28" i="71"/>
  <c r="CU28" i="71"/>
  <c r="CE28" i="71"/>
  <c r="BW28" i="71"/>
  <c r="BO28" i="71"/>
  <c r="BG28" i="71"/>
  <c r="AY28" i="71"/>
  <c r="AQ28" i="71"/>
  <c r="AI28" i="71"/>
  <c r="CT28" i="71"/>
  <c r="CD28" i="71"/>
  <c r="BV28" i="71"/>
  <c r="BN28" i="71"/>
  <c r="AX28" i="71"/>
  <c r="AP28" i="71"/>
  <c r="AH28" i="71"/>
  <c r="CR28" i="71"/>
  <c r="BT28" i="71"/>
  <c r="BL28" i="71"/>
  <c r="AV28" i="71"/>
  <c r="AN28" i="71"/>
  <c r="CP28" i="71"/>
  <c r="CH28" i="71"/>
  <c r="BZ28" i="71"/>
  <c r="BR28" i="71"/>
  <c r="BJ28" i="71"/>
  <c r="AT28" i="71"/>
  <c r="AL28" i="71"/>
  <c r="BM28" i="71"/>
  <c r="AW28" i="71"/>
  <c r="D28" i="71"/>
  <c r="BK28" i="71"/>
  <c r="AU28" i="71"/>
  <c r="CW28" i="71"/>
  <c r="BI28" i="71"/>
  <c r="AS28" i="71"/>
  <c r="CS28" i="71"/>
  <c r="AO28" i="71"/>
  <c r="BY28" i="71"/>
  <c r="AM28" i="71"/>
  <c r="CO28" i="71"/>
  <c r="BU28" i="71"/>
  <c r="AK28" i="71"/>
  <c r="AG28" i="71"/>
  <c r="BS28" i="71"/>
  <c r="BQ28" i="71"/>
  <c r="B30" i="70"/>
  <c r="A31" i="70"/>
  <c r="BB28" i="70"/>
  <c r="BA28" i="70"/>
  <c r="N28" i="70" s="1"/>
  <c r="CO29" i="70"/>
  <c r="BY29" i="70"/>
  <c r="BQ29" i="70"/>
  <c r="BI29" i="70"/>
  <c r="AS29" i="70"/>
  <c r="AK29" i="70"/>
  <c r="D29" i="70"/>
  <c r="CT29" i="70"/>
  <c r="CD29" i="70"/>
  <c r="BV29" i="70"/>
  <c r="BN29" i="70"/>
  <c r="AX29" i="70"/>
  <c r="AP29" i="70"/>
  <c r="AH29" i="70"/>
  <c r="CS29" i="70"/>
  <c r="BW29" i="70"/>
  <c r="BL29" i="70"/>
  <c r="AR29" i="70"/>
  <c r="AG29" i="70"/>
  <c r="AQ29" i="70"/>
  <c r="CV29" i="70"/>
  <c r="CF29" i="70"/>
  <c r="BT29" i="70"/>
  <c r="BJ29" i="70"/>
  <c r="AZ29" i="70"/>
  <c r="AO29" i="70"/>
  <c r="CU29" i="70"/>
  <c r="CE29" i="70"/>
  <c r="BS29" i="70"/>
  <c r="BH29" i="70"/>
  <c r="AY29" i="70"/>
  <c r="AN29" i="70"/>
  <c r="BR29" i="70"/>
  <c r="BG29" i="70"/>
  <c r="AW29" i="70"/>
  <c r="AM29" i="70"/>
  <c r="CP29" i="70"/>
  <c r="AV29" i="70"/>
  <c r="AL29" i="70"/>
  <c r="CN29" i="70"/>
  <c r="BO29" i="70"/>
  <c r="AU29" i="70"/>
  <c r="AJ29" i="70"/>
  <c r="AT29" i="70"/>
  <c r="AI29" i="70"/>
  <c r="BX29" i="70"/>
  <c r="BM29" i="70"/>
  <c r="BB27" i="69"/>
  <c r="BA27" i="69"/>
  <c r="N27" i="69" s="1"/>
  <c r="CS28" i="69"/>
  <c r="BU28" i="69"/>
  <c r="BM28" i="69"/>
  <c r="AW28" i="69"/>
  <c r="AO28" i="69"/>
  <c r="AG28" i="69"/>
  <c r="CH28" i="69"/>
  <c r="BZ28" i="69"/>
  <c r="BH28" i="69"/>
  <c r="AZ28" i="69"/>
  <c r="AQ28" i="69"/>
  <c r="AH28" i="69"/>
  <c r="CP28" i="69"/>
  <c r="BY28" i="69"/>
  <c r="BP28" i="69"/>
  <c r="AY28" i="69"/>
  <c r="AP28" i="69"/>
  <c r="CO28" i="69"/>
  <c r="CF28" i="69"/>
  <c r="BX28" i="69"/>
  <c r="BO28" i="69"/>
  <c r="AX28" i="69"/>
  <c r="AN28" i="69"/>
  <c r="CW28" i="69"/>
  <c r="CE28" i="69"/>
  <c r="BW28" i="69"/>
  <c r="BN28" i="69"/>
  <c r="AV28" i="69"/>
  <c r="AM28" i="69"/>
  <c r="D28" i="69"/>
  <c r="CV28" i="69"/>
  <c r="BV28" i="69"/>
  <c r="AU28" i="69"/>
  <c r="AL28" i="69"/>
  <c r="CU28" i="69"/>
  <c r="BT28" i="69"/>
  <c r="BK28" i="69"/>
  <c r="AT28" i="69"/>
  <c r="AK28" i="69"/>
  <c r="CT28" i="69"/>
  <c r="BS28" i="69"/>
  <c r="BJ28" i="69"/>
  <c r="AS28" i="69"/>
  <c r="AJ28" i="69"/>
  <c r="AR28" i="69"/>
  <c r="BR28" i="69"/>
  <c r="AI28" i="69"/>
  <c r="BI28" i="69"/>
  <c r="CR28" i="69"/>
  <c r="B29" i="69"/>
  <c r="A30" i="69"/>
  <c r="Q26" i="69"/>
  <c r="CA27" i="69"/>
  <c r="O27" i="69" s="1"/>
  <c r="BB27" i="68"/>
  <c r="BA27" i="68"/>
  <c r="N27" i="68" s="1"/>
  <c r="CA27" i="68"/>
  <c r="O27" i="68" s="1"/>
  <c r="A30" i="68"/>
  <c r="B29" i="68"/>
  <c r="CP28" i="68"/>
  <c r="CH28" i="68"/>
  <c r="BZ28" i="68"/>
  <c r="BR28" i="68"/>
  <c r="BJ28" i="68"/>
  <c r="AT28" i="68"/>
  <c r="AL28" i="68"/>
  <c r="CW28" i="68"/>
  <c r="CO28" i="68"/>
  <c r="BY28" i="68"/>
  <c r="BI28" i="68"/>
  <c r="AS28" i="68"/>
  <c r="AK28" i="68"/>
  <c r="D28" i="68"/>
  <c r="CV28" i="68"/>
  <c r="CF28" i="68"/>
  <c r="BX28" i="68"/>
  <c r="BP28" i="68"/>
  <c r="BH28" i="68"/>
  <c r="AZ28" i="68"/>
  <c r="AR28" i="68"/>
  <c r="AJ28" i="68"/>
  <c r="CU28" i="68"/>
  <c r="CE28" i="68"/>
  <c r="BW28" i="68"/>
  <c r="BO28" i="68"/>
  <c r="AY28" i="68"/>
  <c r="AQ28" i="68"/>
  <c r="AI28" i="68"/>
  <c r="BU28" i="68"/>
  <c r="AO28" i="68"/>
  <c r="BT28" i="68"/>
  <c r="AN28" i="68"/>
  <c r="BS28" i="68"/>
  <c r="AM28" i="68"/>
  <c r="CT28" i="68"/>
  <c r="BN28" i="68"/>
  <c r="AX28" i="68"/>
  <c r="AH28" i="68"/>
  <c r="CS28" i="68"/>
  <c r="BM28" i="68"/>
  <c r="AW28" i="68"/>
  <c r="AG28" i="68"/>
  <c r="CR28" i="68"/>
  <c r="AV28" i="68"/>
  <c r="BK28" i="68"/>
  <c r="AU28" i="68"/>
  <c r="BV28" i="68"/>
  <c r="AP28" i="68"/>
  <c r="A31" i="67"/>
  <c r="B30" i="67"/>
  <c r="CW29" i="67"/>
  <c r="CO29" i="67"/>
  <c r="CV29" i="67"/>
  <c r="CN29" i="67"/>
  <c r="CF29" i="67"/>
  <c r="BX29" i="67"/>
  <c r="BP29" i="67"/>
  <c r="BH29" i="67"/>
  <c r="AZ29" i="67"/>
  <c r="AR29" i="67"/>
  <c r="AJ29" i="67"/>
  <c r="CU29" i="67"/>
  <c r="CE29" i="67"/>
  <c r="BW29" i="67"/>
  <c r="BO29" i="67"/>
  <c r="BG29" i="67"/>
  <c r="AY29" i="67"/>
  <c r="AQ29" i="67"/>
  <c r="AI29" i="67"/>
  <c r="CT29" i="67"/>
  <c r="CD29" i="67"/>
  <c r="BV29" i="67"/>
  <c r="BN29" i="67"/>
  <c r="AX29" i="67"/>
  <c r="AP29" i="67"/>
  <c r="AH29" i="67"/>
  <c r="CS29" i="67"/>
  <c r="BU29" i="67"/>
  <c r="BM29" i="67"/>
  <c r="AW29" i="67"/>
  <c r="AO29" i="67"/>
  <c r="AG29" i="67"/>
  <c r="CR29" i="67"/>
  <c r="BT29" i="67"/>
  <c r="BL29" i="67"/>
  <c r="AV29" i="67"/>
  <c r="AN29" i="67"/>
  <c r="CH29" i="67"/>
  <c r="BQ29" i="67"/>
  <c r="BK29" i="67"/>
  <c r="D29" i="67"/>
  <c r="BJ29" i="67"/>
  <c r="AU29" i="67"/>
  <c r="BI29" i="67"/>
  <c r="AT29" i="67"/>
  <c r="BZ29" i="67"/>
  <c r="AS29" i="67"/>
  <c r="BY29" i="67"/>
  <c r="AM29" i="67"/>
  <c r="CP29" i="67"/>
  <c r="BS29" i="67"/>
  <c r="AL29" i="67"/>
  <c r="BR29" i="67"/>
  <c r="AK29" i="67"/>
  <c r="BB28" i="67"/>
  <c r="BA28" i="67"/>
  <c r="N28" i="67" s="1"/>
  <c r="BB28" i="66"/>
  <c r="BA28" i="66"/>
  <c r="N28" i="66" s="1"/>
  <c r="CR29" i="66"/>
  <c r="BT29" i="66"/>
  <c r="BL29" i="66"/>
  <c r="AV29" i="66"/>
  <c r="AN29" i="66"/>
  <c r="BS29" i="66"/>
  <c r="BK29" i="66"/>
  <c r="AU29" i="66"/>
  <c r="AM29" i="66"/>
  <c r="CS29" i="66"/>
  <c r="BX29" i="66"/>
  <c r="AT29" i="66"/>
  <c r="AJ29" i="66"/>
  <c r="CP29" i="66"/>
  <c r="BW29" i="66"/>
  <c r="BM29" i="66"/>
  <c r="AS29" i="66"/>
  <c r="AI29" i="66"/>
  <c r="CO29" i="66"/>
  <c r="CE29" i="66"/>
  <c r="BV29" i="66"/>
  <c r="BJ29" i="66"/>
  <c r="AR29" i="66"/>
  <c r="AH29" i="66"/>
  <c r="CN29" i="66"/>
  <c r="CD29" i="66"/>
  <c r="BU29" i="66"/>
  <c r="AQ29" i="66"/>
  <c r="AG29" i="66"/>
  <c r="CW29" i="66"/>
  <c r="BR29" i="66"/>
  <c r="BH29" i="66"/>
  <c r="AZ29" i="66"/>
  <c r="AP29" i="66"/>
  <c r="CV29" i="66"/>
  <c r="BQ29" i="66"/>
  <c r="BG29" i="66"/>
  <c r="AY29" i="66"/>
  <c r="AO29" i="66"/>
  <c r="D29" i="66"/>
  <c r="CU29" i="66"/>
  <c r="BZ29" i="66"/>
  <c r="BP29" i="66"/>
  <c r="AX29" i="66"/>
  <c r="AL29" i="66"/>
  <c r="CT29" i="66"/>
  <c r="CH29" i="66"/>
  <c r="BY29" i="66"/>
  <c r="BO29" i="66"/>
  <c r="AW29" i="66"/>
  <c r="AK29" i="66"/>
  <c r="B30" i="66"/>
  <c r="A31" i="66"/>
  <c r="BB27" i="65"/>
  <c r="BA27" i="65"/>
  <c r="N27" i="65" s="1"/>
  <c r="CA27" i="65"/>
  <c r="O27" i="65" s="1"/>
  <c r="CR28" i="65"/>
  <c r="BT28" i="65"/>
  <c r="BL28" i="65"/>
  <c r="AV28" i="65"/>
  <c r="AN28" i="65"/>
  <c r="BS28" i="65"/>
  <c r="BK28" i="65"/>
  <c r="AU28" i="65"/>
  <c r="AM28" i="65"/>
  <c r="CW28" i="65"/>
  <c r="BR28" i="65"/>
  <c r="BH28" i="65"/>
  <c r="AZ28" i="65"/>
  <c r="AP28" i="65"/>
  <c r="CV28" i="65"/>
  <c r="BQ28" i="65"/>
  <c r="BG28" i="65"/>
  <c r="AY28" i="65"/>
  <c r="AO28" i="65"/>
  <c r="D28" i="65"/>
  <c r="CU28" i="65"/>
  <c r="BX28" i="65"/>
  <c r="BJ28" i="65"/>
  <c r="AX28" i="65"/>
  <c r="AJ28" i="65"/>
  <c r="CT28" i="65"/>
  <c r="CF28" i="65"/>
  <c r="BW28" i="65"/>
  <c r="BI28" i="65"/>
  <c r="AW28" i="65"/>
  <c r="AI28" i="65"/>
  <c r="CS28" i="65"/>
  <c r="CE28" i="65"/>
  <c r="BV28" i="65"/>
  <c r="AT28" i="65"/>
  <c r="AH28" i="65"/>
  <c r="CP28" i="65"/>
  <c r="CD28" i="65"/>
  <c r="BU28" i="65"/>
  <c r="AS28" i="65"/>
  <c r="AG28" i="65"/>
  <c r="CO28" i="65"/>
  <c r="BP28" i="65"/>
  <c r="AR28" i="65"/>
  <c r="CN28" i="65"/>
  <c r="BO28" i="65"/>
  <c r="AQ28" i="65"/>
  <c r="BZ28" i="65"/>
  <c r="BN28" i="65"/>
  <c r="AL28" i="65"/>
  <c r="CH28" i="65"/>
  <c r="BY28" i="65"/>
  <c r="BM28" i="65"/>
  <c r="AK28" i="65"/>
  <c r="A30" i="65"/>
  <c r="B29" i="65"/>
  <c r="CA27" i="64"/>
  <c r="O27" i="64" s="1"/>
  <c r="A30" i="64"/>
  <c r="B29" i="64"/>
  <c r="BS28" i="64"/>
  <c r="CO28" i="64"/>
  <c r="CF28" i="64"/>
  <c r="BW28" i="64"/>
  <c r="BN28" i="64"/>
  <c r="AX28" i="64"/>
  <c r="AP28" i="64"/>
  <c r="AH28" i="64"/>
  <c r="CW28" i="64"/>
  <c r="CN28" i="64"/>
  <c r="CE28" i="64"/>
  <c r="BV28" i="64"/>
  <c r="BM28" i="64"/>
  <c r="AW28" i="64"/>
  <c r="AO28" i="64"/>
  <c r="AG28" i="64"/>
  <c r="CV28" i="64"/>
  <c r="CD28" i="64"/>
  <c r="BU28" i="64"/>
  <c r="BL28" i="64"/>
  <c r="AV28" i="64"/>
  <c r="AN28" i="64"/>
  <c r="CU28" i="64"/>
  <c r="BT28" i="64"/>
  <c r="BK28" i="64"/>
  <c r="AU28" i="64"/>
  <c r="AM28" i="64"/>
  <c r="CT28" i="64"/>
  <c r="BR28" i="64"/>
  <c r="BJ28" i="64"/>
  <c r="AT28" i="64"/>
  <c r="AL28" i="64"/>
  <c r="CS28" i="64"/>
  <c r="BZ28" i="64"/>
  <c r="BQ28" i="64"/>
  <c r="BI28" i="64"/>
  <c r="AS28" i="64"/>
  <c r="AK28" i="64"/>
  <c r="D28" i="64"/>
  <c r="CR28" i="64"/>
  <c r="CH28" i="64"/>
  <c r="BY28" i="64"/>
  <c r="BP28" i="64"/>
  <c r="BH28" i="64"/>
  <c r="AZ28" i="64"/>
  <c r="AR28" i="64"/>
  <c r="AJ28" i="64"/>
  <c r="CP28" i="64"/>
  <c r="BX28" i="64"/>
  <c r="BO28" i="64"/>
  <c r="BG28" i="64"/>
  <c r="AY28" i="64"/>
  <c r="AQ28" i="64"/>
  <c r="AI28" i="64"/>
  <c r="Q26" i="64"/>
  <c r="BB27" i="64"/>
  <c r="BA27" i="64"/>
  <c r="N27" i="64" s="1"/>
  <c r="B29" i="63"/>
  <c r="A30" i="63"/>
  <c r="BB27" i="63"/>
  <c r="BA27" i="63"/>
  <c r="N27" i="63" s="1"/>
  <c r="CS28" i="63"/>
  <c r="BU28" i="63"/>
  <c r="BM28" i="63"/>
  <c r="AW28" i="63"/>
  <c r="AO28" i="63"/>
  <c r="CP28" i="63"/>
  <c r="BY28" i="63"/>
  <c r="BP28" i="63"/>
  <c r="BG28" i="63"/>
  <c r="AY28" i="63"/>
  <c r="AP28" i="63"/>
  <c r="AG28" i="63"/>
  <c r="CO28" i="63"/>
  <c r="CF28" i="63"/>
  <c r="BX28" i="63"/>
  <c r="BO28" i="63"/>
  <c r="AX28" i="63"/>
  <c r="AN28" i="63"/>
  <c r="CU28" i="63"/>
  <c r="BW28" i="63"/>
  <c r="BK28" i="63"/>
  <c r="AQ28" i="63"/>
  <c r="D28" i="63"/>
  <c r="CT28" i="63"/>
  <c r="CH28" i="63"/>
  <c r="BV28" i="63"/>
  <c r="BJ28" i="63"/>
  <c r="AM28" i="63"/>
  <c r="CR28" i="63"/>
  <c r="BT28" i="63"/>
  <c r="BI28" i="63"/>
  <c r="AZ28" i="63"/>
  <c r="AL28" i="63"/>
  <c r="CD28" i="63"/>
  <c r="BS28" i="63"/>
  <c r="AV28" i="63"/>
  <c r="AK28" i="63"/>
  <c r="CN28" i="63"/>
  <c r="BR28" i="63"/>
  <c r="AU28" i="63"/>
  <c r="AJ28" i="63"/>
  <c r="BQ28" i="63"/>
  <c r="AT28" i="63"/>
  <c r="AI28" i="63"/>
  <c r="CW28" i="63"/>
  <c r="BN28" i="63"/>
  <c r="AS28" i="63"/>
  <c r="AH28" i="63"/>
  <c r="CV28" i="63"/>
  <c r="BZ28" i="63"/>
  <c r="BL28" i="63"/>
  <c r="AR28" i="63"/>
  <c r="CI30" i="67" l="1"/>
  <c r="CQ30" i="67"/>
  <c r="CL30" i="67"/>
  <c r="CM30" i="67"/>
  <c r="CG30" i="67"/>
  <c r="CJ30" i="67"/>
  <c r="CK30" i="67"/>
  <c r="CQ28" i="72"/>
  <c r="CI28" i="72"/>
  <c r="CK28" i="72"/>
  <c r="CL28" i="72"/>
  <c r="CG28" i="72"/>
  <c r="CM28" i="72"/>
  <c r="CK29" i="73"/>
  <c r="CL29" i="73"/>
  <c r="CM29" i="73"/>
  <c r="CG29" i="73"/>
  <c r="CI29" i="73"/>
  <c r="CQ29" i="73"/>
  <c r="CJ29" i="73"/>
  <c r="CI29" i="71"/>
  <c r="CQ29" i="71"/>
  <c r="CL29" i="71"/>
  <c r="CM29" i="71"/>
  <c r="CG29" i="71"/>
  <c r="CJ29" i="71"/>
  <c r="CK29" i="71"/>
  <c r="CI30" i="70"/>
  <c r="CQ30" i="70"/>
  <c r="CJ30" i="70"/>
  <c r="CK30" i="70"/>
  <c r="CL30" i="70"/>
  <c r="CM30" i="70"/>
  <c r="CG30" i="70"/>
  <c r="CI29" i="68"/>
  <c r="CK29" i="68"/>
  <c r="CL29" i="68"/>
  <c r="CM29" i="68"/>
  <c r="CG29" i="68"/>
  <c r="CQ29" i="68"/>
  <c r="CI29" i="69"/>
  <c r="CG29" i="69"/>
  <c r="CQ29" i="69"/>
  <c r="CK29" i="69"/>
  <c r="CL29" i="69"/>
  <c r="CM29" i="69"/>
  <c r="CI30" i="66"/>
  <c r="CK30" i="66"/>
  <c r="CL30" i="66"/>
  <c r="CM30" i="66"/>
  <c r="CQ30" i="66"/>
  <c r="CJ30" i="66"/>
  <c r="CG30" i="66"/>
  <c r="CI29" i="65"/>
  <c r="CG29" i="65"/>
  <c r="CJ29" i="65"/>
  <c r="CQ29" i="65"/>
  <c r="CK29" i="65"/>
  <c r="CL29" i="65"/>
  <c r="CM29" i="65"/>
  <c r="Q27" i="64"/>
  <c r="CI29" i="64"/>
  <c r="CJ29" i="64"/>
  <c r="CK29" i="64"/>
  <c r="CL29" i="64"/>
  <c r="CG29" i="64"/>
  <c r="CM29" i="64"/>
  <c r="CQ29" i="64"/>
  <c r="CI29" i="63"/>
  <c r="CJ29" i="63"/>
  <c r="CK29" i="63"/>
  <c r="CL29" i="63"/>
  <c r="CM29" i="63"/>
  <c r="CG29" i="63"/>
  <c r="CQ29" i="63"/>
  <c r="CX28" i="64"/>
  <c r="P28" i="64" s="1"/>
  <c r="CX28" i="71"/>
  <c r="P28" i="71" s="1"/>
  <c r="CX28" i="73"/>
  <c r="P28" i="73" s="1"/>
  <c r="CX28" i="65"/>
  <c r="P28" i="65" s="1"/>
  <c r="CX29" i="67"/>
  <c r="P29" i="67" s="1"/>
  <c r="Q27" i="65"/>
  <c r="Q27" i="73"/>
  <c r="Q27" i="68"/>
  <c r="CA28" i="73"/>
  <c r="O28" i="73" s="1"/>
  <c r="B30" i="73"/>
  <c r="A31" i="73"/>
  <c r="BS29" i="73"/>
  <c r="BK29" i="73"/>
  <c r="AU29" i="73"/>
  <c r="AM29" i="73"/>
  <c r="CP29" i="73"/>
  <c r="CH29" i="73"/>
  <c r="BZ29" i="73"/>
  <c r="BR29" i="73"/>
  <c r="BJ29" i="73"/>
  <c r="AT29" i="73"/>
  <c r="AL29" i="73"/>
  <c r="CW29" i="73"/>
  <c r="BQ29" i="73"/>
  <c r="BG29" i="73"/>
  <c r="AX29" i="73"/>
  <c r="AN29" i="73"/>
  <c r="CV29" i="73"/>
  <c r="BP29" i="73"/>
  <c r="AW29" i="73"/>
  <c r="AK29" i="73"/>
  <c r="CU29" i="73"/>
  <c r="BY29" i="73"/>
  <c r="BO29" i="73"/>
  <c r="AV29" i="73"/>
  <c r="AJ29" i="73"/>
  <c r="CT29" i="73"/>
  <c r="BX29" i="73"/>
  <c r="BN29" i="73"/>
  <c r="AS29" i="73"/>
  <c r="AI29" i="73"/>
  <c r="CS29" i="73"/>
  <c r="BW29" i="73"/>
  <c r="BM29" i="73"/>
  <c r="AR29" i="73"/>
  <c r="AH29" i="73"/>
  <c r="CR29" i="73"/>
  <c r="CF29" i="73"/>
  <c r="BV29" i="73"/>
  <c r="BL29" i="73"/>
  <c r="AQ29" i="73"/>
  <c r="AG29" i="73"/>
  <c r="CO29" i="73"/>
  <c r="CE29" i="73"/>
  <c r="BU29" i="73"/>
  <c r="BI29" i="73"/>
  <c r="AZ29" i="73"/>
  <c r="AP29" i="73"/>
  <c r="CN29" i="73"/>
  <c r="CD29" i="73"/>
  <c r="BT29" i="73"/>
  <c r="BH29" i="73"/>
  <c r="AY29" i="73"/>
  <c r="AO29" i="73"/>
  <c r="D29" i="73"/>
  <c r="BB28" i="73"/>
  <c r="BA28" i="73"/>
  <c r="N28" i="73" s="1"/>
  <c r="CU28" i="72"/>
  <c r="BO28" i="72"/>
  <c r="BG28" i="72"/>
  <c r="AY28" i="72"/>
  <c r="AQ28" i="72"/>
  <c r="AI28" i="72"/>
  <c r="CS28" i="72"/>
  <c r="BU28" i="72"/>
  <c r="AW28" i="72"/>
  <c r="CR28" i="72"/>
  <c r="BT28" i="72"/>
  <c r="BL28" i="72"/>
  <c r="AV28" i="72"/>
  <c r="AN28" i="72"/>
  <c r="CP28" i="72"/>
  <c r="BQ28" i="72"/>
  <c r="AT28" i="72"/>
  <c r="AJ28" i="72"/>
  <c r="CO28" i="72"/>
  <c r="BP28" i="72"/>
  <c r="AS28" i="72"/>
  <c r="AH28" i="72"/>
  <c r="CN28" i="72"/>
  <c r="BZ28" i="72"/>
  <c r="BN28" i="72"/>
  <c r="AR28" i="72"/>
  <c r="AG28" i="72"/>
  <c r="BY28" i="72"/>
  <c r="BK28" i="72"/>
  <c r="AP28" i="72"/>
  <c r="CH28" i="72"/>
  <c r="BX28" i="72"/>
  <c r="BJ28" i="72"/>
  <c r="AO28" i="72"/>
  <c r="CW28" i="72"/>
  <c r="BV28" i="72"/>
  <c r="BI28" i="72"/>
  <c r="AZ28" i="72"/>
  <c r="AM28" i="72"/>
  <c r="D28" i="72"/>
  <c r="CV28" i="72"/>
  <c r="CF28" i="72"/>
  <c r="BS28" i="72"/>
  <c r="AX28" i="72"/>
  <c r="AL28" i="72"/>
  <c r="CD28" i="72"/>
  <c r="BR28" i="72"/>
  <c r="AU28" i="72"/>
  <c r="AK28" i="72"/>
  <c r="B29" i="72"/>
  <c r="A30" i="72"/>
  <c r="BB27" i="72"/>
  <c r="BA27" i="72"/>
  <c r="N27" i="72" s="1"/>
  <c r="BB28" i="71"/>
  <c r="BA28" i="71"/>
  <c r="N28" i="71" s="1"/>
  <c r="BS29" i="71"/>
  <c r="BK29" i="71"/>
  <c r="AU29" i="71"/>
  <c r="AM29" i="71"/>
  <c r="CP29" i="71"/>
  <c r="CH29" i="71"/>
  <c r="BZ29" i="71"/>
  <c r="BR29" i="71"/>
  <c r="BJ29" i="71"/>
  <c r="AT29" i="71"/>
  <c r="AL29" i="71"/>
  <c r="CW29" i="71"/>
  <c r="CO29" i="71"/>
  <c r="BY29" i="71"/>
  <c r="BQ29" i="71"/>
  <c r="BI29" i="71"/>
  <c r="AS29" i="71"/>
  <c r="AK29" i="71"/>
  <c r="D29" i="71"/>
  <c r="CU29" i="71"/>
  <c r="CE29" i="71"/>
  <c r="BW29" i="71"/>
  <c r="BO29" i="71"/>
  <c r="BG29" i="71"/>
  <c r="AY29" i="71"/>
  <c r="AQ29" i="71"/>
  <c r="AI29" i="71"/>
  <c r="CS29" i="71"/>
  <c r="BU29" i="71"/>
  <c r="BM29" i="71"/>
  <c r="AW29" i="71"/>
  <c r="AO29" i="71"/>
  <c r="AG29" i="71"/>
  <c r="CF29" i="71"/>
  <c r="BN29" i="71"/>
  <c r="AX29" i="71"/>
  <c r="CD29" i="71"/>
  <c r="BL29" i="71"/>
  <c r="AV29" i="71"/>
  <c r="CV29" i="71"/>
  <c r="BH29" i="71"/>
  <c r="AR29" i="71"/>
  <c r="CT29" i="71"/>
  <c r="AP29" i="71"/>
  <c r="CR29" i="71"/>
  <c r="BX29" i="71"/>
  <c r="AN29" i="71"/>
  <c r="CN29" i="71"/>
  <c r="BV29" i="71"/>
  <c r="AJ29" i="71"/>
  <c r="BP29" i="71"/>
  <c r="AZ29" i="71"/>
  <c r="AH29" i="71"/>
  <c r="BT29" i="71"/>
  <c r="CA28" i="71"/>
  <c r="O28" i="71" s="1"/>
  <c r="A31" i="71"/>
  <c r="B30" i="71"/>
  <c r="BB29" i="70"/>
  <c r="BA29" i="70"/>
  <c r="N29" i="70" s="1"/>
  <c r="B31" i="70"/>
  <c r="A32" i="70"/>
  <c r="CV30" i="70"/>
  <c r="CN30" i="70"/>
  <c r="CF30" i="70"/>
  <c r="BX30" i="70"/>
  <c r="BP30" i="70"/>
  <c r="CW30" i="70"/>
  <c r="CD30" i="70"/>
  <c r="BU30" i="70"/>
  <c r="BL30" i="70"/>
  <c r="AV30" i="70"/>
  <c r="AN30" i="70"/>
  <c r="CU30" i="70"/>
  <c r="BT30" i="70"/>
  <c r="BK30" i="70"/>
  <c r="AU30" i="70"/>
  <c r="AM30" i="70"/>
  <c r="CT30" i="70"/>
  <c r="BS30" i="70"/>
  <c r="BJ30" i="70"/>
  <c r="AT30" i="70"/>
  <c r="AL30" i="70"/>
  <c r="CS30" i="70"/>
  <c r="BR30" i="70"/>
  <c r="BI30" i="70"/>
  <c r="AS30" i="70"/>
  <c r="AK30" i="70"/>
  <c r="D30" i="70"/>
  <c r="CR30" i="70"/>
  <c r="BZ30" i="70"/>
  <c r="BQ30" i="70"/>
  <c r="BH30" i="70"/>
  <c r="AZ30" i="70"/>
  <c r="AR30" i="70"/>
  <c r="AJ30" i="70"/>
  <c r="CH30" i="70"/>
  <c r="BY30" i="70"/>
  <c r="BO30" i="70"/>
  <c r="BG30" i="70"/>
  <c r="AY30" i="70"/>
  <c r="AQ30" i="70"/>
  <c r="AI30" i="70"/>
  <c r="CP30" i="70"/>
  <c r="BW30" i="70"/>
  <c r="BN30" i="70"/>
  <c r="AX30" i="70"/>
  <c r="AP30" i="70"/>
  <c r="AH30" i="70"/>
  <c r="CO30" i="70"/>
  <c r="CE30" i="70"/>
  <c r="BV30" i="70"/>
  <c r="BM30" i="70"/>
  <c r="AW30" i="70"/>
  <c r="AO30" i="70"/>
  <c r="AG30" i="70"/>
  <c r="A31" i="69"/>
  <c r="B30" i="69"/>
  <c r="CV29" i="69"/>
  <c r="CN29" i="69"/>
  <c r="CF29" i="69"/>
  <c r="BX29" i="69"/>
  <c r="BP29" i="69"/>
  <c r="AZ29" i="69"/>
  <c r="AR29" i="69"/>
  <c r="AJ29" i="69"/>
  <c r="CU29" i="69"/>
  <c r="BW29" i="69"/>
  <c r="BO29" i="69"/>
  <c r="BG29" i="69"/>
  <c r="AY29" i="69"/>
  <c r="AQ29" i="69"/>
  <c r="AI29" i="69"/>
  <c r="AV29" i="69"/>
  <c r="AL29" i="69"/>
  <c r="CW29" i="69"/>
  <c r="BQ29" i="69"/>
  <c r="AU29" i="69"/>
  <c r="AK29" i="69"/>
  <c r="CT29" i="69"/>
  <c r="BZ29" i="69"/>
  <c r="BN29" i="69"/>
  <c r="AT29" i="69"/>
  <c r="AH29" i="69"/>
  <c r="CS29" i="69"/>
  <c r="BY29" i="69"/>
  <c r="AS29" i="69"/>
  <c r="AG29" i="69"/>
  <c r="CR29" i="69"/>
  <c r="CH29" i="69"/>
  <c r="BV29" i="69"/>
  <c r="BL29" i="69"/>
  <c r="AP29" i="69"/>
  <c r="BU29" i="69"/>
  <c r="BK29" i="69"/>
  <c r="AO29" i="69"/>
  <c r="CP29" i="69"/>
  <c r="CD29" i="69"/>
  <c r="BT29" i="69"/>
  <c r="BJ29" i="69"/>
  <c r="AX29" i="69"/>
  <c r="AN29" i="69"/>
  <c r="AW29" i="69"/>
  <c r="AM29" i="69"/>
  <c r="D29" i="69"/>
  <c r="BS29" i="69"/>
  <c r="BI29" i="69"/>
  <c r="Q27" i="69"/>
  <c r="BB28" i="69"/>
  <c r="BA28" i="69"/>
  <c r="N28" i="69" s="1"/>
  <c r="BB28" i="68"/>
  <c r="BA28" i="68"/>
  <c r="N28" i="68" s="1"/>
  <c r="CS29" i="68"/>
  <c r="BU29" i="68"/>
  <c r="AW29" i="68"/>
  <c r="AO29" i="68"/>
  <c r="AG29" i="68"/>
  <c r="CR29" i="68"/>
  <c r="BT29" i="68"/>
  <c r="BL29" i="68"/>
  <c r="AV29" i="68"/>
  <c r="AN29" i="68"/>
  <c r="BS29" i="68"/>
  <c r="BK29" i="68"/>
  <c r="AU29" i="68"/>
  <c r="AM29" i="68"/>
  <c r="CP29" i="68"/>
  <c r="CH29" i="68"/>
  <c r="BZ29" i="68"/>
  <c r="BJ29" i="68"/>
  <c r="AT29" i="68"/>
  <c r="AL29" i="68"/>
  <c r="CU29" i="68"/>
  <c r="BQ29" i="68"/>
  <c r="AR29" i="68"/>
  <c r="CT29" i="68"/>
  <c r="CD29" i="68"/>
  <c r="BP29" i="68"/>
  <c r="AQ29" i="68"/>
  <c r="BO29" i="68"/>
  <c r="AP29" i="68"/>
  <c r="CN29" i="68"/>
  <c r="BN29" i="68"/>
  <c r="AK29" i="68"/>
  <c r="BY29" i="68"/>
  <c r="BI29" i="68"/>
  <c r="AZ29" i="68"/>
  <c r="AJ29" i="68"/>
  <c r="BX29" i="68"/>
  <c r="AY29" i="68"/>
  <c r="AI29" i="68"/>
  <c r="CW29" i="68"/>
  <c r="BW29" i="68"/>
  <c r="BG29" i="68"/>
  <c r="AX29" i="68"/>
  <c r="AH29" i="68"/>
  <c r="D29" i="68"/>
  <c r="CV29" i="68"/>
  <c r="CF29" i="68"/>
  <c r="BV29" i="68"/>
  <c r="AS29" i="68"/>
  <c r="B30" i="68"/>
  <c r="A31" i="68"/>
  <c r="BB29" i="67"/>
  <c r="BA29" i="67"/>
  <c r="N29" i="67" s="1"/>
  <c r="CA29" i="67"/>
  <c r="O29" i="67" s="1"/>
  <c r="CR30" i="67"/>
  <c r="BT30" i="67"/>
  <c r="BL30" i="67"/>
  <c r="AV30" i="67"/>
  <c r="AN30" i="67"/>
  <c r="BS30" i="67"/>
  <c r="BK30" i="67"/>
  <c r="AU30" i="67"/>
  <c r="AM30" i="67"/>
  <c r="CP30" i="67"/>
  <c r="CH30" i="67"/>
  <c r="BZ30" i="67"/>
  <c r="BR30" i="67"/>
  <c r="BJ30" i="67"/>
  <c r="AT30" i="67"/>
  <c r="AL30" i="67"/>
  <c r="CW30" i="67"/>
  <c r="CO30" i="67"/>
  <c r="BY30" i="67"/>
  <c r="BQ30" i="67"/>
  <c r="BI30" i="67"/>
  <c r="AS30" i="67"/>
  <c r="AK30" i="67"/>
  <c r="D30" i="67"/>
  <c r="CV30" i="67"/>
  <c r="CN30" i="67"/>
  <c r="CF30" i="67"/>
  <c r="BX30" i="67"/>
  <c r="BP30" i="67"/>
  <c r="BH30" i="67"/>
  <c r="AZ30" i="67"/>
  <c r="AR30" i="67"/>
  <c r="AJ30" i="67"/>
  <c r="CU30" i="67"/>
  <c r="CE30" i="67"/>
  <c r="BW30" i="67"/>
  <c r="BO30" i="67"/>
  <c r="BG30" i="67"/>
  <c r="AY30" i="67"/>
  <c r="AQ30" i="67"/>
  <c r="AI30" i="67"/>
  <c r="BM30" i="67"/>
  <c r="AO30" i="67"/>
  <c r="AH30" i="67"/>
  <c r="CD30" i="67"/>
  <c r="AG30" i="67"/>
  <c r="BV30" i="67"/>
  <c r="AX30" i="67"/>
  <c r="CT30" i="67"/>
  <c r="BU30" i="67"/>
  <c r="AW30" i="67"/>
  <c r="CS30" i="67"/>
  <c r="BN30" i="67"/>
  <c r="AP30" i="67"/>
  <c r="A32" i="67"/>
  <c r="B31" i="67"/>
  <c r="A32" i="66"/>
  <c r="B31" i="66"/>
  <c r="BB29" i="66"/>
  <c r="BA29" i="66"/>
  <c r="N29" i="66" s="1"/>
  <c r="CU30" i="66"/>
  <c r="CE30" i="66"/>
  <c r="BW30" i="66"/>
  <c r="BO30" i="66"/>
  <c r="BG30" i="66"/>
  <c r="AY30" i="66"/>
  <c r="AQ30" i="66"/>
  <c r="AI30" i="66"/>
  <c r="CT30" i="66"/>
  <c r="CD30" i="66"/>
  <c r="BV30" i="66"/>
  <c r="BN30" i="66"/>
  <c r="AX30" i="66"/>
  <c r="AP30" i="66"/>
  <c r="AH30" i="66"/>
  <c r="CS30" i="66"/>
  <c r="BU30" i="66"/>
  <c r="BM30" i="66"/>
  <c r="AW30" i="66"/>
  <c r="AO30" i="66"/>
  <c r="AG30" i="66"/>
  <c r="CN30" i="66"/>
  <c r="BP30" i="66"/>
  <c r="AS30" i="66"/>
  <c r="BZ30" i="66"/>
  <c r="BL30" i="66"/>
  <c r="AR30" i="66"/>
  <c r="D30" i="66"/>
  <c r="CW30" i="66"/>
  <c r="BY30" i="66"/>
  <c r="BK30" i="66"/>
  <c r="AN30" i="66"/>
  <c r="CV30" i="66"/>
  <c r="CH30" i="66"/>
  <c r="BX30" i="66"/>
  <c r="BJ30" i="66"/>
  <c r="AM30" i="66"/>
  <c r="CR30" i="66"/>
  <c r="BT30" i="66"/>
  <c r="BI30" i="66"/>
  <c r="AZ30" i="66"/>
  <c r="AL30" i="66"/>
  <c r="CF30" i="66"/>
  <c r="BS30" i="66"/>
  <c r="BH30" i="66"/>
  <c r="AV30" i="66"/>
  <c r="AK30" i="66"/>
  <c r="CP30" i="66"/>
  <c r="BR30" i="66"/>
  <c r="AU30" i="66"/>
  <c r="AJ30" i="66"/>
  <c r="CO30" i="66"/>
  <c r="BQ30" i="66"/>
  <c r="AT30" i="66"/>
  <c r="BB28" i="65"/>
  <c r="BA28" i="65"/>
  <c r="N28" i="65" s="1"/>
  <c r="CA28" i="65"/>
  <c r="O28" i="65" s="1"/>
  <c r="CU29" i="65"/>
  <c r="CE29" i="65"/>
  <c r="BW29" i="65"/>
  <c r="BO29" i="65"/>
  <c r="AY29" i="65"/>
  <c r="AQ29" i="65"/>
  <c r="AI29" i="65"/>
  <c r="CT29" i="65"/>
  <c r="BV29" i="65"/>
  <c r="BN29" i="65"/>
  <c r="AX29" i="65"/>
  <c r="AP29" i="65"/>
  <c r="AH29" i="65"/>
  <c r="CS29" i="65"/>
  <c r="BY29" i="65"/>
  <c r="BM29" i="65"/>
  <c r="AT29" i="65"/>
  <c r="AJ29" i="65"/>
  <c r="CR29" i="65"/>
  <c r="CH29" i="65"/>
  <c r="BX29" i="65"/>
  <c r="AS29" i="65"/>
  <c r="AG29" i="65"/>
  <c r="BU29" i="65"/>
  <c r="BK29" i="65"/>
  <c r="AR29" i="65"/>
  <c r="CP29" i="65"/>
  <c r="CF29" i="65"/>
  <c r="BT29" i="65"/>
  <c r="BJ29" i="65"/>
  <c r="AO29" i="65"/>
  <c r="CW29" i="65"/>
  <c r="AN29" i="65"/>
  <c r="CV29" i="65"/>
  <c r="BZ29" i="65"/>
  <c r="AM29" i="65"/>
  <c r="CO29" i="65"/>
  <c r="BS29" i="65"/>
  <c r="AL29" i="65"/>
  <c r="CN29" i="65"/>
  <c r="BR29" i="65"/>
  <c r="AK29" i="65"/>
  <c r="BQ29" i="65"/>
  <c r="AZ29" i="65"/>
  <c r="BP29" i="65"/>
  <c r="AW29" i="65"/>
  <c r="D29" i="65"/>
  <c r="BI29" i="65"/>
  <c r="AV29" i="65"/>
  <c r="BH29" i="65"/>
  <c r="AU29" i="65"/>
  <c r="B30" i="65"/>
  <c r="A31" i="65"/>
  <c r="BB28" i="64"/>
  <c r="BA28" i="64"/>
  <c r="N28" i="64" s="1"/>
  <c r="CT29" i="64"/>
  <c r="CD29" i="64"/>
  <c r="BV29" i="64"/>
  <c r="BN29" i="64"/>
  <c r="AX29" i="64"/>
  <c r="AP29" i="64"/>
  <c r="AH29" i="64"/>
  <c r="CS29" i="64"/>
  <c r="BR29" i="64"/>
  <c r="BI29" i="64"/>
  <c r="AR29" i="64"/>
  <c r="AI29" i="64"/>
  <c r="CR29" i="64"/>
  <c r="BZ29" i="64"/>
  <c r="BQ29" i="64"/>
  <c r="BH29" i="64"/>
  <c r="AZ29" i="64"/>
  <c r="AQ29" i="64"/>
  <c r="AG29" i="64"/>
  <c r="CH29" i="64"/>
  <c r="BY29" i="64"/>
  <c r="BP29" i="64"/>
  <c r="BG29" i="64"/>
  <c r="AY29" i="64"/>
  <c r="AO29" i="64"/>
  <c r="CP29" i="64"/>
  <c r="BX29" i="64"/>
  <c r="BO29" i="64"/>
  <c r="AW29" i="64"/>
  <c r="AN29" i="64"/>
  <c r="CO29" i="64"/>
  <c r="CF29" i="64"/>
  <c r="BW29" i="64"/>
  <c r="BM29" i="64"/>
  <c r="AV29" i="64"/>
  <c r="AM29" i="64"/>
  <c r="CW29" i="64"/>
  <c r="CN29" i="64"/>
  <c r="CE29" i="64"/>
  <c r="BU29" i="64"/>
  <c r="BL29" i="64"/>
  <c r="AU29" i="64"/>
  <c r="AL29" i="64"/>
  <c r="D29" i="64"/>
  <c r="CV29" i="64"/>
  <c r="BT29" i="64"/>
  <c r="BK29" i="64"/>
  <c r="AT29" i="64"/>
  <c r="AK29" i="64"/>
  <c r="CU29" i="64"/>
  <c r="BS29" i="64"/>
  <c r="BJ29" i="64"/>
  <c r="AS29" i="64"/>
  <c r="AJ29" i="64"/>
  <c r="A31" i="64"/>
  <c r="B30" i="64"/>
  <c r="CA28" i="64"/>
  <c r="O28" i="64" s="1"/>
  <c r="A31" i="63"/>
  <c r="B30" i="63"/>
  <c r="BB28" i="63"/>
  <c r="BA28" i="63"/>
  <c r="N28" i="63" s="1"/>
  <c r="CV29" i="63"/>
  <c r="CN29" i="63"/>
  <c r="BX29" i="63"/>
  <c r="BP29" i="63"/>
  <c r="BH29" i="63"/>
  <c r="AZ29" i="63"/>
  <c r="AR29" i="63"/>
  <c r="AJ29" i="63"/>
  <c r="CT29" i="63"/>
  <c r="CD29" i="63"/>
  <c r="BV29" i="63"/>
  <c r="CP29" i="63"/>
  <c r="CE29" i="63"/>
  <c r="BT29" i="63"/>
  <c r="BK29" i="63"/>
  <c r="AS29" i="63"/>
  <c r="AI29" i="63"/>
  <c r="CO29" i="63"/>
  <c r="BS29" i="63"/>
  <c r="BJ29" i="63"/>
  <c r="AQ29" i="63"/>
  <c r="AH29" i="63"/>
  <c r="CW29" i="63"/>
  <c r="BQ29" i="63"/>
  <c r="BG29" i="63"/>
  <c r="AX29" i="63"/>
  <c r="AO29" i="63"/>
  <c r="CR29" i="63"/>
  <c r="BZ29" i="63"/>
  <c r="BL29" i="63"/>
  <c r="AV29" i="63"/>
  <c r="AG29" i="63"/>
  <c r="BY29" i="63"/>
  <c r="AU29" i="63"/>
  <c r="BW29" i="63"/>
  <c r="AT29" i="63"/>
  <c r="BU29" i="63"/>
  <c r="AP29" i="63"/>
  <c r="D29" i="63"/>
  <c r="CH29" i="63"/>
  <c r="BR29" i="63"/>
  <c r="AN29" i="63"/>
  <c r="BO29" i="63"/>
  <c r="AM29" i="63"/>
  <c r="CU29" i="63"/>
  <c r="BN29" i="63"/>
  <c r="AY29" i="63"/>
  <c r="AL29" i="63"/>
  <c r="CS29" i="63"/>
  <c r="BM29" i="63"/>
  <c r="AW29" i="63"/>
  <c r="AK29" i="63"/>
  <c r="CQ30" i="73" l="1"/>
  <c r="CJ30" i="73"/>
  <c r="CG30" i="73"/>
  <c r="CI30" i="73"/>
  <c r="CK30" i="73"/>
  <c r="CL30" i="73"/>
  <c r="CM30" i="73"/>
  <c r="CI30" i="68"/>
  <c r="CJ30" i="68"/>
  <c r="CG30" i="68"/>
  <c r="CL30" i="68"/>
  <c r="CM30" i="68"/>
  <c r="CQ30" i="68"/>
  <c r="CI30" i="69"/>
  <c r="CJ30" i="69"/>
  <c r="CG30" i="69"/>
  <c r="CL30" i="69"/>
  <c r="CM30" i="69"/>
  <c r="CQ30" i="69"/>
  <c r="CI31" i="70"/>
  <c r="CK31" i="70"/>
  <c r="CG31" i="70"/>
  <c r="CL31" i="70"/>
  <c r="CQ31" i="70"/>
  <c r="CM31" i="70"/>
  <c r="CJ31" i="70"/>
  <c r="CJ29" i="72"/>
  <c r="CQ29" i="72"/>
  <c r="CI29" i="72"/>
  <c r="CL29" i="72"/>
  <c r="CM29" i="72"/>
  <c r="CG29" i="72"/>
  <c r="CQ30" i="71"/>
  <c r="CJ30" i="71"/>
  <c r="CG30" i="71"/>
  <c r="CK30" i="71"/>
  <c r="CL30" i="71"/>
  <c r="CM30" i="71"/>
  <c r="CI31" i="67"/>
  <c r="CQ31" i="67"/>
  <c r="CG31" i="67"/>
  <c r="CJ31" i="67"/>
  <c r="CK31" i="67"/>
  <c r="CL31" i="67"/>
  <c r="CM31" i="67"/>
  <c r="CI31" i="66"/>
  <c r="CG31" i="66"/>
  <c r="CM31" i="66"/>
  <c r="CJ31" i="66"/>
  <c r="CK31" i="66"/>
  <c r="CQ31" i="66"/>
  <c r="CL31" i="66"/>
  <c r="CI30" i="65"/>
  <c r="CJ30" i="65"/>
  <c r="CK30" i="65"/>
  <c r="CL30" i="65"/>
  <c r="CM30" i="65"/>
  <c r="CG30" i="65"/>
  <c r="CQ30" i="65"/>
  <c r="CI30" i="64"/>
  <c r="CL30" i="64"/>
  <c r="CM30" i="64"/>
  <c r="CG30" i="64"/>
  <c r="CJ30" i="64"/>
  <c r="CK30" i="64"/>
  <c r="CQ30" i="64"/>
  <c r="CI30" i="63"/>
  <c r="CJ30" i="63"/>
  <c r="CK30" i="63"/>
  <c r="CL30" i="63"/>
  <c r="CM30" i="63"/>
  <c r="CQ30" i="63"/>
  <c r="CX30" i="67"/>
  <c r="P30" i="67" s="1"/>
  <c r="CX29" i="64"/>
  <c r="P29" i="64" s="1"/>
  <c r="CX30" i="70"/>
  <c r="P30" i="70" s="1"/>
  <c r="CX29" i="73"/>
  <c r="P29" i="73" s="1"/>
  <c r="CX29" i="71"/>
  <c r="P29" i="71" s="1"/>
  <c r="Q28" i="65"/>
  <c r="Q28" i="73"/>
  <c r="Q29" i="67"/>
  <c r="CA29" i="73"/>
  <c r="O29" i="73" s="1"/>
  <c r="A32" i="73"/>
  <c r="B31" i="73"/>
  <c r="CT30" i="73"/>
  <c r="CD30" i="73"/>
  <c r="BV30" i="73"/>
  <c r="BN30" i="73"/>
  <c r="AX30" i="73"/>
  <c r="AP30" i="73"/>
  <c r="AH30" i="73"/>
  <c r="CS30" i="73"/>
  <c r="BU30" i="73"/>
  <c r="BM30" i="73"/>
  <c r="AW30" i="73"/>
  <c r="AO30" i="73"/>
  <c r="AG30" i="73"/>
  <c r="BS30" i="73"/>
  <c r="BK30" i="73"/>
  <c r="BZ30" i="73"/>
  <c r="BO30" i="73"/>
  <c r="AT30" i="73"/>
  <c r="AJ30" i="73"/>
  <c r="CW30" i="73"/>
  <c r="BY30" i="73"/>
  <c r="BL30" i="73"/>
  <c r="AS30" i="73"/>
  <c r="AI30" i="73"/>
  <c r="CV30" i="73"/>
  <c r="CH30" i="73"/>
  <c r="BX30" i="73"/>
  <c r="BJ30" i="73"/>
  <c r="AR30" i="73"/>
  <c r="CU30" i="73"/>
  <c r="BW30" i="73"/>
  <c r="BI30" i="73"/>
  <c r="AQ30" i="73"/>
  <c r="CR30" i="73"/>
  <c r="CF30" i="73"/>
  <c r="BT30" i="73"/>
  <c r="BH30" i="73"/>
  <c r="AZ30" i="73"/>
  <c r="AN30" i="73"/>
  <c r="D30" i="73"/>
  <c r="CP30" i="73"/>
  <c r="CE30" i="73"/>
  <c r="BR30" i="73"/>
  <c r="BG30" i="73"/>
  <c r="AY30" i="73"/>
  <c r="AM30" i="73"/>
  <c r="CO30" i="73"/>
  <c r="BQ30" i="73"/>
  <c r="AV30" i="73"/>
  <c r="AL30" i="73"/>
  <c r="CN30" i="73"/>
  <c r="BP30" i="73"/>
  <c r="AU30" i="73"/>
  <c r="AK30" i="73"/>
  <c r="BB29" i="73"/>
  <c r="BA29" i="73"/>
  <c r="N29" i="73" s="1"/>
  <c r="B30" i="72"/>
  <c r="A31" i="72"/>
  <c r="CP29" i="72"/>
  <c r="CH29" i="72"/>
  <c r="BZ29" i="72"/>
  <c r="BR29" i="72"/>
  <c r="BJ29" i="72"/>
  <c r="AT29" i="72"/>
  <c r="AL29" i="72"/>
  <c r="CV29" i="72"/>
  <c r="CN29" i="72"/>
  <c r="BP29" i="72"/>
  <c r="BH29" i="72"/>
  <c r="AZ29" i="72"/>
  <c r="AR29" i="72"/>
  <c r="AJ29" i="72"/>
  <c r="CE29" i="72"/>
  <c r="BW29" i="72"/>
  <c r="BO29" i="72"/>
  <c r="BG29" i="72"/>
  <c r="AY29" i="72"/>
  <c r="AQ29" i="72"/>
  <c r="AI29" i="72"/>
  <c r="CT29" i="72"/>
  <c r="CD29" i="72"/>
  <c r="BV29" i="72"/>
  <c r="AX29" i="72"/>
  <c r="AP29" i="72"/>
  <c r="AH29" i="72"/>
  <c r="CS29" i="72"/>
  <c r="BU29" i="72"/>
  <c r="BM29" i="72"/>
  <c r="AW29" i="72"/>
  <c r="AO29" i="72"/>
  <c r="AG29" i="72"/>
  <c r="BY29" i="72"/>
  <c r="AM29" i="72"/>
  <c r="CO29" i="72"/>
  <c r="BT29" i="72"/>
  <c r="AK29" i="72"/>
  <c r="BS29" i="72"/>
  <c r="BQ29" i="72"/>
  <c r="D29" i="72"/>
  <c r="BL29" i="72"/>
  <c r="AV29" i="72"/>
  <c r="BK29" i="72"/>
  <c r="AU29" i="72"/>
  <c r="CW29" i="72"/>
  <c r="AS29" i="72"/>
  <c r="CR29" i="72"/>
  <c r="AN29" i="72"/>
  <c r="BB28" i="72"/>
  <c r="BA28" i="72"/>
  <c r="N28" i="72" s="1"/>
  <c r="CT30" i="71"/>
  <c r="BN30" i="71"/>
  <c r="AX30" i="71"/>
  <c r="AP30" i="71"/>
  <c r="AH30" i="71"/>
  <c r="BU30" i="71"/>
  <c r="BM30" i="71"/>
  <c r="AW30" i="71"/>
  <c r="AO30" i="71"/>
  <c r="AG30" i="71"/>
  <c r="CR30" i="71"/>
  <c r="BT30" i="71"/>
  <c r="AV30" i="71"/>
  <c r="AN30" i="71"/>
  <c r="CP30" i="71"/>
  <c r="CH30" i="71"/>
  <c r="BZ30" i="71"/>
  <c r="BR30" i="71"/>
  <c r="BJ30" i="71"/>
  <c r="AT30" i="71"/>
  <c r="AL30" i="71"/>
  <c r="CV30" i="71"/>
  <c r="CF30" i="71"/>
  <c r="BX30" i="71"/>
  <c r="BP30" i="71"/>
  <c r="BH30" i="71"/>
  <c r="AZ30" i="71"/>
  <c r="AR30" i="71"/>
  <c r="AJ30" i="71"/>
  <c r="CW30" i="71"/>
  <c r="BK30" i="71"/>
  <c r="AY30" i="71"/>
  <c r="CU30" i="71"/>
  <c r="BI30" i="71"/>
  <c r="AU30" i="71"/>
  <c r="AS30" i="71"/>
  <c r="CO30" i="71"/>
  <c r="BY30" i="71"/>
  <c r="AQ30" i="71"/>
  <c r="BW30" i="71"/>
  <c r="AM30" i="71"/>
  <c r="BS30" i="71"/>
  <c r="AK30" i="71"/>
  <c r="AI30" i="71"/>
  <c r="D30" i="71"/>
  <c r="BO30" i="71"/>
  <c r="CE30" i="71"/>
  <c r="A32" i="71"/>
  <c r="B31" i="71"/>
  <c r="BB29" i="71"/>
  <c r="BA29" i="71"/>
  <c r="N29" i="71" s="1"/>
  <c r="CA29" i="71"/>
  <c r="O29" i="71" s="1"/>
  <c r="Q28" i="71"/>
  <c r="BB30" i="70"/>
  <c r="BA30" i="70"/>
  <c r="N30" i="70" s="1"/>
  <c r="B32" i="70"/>
  <c r="A33" i="70"/>
  <c r="BS31" i="70"/>
  <c r="BK31" i="70"/>
  <c r="AU31" i="70"/>
  <c r="AM31" i="70"/>
  <c r="CV31" i="70"/>
  <c r="CN31" i="70"/>
  <c r="CF31" i="70"/>
  <c r="BX31" i="70"/>
  <c r="BP31" i="70"/>
  <c r="BH31" i="70"/>
  <c r="AZ31" i="70"/>
  <c r="AR31" i="70"/>
  <c r="AJ31" i="70"/>
  <c r="CS31" i="70"/>
  <c r="CH31" i="70"/>
  <c r="BW31" i="70"/>
  <c r="BM31" i="70"/>
  <c r="AS31" i="70"/>
  <c r="AH31" i="70"/>
  <c r="CR31" i="70"/>
  <c r="BV31" i="70"/>
  <c r="BL31" i="70"/>
  <c r="AQ31" i="70"/>
  <c r="AG31" i="70"/>
  <c r="CP31" i="70"/>
  <c r="CE31" i="70"/>
  <c r="BU31" i="70"/>
  <c r="BJ31" i="70"/>
  <c r="AP31" i="70"/>
  <c r="CO31" i="70"/>
  <c r="CD31" i="70"/>
  <c r="BT31" i="70"/>
  <c r="BI31" i="70"/>
  <c r="AY31" i="70"/>
  <c r="AO31" i="70"/>
  <c r="BR31" i="70"/>
  <c r="BG31" i="70"/>
  <c r="AX31" i="70"/>
  <c r="AN31" i="70"/>
  <c r="D31" i="70"/>
  <c r="CW31" i="70"/>
  <c r="BQ31" i="70"/>
  <c r="AW31" i="70"/>
  <c r="AL31" i="70"/>
  <c r="CU31" i="70"/>
  <c r="BZ31" i="70"/>
  <c r="BO31" i="70"/>
  <c r="AV31" i="70"/>
  <c r="AK31" i="70"/>
  <c r="CT31" i="70"/>
  <c r="BY31" i="70"/>
  <c r="BN31" i="70"/>
  <c r="AT31" i="70"/>
  <c r="AI31" i="70"/>
  <c r="CA30" i="70"/>
  <c r="O30" i="70" s="1"/>
  <c r="BK30" i="69"/>
  <c r="AU30" i="69"/>
  <c r="AM30" i="69"/>
  <c r="CH30" i="69"/>
  <c r="BZ30" i="69"/>
  <c r="BR30" i="69"/>
  <c r="BJ30" i="69"/>
  <c r="AT30" i="69"/>
  <c r="AL30" i="69"/>
  <c r="CT30" i="69"/>
  <c r="BX30" i="69"/>
  <c r="AS30" i="69"/>
  <c r="AI30" i="69"/>
  <c r="CS30" i="69"/>
  <c r="BW30" i="69"/>
  <c r="BM30" i="69"/>
  <c r="AR30" i="69"/>
  <c r="AH30" i="69"/>
  <c r="CR30" i="69"/>
  <c r="BV30" i="69"/>
  <c r="BL30" i="69"/>
  <c r="AQ30" i="69"/>
  <c r="AG30" i="69"/>
  <c r="CO30" i="69"/>
  <c r="CE30" i="69"/>
  <c r="BU30" i="69"/>
  <c r="AZ30" i="69"/>
  <c r="AP30" i="69"/>
  <c r="CN30" i="69"/>
  <c r="CD30" i="69"/>
  <c r="BT30" i="69"/>
  <c r="BH30" i="69"/>
  <c r="AY30" i="69"/>
  <c r="AO30" i="69"/>
  <c r="D30" i="69"/>
  <c r="CW30" i="69"/>
  <c r="BQ30" i="69"/>
  <c r="BG30" i="69"/>
  <c r="AX30" i="69"/>
  <c r="AN30" i="69"/>
  <c r="CV30" i="69"/>
  <c r="BP30" i="69"/>
  <c r="AW30" i="69"/>
  <c r="AK30" i="69"/>
  <c r="BO30" i="69"/>
  <c r="CU30" i="69"/>
  <c r="AV30" i="69"/>
  <c r="AJ30" i="69"/>
  <c r="BY30" i="69"/>
  <c r="BB29" i="69"/>
  <c r="BA29" i="69"/>
  <c r="N29" i="69" s="1"/>
  <c r="A32" i="69"/>
  <c r="B31" i="69"/>
  <c r="B31" i="68"/>
  <c r="A32" i="68"/>
  <c r="CV30" i="68"/>
  <c r="CN30" i="68"/>
  <c r="BX30" i="68"/>
  <c r="BP30" i="68"/>
  <c r="CS30" i="68"/>
  <c r="CT30" i="68"/>
  <c r="BZ30" i="68"/>
  <c r="BQ30" i="68"/>
  <c r="BH30" i="68"/>
  <c r="AZ30" i="68"/>
  <c r="AR30" i="68"/>
  <c r="AJ30" i="68"/>
  <c r="CR30" i="68"/>
  <c r="CH30" i="68"/>
  <c r="BY30" i="68"/>
  <c r="BO30" i="68"/>
  <c r="BG30" i="68"/>
  <c r="AY30" i="68"/>
  <c r="AQ30" i="68"/>
  <c r="AI30" i="68"/>
  <c r="BW30" i="68"/>
  <c r="AX30" i="68"/>
  <c r="AP30" i="68"/>
  <c r="AH30" i="68"/>
  <c r="CE30" i="68"/>
  <c r="BV30" i="68"/>
  <c r="BM30" i="68"/>
  <c r="AW30" i="68"/>
  <c r="AO30" i="68"/>
  <c r="AG30" i="68"/>
  <c r="CO30" i="68"/>
  <c r="CD30" i="68"/>
  <c r="BU30" i="68"/>
  <c r="BL30" i="68"/>
  <c r="AV30" i="68"/>
  <c r="AN30" i="68"/>
  <c r="BT30" i="68"/>
  <c r="BK30" i="68"/>
  <c r="AU30" i="68"/>
  <c r="AM30" i="68"/>
  <c r="CW30" i="68"/>
  <c r="BJ30" i="68"/>
  <c r="AT30" i="68"/>
  <c r="AS30" i="68"/>
  <c r="BR30" i="68"/>
  <c r="AL30" i="68"/>
  <c r="AK30" i="68"/>
  <c r="D30" i="68"/>
  <c r="CU30" i="68"/>
  <c r="BB29" i="68"/>
  <c r="BA29" i="68"/>
  <c r="N29" i="68" s="1"/>
  <c r="CV31" i="67"/>
  <c r="CF31" i="67"/>
  <c r="CS31" i="67"/>
  <c r="CP31" i="67"/>
  <c r="CE31" i="67"/>
  <c r="BW31" i="67"/>
  <c r="BO31" i="67"/>
  <c r="AY31" i="67"/>
  <c r="AQ31" i="67"/>
  <c r="AI31" i="67"/>
  <c r="CO31" i="67"/>
  <c r="BV31" i="67"/>
  <c r="BN31" i="67"/>
  <c r="AX31" i="67"/>
  <c r="AP31" i="67"/>
  <c r="AH31" i="67"/>
  <c r="BU31" i="67"/>
  <c r="BM31" i="67"/>
  <c r="AW31" i="67"/>
  <c r="AO31" i="67"/>
  <c r="AG31" i="67"/>
  <c r="CW31" i="67"/>
  <c r="BT31" i="67"/>
  <c r="BL31" i="67"/>
  <c r="AV31" i="67"/>
  <c r="AN31" i="67"/>
  <c r="CU31" i="67"/>
  <c r="BS31" i="67"/>
  <c r="BK31" i="67"/>
  <c r="AU31" i="67"/>
  <c r="AM31" i="67"/>
  <c r="CT31" i="67"/>
  <c r="BZ31" i="67"/>
  <c r="BR31" i="67"/>
  <c r="BJ31" i="67"/>
  <c r="AT31" i="67"/>
  <c r="AL31" i="67"/>
  <c r="BX31" i="67"/>
  <c r="BP31" i="67"/>
  <c r="BH31" i="67"/>
  <c r="AZ31" i="67"/>
  <c r="AR31" i="67"/>
  <c r="AJ31" i="67"/>
  <c r="CH31" i="67"/>
  <c r="BY31" i="67"/>
  <c r="AS31" i="67"/>
  <c r="AK31" i="67"/>
  <c r="D31" i="67"/>
  <c r="BI31" i="67"/>
  <c r="CR31" i="67"/>
  <c r="B32" i="67"/>
  <c r="A33" i="67"/>
  <c r="BB30" i="67"/>
  <c r="BA30" i="67"/>
  <c r="N30" i="67" s="1"/>
  <c r="CA30" i="67"/>
  <c r="O30" i="67" s="1"/>
  <c r="BB30" i="66"/>
  <c r="BA30" i="66"/>
  <c r="N30" i="66" s="1"/>
  <c r="CA30" i="66"/>
  <c r="O30" i="66" s="1"/>
  <c r="CV31" i="66"/>
  <c r="CN31" i="66"/>
  <c r="CS31" i="66"/>
  <c r="CR31" i="66"/>
  <c r="CH31" i="66"/>
  <c r="BZ31" i="66"/>
  <c r="BR31" i="66"/>
  <c r="BJ31" i="66"/>
  <c r="AT31" i="66"/>
  <c r="AL31" i="66"/>
  <c r="BY31" i="66"/>
  <c r="BQ31" i="66"/>
  <c r="BI31" i="66"/>
  <c r="AS31" i="66"/>
  <c r="AK31" i="66"/>
  <c r="D31" i="66"/>
  <c r="CP31" i="66"/>
  <c r="CF31" i="66"/>
  <c r="BX31" i="66"/>
  <c r="BP31" i="66"/>
  <c r="BH31" i="66"/>
  <c r="AZ31" i="66"/>
  <c r="AR31" i="66"/>
  <c r="AJ31" i="66"/>
  <c r="BM31" i="66"/>
  <c r="AY31" i="66"/>
  <c r="AN31" i="66"/>
  <c r="BW31" i="66"/>
  <c r="BL31" i="66"/>
  <c r="AX31" i="66"/>
  <c r="AM31" i="66"/>
  <c r="BV31" i="66"/>
  <c r="BK31" i="66"/>
  <c r="AW31" i="66"/>
  <c r="AI31" i="66"/>
  <c r="BU31" i="66"/>
  <c r="BG31" i="66"/>
  <c r="AV31" i="66"/>
  <c r="AH31" i="66"/>
  <c r="CW31" i="66"/>
  <c r="CE31" i="66"/>
  <c r="BT31" i="66"/>
  <c r="AU31" i="66"/>
  <c r="AG31" i="66"/>
  <c r="CU31" i="66"/>
  <c r="CD31" i="66"/>
  <c r="BS31" i="66"/>
  <c r="AQ31" i="66"/>
  <c r="CT31" i="66"/>
  <c r="BO31" i="66"/>
  <c r="AP31" i="66"/>
  <c r="CO31" i="66"/>
  <c r="BN31" i="66"/>
  <c r="AO31" i="66"/>
  <c r="B32" i="66"/>
  <c r="A33" i="66"/>
  <c r="BB29" i="65"/>
  <c r="BA29" i="65"/>
  <c r="N29" i="65" s="1"/>
  <c r="CV30" i="65"/>
  <c r="CN30" i="65"/>
  <c r="CF30" i="65"/>
  <c r="BX30" i="65"/>
  <c r="BP30" i="65"/>
  <c r="CU30" i="65"/>
  <c r="BT30" i="65"/>
  <c r="BK30" i="65"/>
  <c r="AT30" i="65"/>
  <c r="AL30" i="65"/>
  <c r="CT30" i="65"/>
  <c r="BS30" i="65"/>
  <c r="BJ30" i="65"/>
  <c r="AS30" i="65"/>
  <c r="AK30" i="65"/>
  <c r="D30" i="65"/>
  <c r="CS30" i="65"/>
  <c r="CH30" i="65"/>
  <c r="BY30" i="65"/>
  <c r="AZ30" i="65"/>
  <c r="AP30" i="65"/>
  <c r="CR30" i="65"/>
  <c r="BW30" i="65"/>
  <c r="BL30" i="65"/>
  <c r="AY30" i="65"/>
  <c r="AO30" i="65"/>
  <c r="BV30" i="65"/>
  <c r="BI30" i="65"/>
  <c r="AX30" i="65"/>
  <c r="AN30" i="65"/>
  <c r="CP30" i="65"/>
  <c r="CD30" i="65"/>
  <c r="BU30" i="65"/>
  <c r="BG30" i="65"/>
  <c r="AW30" i="65"/>
  <c r="AM30" i="65"/>
  <c r="BQ30" i="65"/>
  <c r="AU30" i="65"/>
  <c r="AI30" i="65"/>
  <c r="BZ30" i="65"/>
  <c r="AV30" i="65"/>
  <c r="BR30" i="65"/>
  <c r="AR30" i="65"/>
  <c r="BO30" i="65"/>
  <c r="AQ30" i="65"/>
  <c r="CW30" i="65"/>
  <c r="BN30" i="65"/>
  <c r="AJ30" i="65"/>
  <c r="CO30" i="65"/>
  <c r="AH30" i="65"/>
  <c r="AG30" i="65"/>
  <c r="B31" i="65"/>
  <c r="A32" i="65"/>
  <c r="BB29" i="64"/>
  <c r="BA29" i="64"/>
  <c r="N29" i="64" s="1"/>
  <c r="A32" i="64"/>
  <c r="B31" i="64"/>
  <c r="CA29" i="64"/>
  <c r="O29" i="64" s="1"/>
  <c r="CW30" i="64"/>
  <c r="CO30" i="64"/>
  <c r="BY30" i="64"/>
  <c r="BQ30" i="64"/>
  <c r="BI30" i="64"/>
  <c r="AS30" i="64"/>
  <c r="AK30" i="64"/>
  <c r="D30" i="64"/>
  <c r="CV30" i="64"/>
  <c r="CN30" i="64"/>
  <c r="CF30" i="64"/>
  <c r="BX30" i="64"/>
  <c r="BP30" i="64"/>
  <c r="BH30" i="64"/>
  <c r="AZ30" i="64"/>
  <c r="AR30" i="64"/>
  <c r="AJ30" i="64"/>
  <c r="CU30" i="64"/>
  <c r="CE30" i="64"/>
  <c r="BW30" i="64"/>
  <c r="BO30" i="64"/>
  <c r="BG30" i="64"/>
  <c r="AY30" i="64"/>
  <c r="AQ30" i="64"/>
  <c r="AI30" i="64"/>
  <c r="CP30" i="64"/>
  <c r="BN30" i="64"/>
  <c r="AO30" i="64"/>
  <c r="BM30" i="64"/>
  <c r="AN30" i="64"/>
  <c r="BZ30" i="64"/>
  <c r="BL30" i="64"/>
  <c r="AX30" i="64"/>
  <c r="AM30" i="64"/>
  <c r="BV30" i="64"/>
  <c r="BK30" i="64"/>
  <c r="AW30" i="64"/>
  <c r="AL30" i="64"/>
  <c r="CT30" i="64"/>
  <c r="BU30" i="64"/>
  <c r="BJ30" i="64"/>
  <c r="AV30" i="64"/>
  <c r="AH30" i="64"/>
  <c r="CS30" i="64"/>
  <c r="CH30" i="64"/>
  <c r="BT30" i="64"/>
  <c r="AU30" i="64"/>
  <c r="AG30" i="64"/>
  <c r="CR30" i="64"/>
  <c r="CD30" i="64"/>
  <c r="BS30" i="64"/>
  <c r="AT30" i="64"/>
  <c r="BR30" i="64"/>
  <c r="AP30" i="64"/>
  <c r="Q28" i="64"/>
  <c r="CR30" i="63"/>
  <c r="BT30" i="63"/>
  <c r="BL30" i="63"/>
  <c r="AV30" i="63"/>
  <c r="AN30" i="63"/>
  <c r="BS30" i="63"/>
  <c r="BK30" i="63"/>
  <c r="AU30" i="63"/>
  <c r="AM30" i="63"/>
  <c r="CW30" i="63"/>
  <c r="CO30" i="63"/>
  <c r="BY30" i="63"/>
  <c r="BQ30" i="63"/>
  <c r="BI30" i="63"/>
  <c r="AS30" i="63"/>
  <c r="AK30" i="63"/>
  <c r="D30" i="63"/>
  <c r="CT30" i="63"/>
  <c r="CF30" i="63"/>
  <c r="BV30" i="63"/>
  <c r="BH30" i="63"/>
  <c r="AY30" i="63"/>
  <c r="AL30" i="63"/>
  <c r="CS30" i="63"/>
  <c r="CE30" i="63"/>
  <c r="BU30" i="63"/>
  <c r="BG30" i="63"/>
  <c r="AX30" i="63"/>
  <c r="AJ30" i="63"/>
  <c r="CP30" i="63"/>
  <c r="CD30" i="63"/>
  <c r="BR30" i="63"/>
  <c r="AW30" i="63"/>
  <c r="AI30" i="63"/>
  <c r="CN30" i="63"/>
  <c r="BP30" i="63"/>
  <c r="AT30" i="63"/>
  <c r="AH30" i="63"/>
  <c r="CV30" i="63"/>
  <c r="BZ30" i="63"/>
  <c r="AO30" i="63"/>
  <c r="CU30" i="63"/>
  <c r="BX30" i="63"/>
  <c r="AG30" i="63"/>
  <c r="BW30" i="63"/>
  <c r="BO30" i="63"/>
  <c r="BN30" i="63"/>
  <c r="AZ30" i="63"/>
  <c r="CH30" i="63"/>
  <c r="BM30" i="63"/>
  <c r="AR30" i="63"/>
  <c r="AQ30" i="63"/>
  <c r="AP30" i="63"/>
  <c r="A32" i="63"/>
  <c r="B31" i="63"/>
  <c r="BB29" i="63"/>
  <c r="BA29" i="63"/>
  <c r="N29" i="63" s="1"/>
  <c r="CI31" i="71" l="1"/>
  <c r="CQ31" i="71"/>
  <c r="CL31" i="71"/>
  <c r="CM31" i="71"/>
  <c r="CG31" i="71"/>
  <c r="CK31" i="71"/>
  <c r="CK31" i="73"/>
  <c r="CQ31" i="73"/>
  <c r="CL31" i="73"/>
  <c r="CM31" i="73"/>
  <c r="CG31" i="73"/>
  <c r="CI31" i="73"/>
  <c r="CJ31" i="73"/>
  <c r="CG32" i="70"/>
  <c r="CQ32" i="70"/>
  <c r="CJ32" i="70"/>
  <c r="CK32" i="70"/>
  <c r="CL32" i="70"/>
  <c r="CM32" i="70"/>
  <c r="CI31" i="68"/>
  <c r="CK31" i="68"/>
  <c r="CQ31" i="68"/>
  <c r="CL31" i="68"/>
  <c r="CM31" i="68"/>
  <c r="CJ31" i="68"/>
  <c r="CI32" i="67"/>
  <c r="CQ32" i="67"/>
  <c r="CL32" i="67"/>
  <c r="CG32" i="67"/>
  <c r="CM32" i="67"/>
  <c r="CJ32" i="67"/>
  <c r="CK32" i="67"/>
  <c r="CI31" i="69"/>
  <c r="CJ31" i="69"/>
  <c r="CK31" i="69"/>
  <c r="CQ31" i="69"/>
  <c r="CM31" i="69"/>
  <c r="CQ30" i="72"/>
  <c r="CI30" i="72"/>
  <c r="CJ30" i="72"/>
  <c r="CK30" i="72"/>
  <c r="CM30" i="72"/>
  <c r="CI32" i="66"/>
  <c r="CK32" i="66"/>
  <c r="CQ32" i="66"/>
  <c r="CL32" i="66"/>
  <c r="CG32" i="66"/>
  <c r="CJ32" i="66"/>
  <c r="CM32" i="66"/>
  <c r="CI31" i="65"/>
  <c r="CG31" i="65"/>
  <c r="CJ31" i="65"/>
  <c r="CK31" i="65"/>
  <c r="CL31" i="65"/>
  <c r="CQ31" i="65"/>
  <c r="CM31" i="65"/>
  <c r="CI31" i="64"/>
  <c r="CQ31" i="64"/>
  <c r="CJ31" i="64"/>
  <c r="CK31" i="64"/>
  <c r="CL31" i="64"/>
  <c r="CM31" i="64"/>
  <c r="CG31" i="64"/>
  <c r="CI31" i="63"/>
  <c r="CJ31" i="63"/>
  <c r="CK31" i="63"/>
  <c r="CL31" i="63"/>
  <c r="CM31" i="63"/>
  <c r="CG31" i="63"/>
  <c r="CQ31" i="63"/>
  <c r="CX31" i="70"/>
  <c r="P31" i="70" s="1"/>
  <c r="CX30" i="64"/>
  <c r="P30" i="64" s="1"/>
  <c r="CX30" i="73"/>
  <c r="P30" i="73" s="1"/>
  <c r="Q29" i="73"/>
  <c r="Q29" i="71"/>
  <c r="Q30" i="67"/>
  <c r="CA30" i="73"/>
  <c r="O30" i="73" s="1"/>
  <c r="CV31" i="73"/>
  <c r="CN31" i="73"/>
  <c r="CF31" i="73"/>
  <c r="CH31" i="73"/>
  <c r="BY31" i="73"/>
  <c r="BQ31" i="73"/>
  <c r="BI31" i="73"/>
  <c r="AS31" i="73"/>
  <c r="AK31" i="73"/>
  <c r="D31" i="73"/>
  <c r="CP31" i="73"/>
  <c r="BX31" i="73"/>
  <c r="BP31" i="73"/>
  <c r="BH31" i="73"/>
  <c r="AZ31" i="73"/>
  <c r="AR31" i="73"/>
  <c r="AJ31" i="73"/>
  <c r="CW31" i="73"/>
  <c r="CD31" i="73"/>
  <c r="BV31" i="73"/>
  <c r="BN31" i="73"/>
  <c r="AX31" i="73"/>
  <c r="AP31" i="73"/>
  <c r="AH31" i="73"/>
  <c r="BW31" i="73"/>
  <c r="BK31" i="73"/>
  <c r="AY31" i="73"/>
  <c r="AM31" i="73"/>
  <c r="BU31" i="73"/>
  <c r="BJ31" i="73"/>
  <c r="AW31" i="73"/>
  <c r="AL31" i="73"/>
  <c r="CU31" i="73"/>
  <c r="BT31" i="73"/>
  <c r="BG31" i="73"/>
  <c r="AV31" i="73"/>
  <c r="AI31" i="73"/>
  <c r="CT31" i="73"/>
  <c r="CE31" i="73"/>
  <c r="BS31" i="73"/>
  <c r="AU31" i="73"/>
  <c r="AG31" i="73"/>
  <c r="CS31" i="73"/>
  <c r="BR31" i="73"/>
  <c r="AT31" i="73"/>
  <c r="CR31" i="73"/>
  <c r="BO31" i="73"/>
  <c r="AQ31" i="73"/>
  <c r="CO31" i="73"/>
  <c r="BM31" i="73"/>
  <c r="AO31" i="73"/>
  <c r="BZ31" i="73"/>
  <c r="BL31" i="73"/>
  <c r="AN31" i="73"/>
  <c r="BB30" i="73"/>
  <c r="BA30" i="73"/>
  <c r="N30" i="73" s="1"/>
  <c r="A33" i="73"/>
  <c r="B32" i="73"/>
  <c r="BB29" i="72"/>
  <c r="BA29" i="72"/>
  <c r="N29" i="72" s="1"/>
  <c r="B31" i="72"/>
  <c r="A32" i="72"/>
  <c r="CN30" i="72"/>
  <c r="CF30" i="72"/>
  <c r="BX30" i="72"/>
  <c r="BP30" i="72"/>
  <c r="CS30" i="72"/>
  <c r="BU30" i="72"/>
  <c r="BW30" i="72"/>
  <c r="BM30" i="72"/>
  <c r="AW30" i="72"/>
  <c r="AO30" i="72"/>
  <c r="AG30" i="72"/>
  <c r="CO30" i="72"/>
  <c r="CD30" i="72"/>
  <c r="BT30" i="72"/>
  <c r="BK30" i="72"/>
  <c r="AU30" i="72"/>
  <c r="AM30" i="72"/>
  <c r="BS30" i="72"/>
  <c r="AT30" i="72"/>
  <c r="AL30" i="72"/>
  <c r="CW30" i="72"/>
  <c r="BR30" i="72"/>
  <c r="BI30" i="72"/>
  <c r="AS30" i="72"/>
  <c r="AK30" i="72"/>
  <c r="D30" i="72"/>
  <c r="CU30" i="72"/>
  <c r="BQ30" i="72"/>
  <c r="BH30" i="72"/>
  <c r="AZ30" i="72"/>
  <c r="AR30" i="72"/>
  <c r="AJ30" i="72"/>
  <c r="CT30" i="72"/>
  <c r="BZ30" i="72"/>
  <c r="AN30" i="72"/>
  <c r="CR30" i="72"/>
  <c r="AI30" i="72"/>
  <c r="CP30" i="72"/>
  <c r="BV30" i="72"/>
  <c r="AH30" i="72"/>
  <c r="AY30" i="72"/>
  <c r="CH30" i="72"/>
  <c r="BN30" i="72"/>
  <c r="AX30" i="72"/>
  <c r="CE30" i="72"/>
  <c r="BL30" i="72"/>
  <c r="AV30" i="72"/>
  <c r="BG30" i="72"/>
  <c r="AQ30" i="72"/>
  <c r="AP30" i="72"/>
  <c r="BB30" i="71"/>
  <c r="BA30" i="71"/>
  <c r="N30" i="71" s="1"/>
  <c r="CV31" i="71"/>
  <c r="CN31" i="71"/>
  <c r="CS31" i="71"/>
  <c r="CP31" i="71"/>
  <c r="BY31" i="71"/>
  <c r="BQ31" i="71"/>
  <c r="BI31" i="71"/>
  <c r="AS31" i="71"/>
  <c r="AK31" i="71"/>
  <c r="D31" i="71"/>
  <c r="CF31" i="71"/>
  <c r="BX31" i="71"/>
  <c r="BP31" i="71"/>
  <c r="AZ31" i="71"/>
  <c r="AR31" i="71"/>
  <c r="AJ31" i="71"/>
  <c r="BO31" i="71"/>
  <c r="BG31" i="71"/>
  <c r="AY31" i="71"/>
  <c r="AQ31" i="71"/>
  <c r="AI31" i="71"/>
  <c r="CU31" i="71"/>
  <c r="BU31" i="71"/>
  <c r="AW31" i="71"/>
  <c r="AO31" i="71"/>
  <c r="AG31" i="71"/>
  <c r="CR31" i="71"/>
  <c r="BS31" i="71"/>
  <c r="BK31" i="71"/>
  <c r="AU31" i="71"/>
  <c r="AM31" i="71"/>
  <c r="BJ31" i="71"/>
  <c r="AT31" i="71"/>
  <c r="CW31" i="71"/>
  <c r="AP31" i="71"/>
  <c r="BZ31" i="71"/>
  <c r="AN31" i="71"/>
  <c r="BV31" i="71"/>
  <c r="AL31" i="71"/>
  <c r="BT31" i="71"/>
  <c r="AH31" i="71"/>
  <c r="CH31" i="71"/>
  <c r="CD31" i="71"/>
  <c r="AX31" i="71"/>
  <c r="AV31" i="71"/>
  <c r="BN31" i="71"/>
  <c r="BL31" i="71"/>
  <c r="B32" i="71"/>
  <c r="A33" i="71"/>
  <c r="BB31" i="70"/>
  <c r="BA31" i="70"/>
  <c r="N31" i="70" s="1"/>
  <c r="B33" i="70"/>
  <c r="A34" i="70"/>
  <c r="CA31" i="70"/>
  <c r="O31" i="70" s="1"/>
  <c r="CT32" i="70"/>
  <c r="BN32" i="70"/>
  <c r="AX32" i="70"/>
  <c r="AP32" i="70"/>
  <c r="AH32" i="70"/>
  <c r="BU32" i="70"/>
  <c r="BM32" i="70"/>
  <c r="AW32" i="70"/>
  <c r="AO32" i="70"/>
  <c r="AG32" i="70"/>
  <c r="BS32" i="70"/>
  <c r="BK32" i="70"/>
  <c r="AU32" i="70"/>
  <c r="AM32" i="70"/>
  <c r="BZ32" i="70"/>
  <c r="BO32" i="70"/>
  <c r="AS32" i="70"/>
  <c r="CW32" i="70"/>
  <c r="BY32" i="70"/>
  <c r="AR32" i="70"/>
  <c r="D32" i="70"/>
  <c r="CV32" i="70"/>
  <c r="CH32" i="70"/>
  <c r="BX32" i="70"/>
  <c r="BJ32" i="70"/>
  <c r="AQ32" i="70"/>
  <c r="CU32" i="70"/>
  <c r="BW32" i="70"/>
  <c r="BI32" i="70"/>
  <c r="AN32" i="70"/>
  <c r="CR32" i="70"/>
  <c r="CF32" i="70"/>
  <c r="BT32" i="70"/>
  <c r="BH32" i="70"/>
  <c r="AZ32" i="70"/>
  <c r="AL32" i="70"/>
  <c r="CP32" i="70"/>
  <c r="CE32" i="70"/>
  <c r="BR32" i="70"/>
  <c r="AY32" i="70"/>
  <c r="AK32" i="70"/>
  <c r="CO32" i="70"/>
  <c r="AV32" i="70"/>
  <c r="AJ32" i="70"/>
  <c r="BP32" i="70"/>
  <c r="AT32" i="70"/>
  <c r="AI32" i="70"/>
  <c r="Q30" i="70"/>
  <c r="B32" i="69"/>
  <c r="A33" i="69"/>
  <c r="BB30" i="69"/>
  <c r="BA30" i="69"/>
  <c r="N30" i="69" s="1"/>
  <c r="CV31" i="69"/>
  <c r="CN31" i="69"/>
  <c r="CF31" i="69"/>
  <c r="CS31" i="69"/>
  <c r="CO31" i="69"/>
  <c r="CD31" i="69"/>
  <c r="BV31" i="69"/>
  <c r="BN31" i="69"/>
  <c r="AX31" i="69"/>
  <c r="AP31" i="69"/>
  <c r="AH31" i="69"/>
  <c r="BU31" i="69"/>
  <c r="BM31" i="69"/>
  <c r="AW31" i="69"/>
  <c r="AO31" i="69"/>
  <c r="AG31" i="69"/>
  <c r="BS31" i="69"/>
  <c r="BI31" i="69"/>
  <c r="AQ31" i="69"/>
  <c r="CP31" i="69"/>
  <c r="BR31" i="69"/>
  <c r="BH31" i="69"/>
  <c r="AZ31" i="69"/>
  <c r="AN31" i="69"/>
  <c r="D31" i="69"/>
  <c r="BQ31" i="69"/>
  <c r="BG31" i="69"/>
  <c r="AY31" i="69"/>
  <c r="AM31" i="69"/>
  <c r="BZ31" i="69"/>
  <c r="BP31" i="69"/>
  <c r="AV31" i="69"/>
  <c r="AL31" i="69"/>
  <c r="CW31" i="69"/>
  <c r="BY31" i="69"/>
  <c r="AU31" i="69"/>
  <c r="AK31" i="69"/>
  <c r="CU31" i="69"/>
  <c r="CH31" i="69"/>
  <c r="BX31" i="69"/>
  <c r="BL31" i="69"/>
  <c r="AT31" i="69"/>
  <c r="AJ31" i="69"/>
  <c r="CT31" i="69"/>
  <c r="BW31" i="69"/>
  <c r="BK31" i="69"/>
  <c r="AS31" i="69"/>
  <c r="AI31" i="69"/>
  <c r="AR31" i="69"/>
  <c r="CR31" i="69"/>
  <c r="CE31" i="69"/>
  <c r="BB30" i="68"/>
  <c r="BA30" i="68"/>
  <c r="N30" i="68" s="1"/>
  <c r="B32" i="68"/>
  <c r="A33" i="68"/>
  <c r="BS31" i="68"/>
  <c r="BK31" i="68"/>
  <c r="AU31" i="68"/>
  <c r="AM31" i="68"/>
  <c r="CV31" i="68"/>
  <c r="CN31" i="68"/>
  <c r="CF31" i="68"/>
  <c r="BX31" i="68"/>
  <c r="BP31" i="68"/>
  <c r="BH31" i="68"/>
  <c r="AZ31" i="68"/>
  <c r="AR31" i="68"/>
  <c r="AJ31" i="68"/>
  <c r="CP31" i="68"/>
  <c r="CE31" i="68"/>
  <c r="BU31" i="68"/>
  <c r="AP31" i="68"/>
  <c r="CO31" i="68"/>
  <c r="CD31" i="68"/>
  <c r="BI31" i="68"/>
  <c r="AY31" i="68"/>
  <c r="AO31" i="68"/>
  <c r="BR31" i="68"/>
  <c r="BG31" i="68"/>
  <c r="AX31" i="68"/>
  <c r="AN31" i="68"/>
  <c r="D31" i="68"/>
  <c r="CW31" i="68"/>
  <c r="BQ31" i="68"/>
  <c r="AW31" i="68"/>
  <c r="AL31" i="68"/>
  <c r="CU31" i="68"/>
  <c r="BZ31" i="68"/>
  <c r="AV31" i="68"/>
  <c r="AK31" i="68"/>
  <c r="CT31" i="68"/>
  <c r="BY31" i="68"/>
  <c r="BN31" i="68"/>
  <c r="AT31" i="68"/>
  <c r="AI31" i="68"/>
  <c r="CS31" i="68"/>
  <c r="CH31" i="68"/>
  <c r="BW31" i="68"/>
  <c r="BM31" i="68"/>
  <c r="AS31" i="68"/>
  <c r="AH31" i="68"/>
  <c r="AQ31" i="68"/>
  <c r="BV31" i="68"/>
  <c r="AG31" i="68"/>
  <c r="BL31" i="68"/>
  <c r="CR31" i="68"/>
  <c r="BS32" i="67"/>
  <c r="BK32" i="67"/>
  <c r="AU32" i="67"/>
  <c r="AM32" i="67"/>
  <c r="CP32" i="67"/>
  <c r="CH32" i="67"/>
  <c r="BZ32" i="67"/>
  <c r="BJ32" i="67"/>
  <c r="CV32" i="67"/>
  <c r="CN32" i="67"/>
  <c r="CF32" i="67"/>
  <c r="BX32" i="67"/>
  <c r="BP32" i="67"/>
  <c r="AZ32" i="67"/>
  <c r="AR32" i="67"/>
  <c r="AJ32" i="67"/>
  <c r="CT32" i="67"/>
  <c r="BU32" i="67"/>
  <c r="BG32" i="67"/>
  <c r="AW32" i="67"/>
  <c r="AL32" i="67"/>
  <c r="CS32" i="67"/>
  <c r="BT32" i="67"/>
  <c r="AV32" i="67"/>
  <c r="AK32" i="67"/>
  <c r="CR32" i="67"/>
  <c r="CD32" i="67"/>
  <c r="BQ32" i="67"/>
  <c r="AT32" i="67"/>
  <c r="AI32" i="67"/>
  <c r="BO32" i="67"/>
  <c r="AS32" i="67"/>
  <c r="AH32" i="67"/>
  <c r="BN32" i="67"/>
  <c r="AQ32" i="67"/>
  <c r="AG32" i="67"/>
  <c r="BY32" i="67"/>
  <c r="BM32" i="67"/>
  <c r="AP32" i="67"/>
  <c r="CU32" i="67"/>
  <c r="BV32" i="67"/>
  <c r="BI32" i="67"/>
  <c r="AX32" i="67"/>
  <c r="AN32" i="67"/>
  <c r="D32" i="67"/>
  <c r="CW32" i="67"/>
  <c r="AY32" i="67"/>
  <c r="AO32" i="67"/>
  <c r="BW32" i="67"/>
  <c r="BL32" i="67"/>
  <c r="BB31" i="67"/>
  <c r="BA31" i="67"/>
  <c r="N31" i="67" s="1"/>
  <c r="A34" i="67"/>
  <c r="B33" i="67"/>
  <c r="B33" i="66"/>
  <c r="A34" i="66"/>
  <c r="BB31" i="66"/>
  <c r="BA31" i="66"/>
  <c r="N31" i="66" s="1"/>
  <c r="BS32" i="66"/>
  <c r="BK32" i="66"/>
  <c r="AU32" i="66"/>
  <c r="AM32" i="66"/>
  <c r="CV32" i="66"/>
  <c r="CN32" i="66"/>
  <c r="CF32" i="66"/>
  <c r="BX32" i="66"/>
  <c r="BP32" i="66"/>
  <c r="BH32" i="66"/>
  <c r="AZ32" i="66"/>
  <c r="AR32" i="66"/>
  <c r="AJ32" i="66"/>
  <c r="CS32" i="66"/>
  <c r="CH32" i="66"/>
  <c r="BW32" i="66"/>
  <c r="BM32" i="66"/>
  <c r="AS32" i="66"/>
  <c r="AH32" i="66"/>
  <c r="CO32" i="66"/>
  <c r="CD32" i="66"/>
  <c r="BT32" i="66"/>
  <c r="BI32" i="66"/>
  <c r="AY32" i="66"/>
  <c r="AO32" i="66"/>
  <c r="BR32" i="66"/>
  <c r="BG32" i="66"/>
  <c r="AX32" i="66"/>
  <c r="AN32" i="66"/>
  <c r="D32" i="66"/>
  <c r="CW32" i="66"/>
  <c r="BQ32" i="66"/>
  <c r="AW32" i="66"/>
  <c r="AL32" i="66"/>
  <c r="BO32" i="66"/>
  <c r="AG32" i="66"/>
  <c r="CE32" i="66"/>
  <c r="BN32" i="66"/>
  <c r="CU32" i="66"/>
  <c r="BL32" i="66"/>
  <c r="AV32" i="66"/>
  <c r="CT32" i="66"/>
  <c r="BJ32" i="66"/>
  <c r="AT32" i="66"/>
  <c r="CR32" i="66"/>
  <c r="BZ32" i="66"/>
  <c r="AQ32" i="66"/>
  <c r="CP32" i="66"/>
  <c r="BY32" i="66"/>
  <c r="AP32" i="66"/>
  <c r="BV32" i="66"/>
  <c r="AK32" i="66"/>
  <c r="BU32" i="66"/>
  <c r="AI32" i="66"/>
  <c r="CA31" i="66"/>
  <c r="O31" i="66" s="1"/>
  <c r="BB30" i="65"/>
  <c r="BA30" i="65"/>
  <c r="N30" i="65" s="1"/>
  <c r="A33" i="65"/>
  <c r="B32" i="65"/>
  <c r="BS31" i="65"/>
  <c r="BK31" i="65"/>
  <c r="AU31" i="65"/>
  <c r="AM31" i="65"/>
  <c r="CP31" i="65"/>
  <c r="CH31" i="65"/>
  <c r="BZ31" i="65"/>
  <c r="BR31" i="65"/>
  <c r="BJ31" i="65"/>
  <c r="CV31" i="65"/>
  <c r="CN31" i="65"/>
  <c r="BX31" i="65"/>
  <c r="BP31" i="65"/>
  <c r="BH31" i="65"/>
  <c r="AZ31" i="65"/>
  <c r="AR31" i="65"/>
  <c r="AJ31" i="65"/>
  <c r="CW31" i="65"/>
  <c r="BW31" i="65"/>
  <c r="BL31" i="65"/>
  <c r="AP31" i="65"/>
  <c r="CU31" i="65"/>
  <c r="BV31" i="65"/>
  <c r="AY31" i="65"/>
  <c r="AO31" i="65"/>
  <c r="CR31" i="65"/>
  <c r="BG31" i="65"/>
  <c r="AV31" i="65"/>
  <c r="AH31" i="65"/>
  <c r="CO31" i="65"/>
  <c r="BY31" i="65"/>
  <c r="AT31" i="65"/>
  <c r="AG31" i="65"/>
  <c r="BU31" i="65"/>
  <c r="AS31" i="65"/>
  <c r="D31" i="65"/>
  <c r="BT31" i="65"/>
  <c r="AQ31" i="65"/>
  <c r="CE31" i="65"/>
  <c r="BO31" i="65"/>
  <c r="AL31" i="65"/>
  <c r="CT31" i="65"/>
  <c r="CD31" i="65"/>
  <c r="AX31" i="65"/>
  <c r="AK31" i="65"/>
  <c r="CS31" i="65"/>
  <c r="BM31" i="65"/>
  <c r="AW31" i="65"/>
  <c r="AI31" i="65"/>
  <c r="AN31" i="65"/>
  <c r="BQ31" i="65"/>
  <c r="CA30" i="64"/>
  <c r="O30" i="64" s="1"/>
  <c r="CV31" i="64"/>
  <c r="CN31" i="64"/>
  <c r="CS31" i="64"/>
  <c r="BT31" i="64"/>
  <c r="BL31" i="64"/>
  <c r="AV31" i="64"/>
  <c r="AN31" i="64"/>
  <c r="CR31" i="64"/>
  <c r="BS31" i="64"/>
  <c r="BK31" i="64"/>
  <c r="AU31" i="64"/>
  <c r="AM31" i="64"/>
  <c r="CH31" i="64"/>
  <c r="BZ31" i="64"/>
  <c r="BR31" i="64"/>
  <c r="BJ31" i="64"/>
  <c r="AT31" i="64"/>
  <c r="AL31" i="64"/>
  <c r="BX31" i="64"/>
  <c r="BM31" i="64"/>
  <c r="AP31" i="64"/>
  <c r="CW31" i="64"/>
  <c r="BW31" i="64"/>
  <c r="BI31" i="64"/>
  <c r="AZ31" i="64"/>
  <c r="AO31" i="64"/>
  <c r="CU31" i="64"/>
  <c r="CF31" i="64"/>
  <c r="BV31" i="64"/>
  <c r="BH31" i="64"/>
  <c r="AY31" i="64"/>
  <c r="AK31" i="64"/>
  <c r="CT31" i="64"/>
  <c r="CE31" i="64"/>
  <c r="BU31" i="64"/>
  <c r="BG31" i="64"/>
  <c r="AX31" i="64"/>
  <c r="AJ31" i="64"/>
  <c r="CP31" i="64"/>
  <c r="CD31" i="64"/>
  <c r="BQ31" i="64"/>
  <c r="AW31" i="64"/>
  <c r="AI31" i="64"/>
  <c r="CO31" i="64"/>
  <c r="BP31" i="64"/>
  <c r="AS31" i="64"/>
  <c r="AH31" i="64"/>
  <c r="BO31" i="64"/>
  <c r="AR31" i="64"/>
  <c r="AG31" i="64"/>
  <c r="BY31" i="64"/>
  <c r="BN31" i="64"/>
  <c r="AQ31" i="64"/>
  <c r="D31" i="64"/>
  <c r="B32" i="64"/>
  <c r="A33" i="64"/>
  <c r="BB30" i="64"/>
  <c r="BA30" i="64"/>
  <c r="N30" i="64" s="1"/>
  <c r="Q29" i="64"/>
  <c r="CV31" i="63"/>
  <c r="CN31" i="63"/>
  <c r="CS31" i="63"/>
  <c r="CO31" i="63"/>
  <c r="CE31" i="63"/>
  <c r="BW31" i="63"/>
  <c r="BO31" i="63"/>
  <c r="BG31" i="63"/>
  <c r="AY31" i="63"/>
  <c r="AQ31" i="63"/>
  <c r="AI31" i="63"/>
  <c r="CD31" i="63"/>
  <c r="BV31" i="63"/>
  <c r="BN31" i="63"/>
  <c r="AX31" i="63"/>
  <c r="AP31" i="63"/>
  <c r="AH31" i="63"/>
  <c r="CU31" i="63"/>
  <c r="BT31" i="63"/>
  <c r="BL31" i="63"/>
  <c r="AV31" i="63"/>
  <c r="AN31" i="63"/>
  <c r="BQ31" i="63"/>
  <c r="AT31" i="63"/>
  <c r="AG31" i="63"/>
  <c r="CP31" i="63"/>
  <c r="BP31" i="63"/>
  <c r="AS31" i="63"/>
  <c r="BZ31" i="63"/>
  <c r="BM31" i="63"/>
  <c r="AR31" i="63"/>
  <c r="BY31" i="63"/>
  <c r="AO31" i="63"/>
  <c r="D31" i="63"/>
  <c r="BX31" i="63"/>
  <c r="BJ31" i="63"/>
  <c r="AM31" i="63"/>
  <c r="CW31" i="63"/>
  <c r="BU31" i="63"/>
  <c r="BS31" i="63"/>
  <c r="AZ31" i="63"/>
  <c r="BR31" i="63"/>
  <c r="AW31" i="63"/>
  <c r="BI31" i="63"/>
  <c r="AU31" i="63"/>
  <c r="CT31" i="63"/>
  <c r="BH31" i="63"/>
  <c r="AL31" i="63"/>
  <c r="CR31" i="63"/>
  <c r="AK31" i="63"/>
  <c r="CF31" i="63"/>
  <c r="AJ31" i="63"/>
  <c r="BB30" i="63"/>
  <c r="BA30" i="63"/>
  <c r="N30" i="63" s="1"/>
  <c r="B32" i="63"/>
  <c r="A33" i="63"/>
  <c r="CI32" i="69" l="1"/>
  <c r="CJ32" i="69"/>
  <c r="CK32" i="69"/>
  <c r="CL32" i="69"/>
  <c r="CG32" i="69"/>
  <c r="CQ32" i="69"/>
  <c r="CQ32" i="71"/>
  <c r="CI32" i="71"/>
  <c r="CJ32" i="71"/>
  <c r="CL32" i="71"/>
  <c r="CG32" i="71"/>
  <c r="CM32" i="71"/>
  <c r="CQ32" i="73"/>
  <c r="CJ32" i="73"/>
  <c r="CK32" i="73"/>
  <c r="CL32" i="73"/>
  <c r="CG32" i="73"/>
  <c r="CI32" i="73"/>
  <c r="CM32" i="73"/>
  <c r="CI33" i="70"/>
  <c r="CK33" i="70"/>
  <c r="CL33" i="70"/>
  <c r="CM33" i="70"/>
  <c r="CG33" i="70"/>
  <c r="CQ33" i="70"/>
  <c r="CI33" i="67"/>
  <c r="CQ33" i="67"/>
  <c r="CG33" i="67"/>
  <c r="CJ33" i="67"/>
  <c r="CK33" i="67"/>
  <c r="CL33" i="67"/>
  <c r="CM33" i="67"/>
  <c r="CI32" i="68"/>
  <c r="CQ32" i="68"/>
  <c r="CJ32" i="68"/>
  <c r="CK32" i="68"/>
  <c r="CL32" i="68"/>
  <c r="CG32" i="68"/>
  <c r="CJ31" i="72"/>
  <c r="CK31" i="72"/>
  <c r="CG31" i="72"/>
  <c r="CL31" i="72"/>
  <c r="CQ31" i="72"/>
  <c r="CM31" i="72"/>
  <c r="CI31" i="72"/>
  <c r="CI33" i="66"/>
  <c r="CG33" i="66"/>
  <c r="CM33" i="66"/>
  <c r="CJ33" i="66"/>
  <c r="CK33" i="66"/>
  <c r="CL33" i="66"/>
  <c r="CQ33" i="66"/>
  <c r="CI32" i="65"/>
  <c r="CQ32" i="65"/>
  <c r="CJ32" i="65"/>
  <c r="CK32" i="65"/>
  <c r="CL32" i="65"/>
  <c r="CM32" i="65"/>
  <c r="CI32" i="64"/>
  <c r="CL32" i="64"/>
  <c r="CM32" i="64"/>
  <c r="CQ32" i="64"/>
  <c r="CJ32" i="64"/>
  <c r="CK32" i="64"/>
  <c r="CG32" i="64"/>
  <c r="CI32" i="63"/>
  <c r="CJ32" i="63"/>
  <c r="CK32" i="63"/>
  <c r="CL32" i="63"/>
  <c r="CM32" i="63"/>
  <c r="CG32" i="63"/>
  <c r="CQ32" i="63"/>
  <c r="CX31" i="64"/>
  <c r="P31" i="64" s="1"/>
  <c r="CX31" i="73"/>
  <c r="P31" i="73" s="1"/>
  <c r="Q30" i="64"/>
  <c r="Q30" i="73"/>
  <c r="BS32" i="73"/>
  <c r="BK32" i="73"/>
  <c r="AU32" i="73"/>
  <c r="AM32" i="73"/>
  <c r="CP32" i="73"/>
  <c r="CH32" i="73"/>
  <c r="BZ32" i="73"/>
  <c r="BR32" i="73"/>
  <c r="BJ32" i="73"/>
  <c r="AT32" i="73"/>
  <c r="AL32" i="73"/>
  <c r="CV32" i="73"/>
  <c r="CN32" i="73"/>
  <c r="CF32" i="73"/>
  <c r="BX32" i="73"/>
  <c r="BP32" i="73"/>
  <c r="BH32" i="73"/>
  <c r="AZ32" i="73"/>
  <c r="AR32" i="73"/>
  <c r="AJ32" i="73"/>
  <c r="CW32" i="73"/>
  <c r="BW32" i="73"/>
  <c r="BL32" i="73"/>
  <c r="AY32" i="73"/>
  <c r="AN32" i="73"/>
  <c r="CU32" i="73"/>
  <c r="BV32" i="73"/>
  <c r="BI32" i="73"/>
  <c r="AX32" i="73"/>
  <c r="AK32" i="73"/>
  <c r="CS32" i="73"/>
  <c r="CE32" i="73"/>
  <c r="BT32" i="73"/>
  <c r="AV32" i="73"/>
  <c r="AH32" i="73"/>
  <c r="CO32" i="73"/>
  <c r="BO32" i="73"/>
  <c r="AQ32" i="73"/>
  <c r="BY32" i="73"/>
  <c r="BM32" i="73"/>
  <c r="AO32" i="73"/>
  <c r="CD32" i="73"/>
  <c r="D32" i="73"/>
  <c r="BU32" i="73"/>
  <c r="AW32" i="73"/>
  <c r="CT32" i="73"/>
  <c r="BQ32" i="73"/>
  <c r="AS32" i="73"/>
  <c r="CR32" i="73"/>
  <c r="BN32" i="73"/>
  <c r="AP32" i="73"/>
  <c r="BG32" i="73"/>
  <c r="AI32" i="73"/>
  <c r="AG32" i="73"/>
  <c r="CA31" i="73"/>
  <c r="O31" i="73" s="1"/>
  <c r="A34" i="73"/>
  <c r="B33" i="73"/>
  <c r="BB31" i="73"/>
  <c r="BA31" i="73"/>
  <c r="N31" i="73" s="1"/>
  <c r="A33" i="72"/>
  <c r="B32" i="72"/>
  <c r="BS31" i="72"/>
  <c r="AU31" i="72"/>
  <c r="AM31" i="72"/>
  <c r="CP31" i="72"/>
  <c r="BR31" i="72"/>
  <c r="BJ31" i="72"/>
  <c r="AT31" i="72"/>
  <c r="AL31" i="72"/>
  <c r="CV31" i="72"/>
  <c r="CN31" i="72"/>
  <c r="CF31" i="72"/>
  <c r="BX31" i="72"/>
  <c r="BP31" i="72"/>
  <c r="BH31" i="72"/>
  <c r="AZ31" i="72"/>
  <c r="AR31" i="72"/>
  <c r="AJ31" i="72"/>
  <c r="BY31" i="72"/>
  <c r="BM31" i="72"/>
  <c r="AO31" i="72"/>
  <c r="D31" i="72"/>
  <c r="CU31" i="72"/>
  <c r="BV31" i="72"/>
  <c r="BI31" i="72"/>
  <c r="AX31" i="72"/>
  <c r="AK31" i="72"/>
  <c r="CT31" i="72"/>
  <c r="BU31" i="72"/>
  <c r="BG31" i="72"/>
  <c r="AW31" i="72"/>
  <c r="AI31" i="72"/>
  <c r="CS31" i="72"/>
  <c r="CE31" i="72"/>
  <c r="BT31" i="72"/>
  <c r="AV31" i="72"/>
  <c r="AH31" i="72"/>
  <c r="CR31" i="72"/>
  <c r="CD31" i="72"/>
  <c r="BQ31" i="72"/>
  <c r="AS31" i="72"/>
  <c r="AG31" i="72"/>
  <c r="BW31" i="72"/>
  <c r="AY31" i="72"/>
  <c r="BO31" i="72"/>
  <c r="AQ31" i="72"/>
  <c r="BN31" i="72"/>
  <c r="AP31" i="72"/>
  <c r="CO31" i="72"/>
  <c r="BL31" i="72"/>
  <c r="AN31" i="72"/>
  <c r="BB30" i="72"/>
  <c r="BA30" i="72"/>
  <c r="N30" i="72" s="1"/>
  <c r="A34" i="71"/>
  <c r="B33" i="71"/>
  <c r="BK32" i="71"/>
  <c r="AU32" i="71"/>
  <c r="AM32" i="71"/>
  <c r="CH32" i="71"/>
  <c r="BZ32" i="71"/>
  <c r="BR32" i="71"/>
  <c r="BJ32" i="71"/>
  <c r="AT32" i="71"/>
  <c r="AL32" i="71"/>
  <c r="CV32" i="71"/>
  <c r="CN32" i="71"/>
  <c r="BP32" i="71"/>
  <c r="BH32" i="71"/>
  <c r="AZ32" i="71"/>
  <c r="AR32" i="71"/>
  <c r="AJ32" i="71"/>
  <c r="CW32" i="71"/>
  <c r="BW32" i="71"/>
  <c r="BL32" i="71"/>
  <c r="AY32" i="71"/>
  <c r="AN32" i="71"/>
  <c r="BV32" i="71"/>
  <c r="AX32" i="71"/>
  <c r="AK32" i="71"/>
  <c r="CT32" i="71"/>
  <c r="BU32" i="71"/>
  <c r="BG32" i="71"/>
  <c r="AW32" i="71"/>
  <c r="AI32" i="71"/>
  <c r="CR32" i="71"/>
  <c r="CD32" i="71"/>
  <c r="BQ32" i="71"/>
  <c r="AS32" i="71"/>
  <c r="AG32" i="71"/>
  <c r="CO32" i="71"/>
  <c r="AP32" i="71"/>
  <c r="BY32" i="71"/>
  <c r="BT32" i="71"/>
  <c r="AV32" i="71"/>
  <c r="BO32" i="71"/>
  <c r="AQ32" i="71"/>
  <c r="CS32" i="71"/>
  <c r="BM32" i="71"/>
  <c r="AO32" i="71"/>
  <c r="AH32" i="71"/>
  <c r="CE32" i="71"/>
  <c r="D32" i="71"/>
  <c r="BB31" i="71"/>
  <c r="BA31" i="71"/>
  <c r="N31" i="71" s="1"/>
  <c r="BB32" i="70"/>
  <c r="BA32" i="70"/>
  <c r="N32" i="70" s="1"/>
  <c r="A35" i="70"/>
  <c r="B34" i="70"/>
  <c r="CW33" i="70"/>
  <c r="BY33" i="70"/>
  <c r="BQ33" i="70"/>
  <c r="BI33" i="70"/>
  <c r="AS33" i="70"/>
  <c r="AK33" i="70"/>
  <c r="D33" i="70"/>
  <c r="CV33" i="70"/>
  <c r="CN33" i="70"/>
  <c r="CF33" i="70"/>
  <c r="BX33" i="70"/>
  <c r="BP33" i="70"/>
  <c r="AZ33" i="70"/>
  <c r="AR33" i="70"/>
  <c r="AJ33" i="70"/>
  <c r="CD33" i="70"/>
  <c r="BV33" i="70"/>
  <c r="BN33" i="70"/>
  <c r="AX33" i="70"/>
  <c r="AP33" i="70"/>
  <c r="AH33" i="70"/>
  <c r="BK33" i="70"/>
  <c r="AY33" i="70"/>
  <c r="AM33" i="70"/>
  <c r="CU33" i="70"/>
  <c r="BU33" i="70"/>
  <c r="BJ33" i="70"/>
  <c r="AW33" i="70"/>
  <c r="AL33" i="70"/>
  <c r="CS33" i="70"/>
  <c r="CH33" i="70"/>
  <c r="BT33" i="70"/>
  <c r="BG33" i="70"/>
  <c r="AV33" i="70"/>
  <c r="AI33" i="70"/>
  <c r="CR33" i="70"/>
  <c r="BS33" i="70"/>
  <c r="AU33" i="70"/>
  <c r="AG33" i="70"/>
  <c r="AT33" i="70"/>
  <c r="CP33" i="70"/>
  <c r="BO33" i="70"/>
  <c r="AQ33" i="70"/>
  <c r="AO33" i="70"/>
  <c r="BZ33" i="70"/>
  <c r="BL33" i="70"/>
  <c r="AN33" i="70"/>
  <c r="Q31" i="70"/>
  <c r="BB31" i="69"/>
  <c r="BA31" i="69"/>
  <c r="N31" i="69" s="1"/>
  <c r="A34" i="69"/>
  <c r="B33" i="69"/>
  <c r="BS32" i="69"/>
  <c r="AU32" i="69"/>
  <c r="AM32" i="69"/>
  <c r="CV32" i="69"/>
  <c r="CN32" i="69"/>
  <c r="CF32" i="69"/>
  <c r="BX32" i="69"/>
  <c r="BH32" i="69"/>
  <c r="AZ32" i="69"/>
  <c r="AR32" i="69"/>
  <c r="AJ32" i="69"/>
  <c r="CU32" i="69"/>
  <c r="BZ32" i="69"/>
  <c r="BO32" i="69"/>
  <c r="AV32" i="69"/>
  <c r="AK32" i="69"/>
  <c r="CT32" i="69"/>
  <c r="BY32" i="69"/>
  <c r="BN32" i="69"/>
  <c r="AT32" i="69"/>
  <c r="AI32" i="69"/>
  <c r="CD32" i="69"/>
  <c r="BQ32" i="69"/>
  <c r="AQ32" i="69"/>
  <c r="CP32" i="69"/>
  <c r="BM32" i="69"/>
  <c r="AP32" i="69"/>
  <c r="D32" i="69"/>
  <c r="CO32" i="69"/>
  <c r="BL32" i="69"/>
  <c r="AO32" i="69"/>
  <c r="BW32" i="69"/>
  <c r="BJ32" i="69"/>
  <c r="AN32" i="69"/>
  <c r="BV32" i="69"/>
  <c r="BI32" i="69"/>
  <c r="AY32" i="69"/>
  <c r="AL32" i="69"/>
  <c r="BG32" i="69"/>
  <c r="AX32" i="69"/>
  <c r="AH32" i="69"/>
  <c r="CW32" i="69"/>
  <c r="BT32" i="69"/>
  <c r="AW32" i="69"/>
  <c r="AG32" i="69"/>
  <c r="CS32" i="69"/>
  <c r="CE32" i="69"/>
  <c r="AS32" i="69"/>
  <c r="BR32" i="69"/>
  <c r="BB31" i="68"/>
  <c r="BA31" i="68"/>
  <c r="N31" i="68" s="1"/>
  <c r="B33" i="68"/>
  <c r="A34" i="68"/>
  <c r="CT32" i="68"/>
  <c r="CD32" i="68"/>
  <c r="BV32" i="68"/>
  <c r="BN32" i="68"/>
  <c r="AX32" i="68"/>
  <c r="AP32" i="68"/>
  <c r="AH32" i="68"/>
  <c r="CS32" i="68"/>
  <c r="BM32" i="68"/>
  <c r="AW32" i="68"/>
  <c r="AO32" i="68"/>
  <c r="AG32" i="68"/>
  <c r="BS32" i="68"/>
  <c r="AU32" i="68"/>
  <c r="AM32" i="68"/>
  <c r="CV32" i="68"/>
  <c r="BX32" i="68"/>
  <c r="BJ32" i="68"/>
  <c r="AQ32" i="68"/>
  <c r="CU32" i="68"/>
  <c r="BW32" i="68"/>
  <c r="BI32" i="68"/>
  <c r="AN32" i="68"/>
  <c r="CF32" i="68"/>
  <c r="BT32" i="68"/>
  <c r="BH32" i="68"/>
  <c r="AZ32" i="68"/>
  <c r="AL32" i="68"/>
  <c r="CP32" i="68"/>
  <c r="CE32" i="68"/>
  <c r="BR32" i="68"/>
  <c r="BG32" i="68"/>
  <c r="AY32" i="68"/>
  <c r="AK32" i="68"/>
  <c r="CO32" i="68"/>
  <c r="BQ32" i="68"/>
  <c r="AV32" i="68"/>
  <c r="AJ32" i="68"/>
  <c r="CN32" i="68"/>
  <c r="AT32" i="68"/>
  <c r="AI32" i="68"/>
  <c r="BZ32" i="68"/>
  <c r="BO32" i="68"/>
  <c r="AS32" i="68"/>
  <c r="BL32" i="68"/>
  <c r="CW32" i="68"/>
  <c r="AR32" i="68"/>
  <c r="D32" i="68"/>
  <c r="BY32" i="68"/>
  <c r="CT33" i="67"/>
  <c r="CD33" i="67"/>
  <c r="BV33" i="67"/>
  <c r="BN33" i="67"/>
  <c r="AX33" i="67"/>
  <c r="AP33" i="67"/>
  <c r="AH33" i="67"/>
  <c r="CS33" i="67"/>
  <c r="BU33" i="67"/>
  <c r="BM33" i="67"/>
  <c r="AW33" i="67"/>
  <c r="AO33" i="67"/>
  <c r="AG33" i="67"/>
  <c r="BK33" i="67"/>
  <c r="AU33" i="67"/>
  <c r="AM33" i="67"/>
  <c r="CN33" i="67"/>
  <c r="BP33" i="67"/>
  <c r="AT33" i="67"/>
  <c r="AI33" i="67"/>
  <c r="BZ33" i="67"/>
  <c r="BO33" i="67"/>
  <c r="AS33" i="67"/>
  <c r="CW33" i="67"/>
  <c r="BY33" i="67"/>
  <c r="BL33" i="67"/>
  <c r="AR33" i="67"/>
  <c r="D33" i="67"/>
  <c r="CV33" i="67"/>
  <c r="CH33" i="67"/>
  <c r="BX33" i="67"/>
  <c r="BJ33" i="67"/>
  <c r="AQ33" i="67"/>
  <c r="CU33" i="67"/>
  <c r="BW33" i="67"/>
  <c r="AN33" i="67"/>
  <c r="CR33" i="67"/>
  <c r="BT33" i="67"/>
  <c r="BH33" i="67"/>
  <c r="AZ33" i="67"/>
  <c r="AL33" i="67"/>
  <c r="CO33" i="67"/>
  <c r="BQ33" i="67"/>
  <c r="AV33" i="67"/>
  <c r="AJ33" i="67"/>
  <c r="AY33" i="67"/>
  <c r="AK33" i="67"/>
  <c r="BR33" i="67"/>
  <c r="BG33" i="67"/>
  <c r="CE33" i="67"/>
  <c r="B34" i="67"/>
  <c r="A35" i="67"/>
  <c r="BB32" i="67"/>
  <c r="BA32" i="67"/>
  <c r="N32" i="67" s="1"/>
  <c r="BB32" i="66"/>
  <c r="BA32" i="66"/>
  <c r="N32" i="66" s="1"/>
  <c r="B34" i="66"/>
  <c r="A35" i="66"/>
  <c r="CA32" i="66"/>
  <c r="O32" i="66" s="1"/>
  <c r="CT33" i="66"/>
  <c r="CD33" i="66"/>
  <c r="BV33" i="66"/>
  <c r="BN33" i="66"/>
  <c r="AX33" i="66"/>
  <c r="AP33" i="66"/>
  <c r="AH33" i="66"/>
  <c r="CS33" i="66"/>
  <c r="BU33" i="66"/>
  <c r="BM33" i="66"/>
  <c r="AW33" i="66"/>
  <c r="AO33" i="66"/>
  <c r="AG33" i="66"/>
  <c r="BS33" i="66"/>
  <c r="BK33" i="66"/>
  <c r="AU33" i="66"/>
  <c r="AM33" i="66"/>
  <c r="BZ33" i="66"/>
  <c r="BO33" i="66"/>
  <c r="AS33" i="66"/>
  <c r="CU33" i="66"/>
  <c r="BW33" i="66"/>
  <c r="BI33" i="66"/>
  <c r="AN33" i="66"/>
  <c r="CR33" i="66"/>
  <c r="CF33" i="66"/>
  <c r="BT33" i="66"/>
  <c r="BH33" i="66"/>
  <c r="AZ33" i="66"/>
  <c r="AL33" i="66"/>
  <c r="CP33" i="66"/>
  <c r="CE33" i="66"/>
  <c r="BR33" i="66"/>
  <c r="BG33" i="66"/>
  <c r="AY33" i="66"/>
  <c r="AK33" i="66"/>
  <c r="CO33" i="66"/>
  <c r="BQ33" i="66"/>
  <c r="CN33" i="66"/>
  <c r="BP33" i="66"/>
  <c r="AV33" i="66"/>
  <c r="BL33" i="66"/>
  <c r="AT33" i="66"/>
  <c r="CH33" i="66"/>
  <c r="BJ33" i="66"/>
  <c r="AR33" i="66"/>
  <c r="AQ33" i="66"/>
  <c r="AJ33" i="66"/>
  <c r="CW33" i="66"/>
  <c r="BY33" i="66"/>
  <c r="AI33" i="66"/>
  <c r="CV33" i="66"/>
  <c r="BX33" i="66"/>
  <c r="D33" i="66"/>
  <c r="CT32" i="65"/>
  <c r="CD32" i="65"/>
  <c r="BV32" i="65"/>
  <c r="BN32" i="65"/>
  <c r="AX32" i="65"/>
  <c r="AP32" i="65"/>
  <c r="AH32" i="65"/>
  <c r="CS32" i="65"/>
  <c r="BU32" i="65"/>
  <c r="BM32" i="65"/>
  <c r="AW32" i="65"/>
  <c r="AO32" i="65"/>
  <c r="AG32" i="65"/>
  <c r="BS32" i="65"/>
  <c r="BK32" i="65"/>
  <c r="AU32" i="65"/>
  <c r="AM32" i="65"/>
  <c r="CP32" i="65"/>
  <c r="CE32" i="65"/>
  <c r="BR32" i="65"/>
  <c r="BG32" i="65"/>
  <c r="AY32" i="65"/>
  <c r="AK32" i="65"/>
  <c r="CO32" i="65"/>
  <c r="BQ32" i="65"/>
  <c r="AV32" i="65"/>
  <c r="AJ32" i="65"/>
  <c r="CN32" i="65"/>
  <c r="BZ32" i="65"/>
  <c r="AI32" i="65"/>
  <c r="BY32" i="65"/>
  <c r="BI32" i="65"/>
  <c r="AZ32" i="65"/>
  <c r="BX32" i="65"/>
  <c r="BH32" i="65"/>
  <c r="AT32" i="65"/>
  <c r="D32" i="65"/>
  <c r="CH32" i="65"/>
  <c r="BW32" i="65"/>
  <c r="AS32" i="65"/>
  <c r="CW32" i="65"/>
  <c r="BT32" i="65"/>
  <c r="AR32" i="65"/>
  <c r="CV32" i="65"/>
  <c r="CF32" i="65"/>
  <c r="BP32" i="65"/>
  <c r="AQ32" i="65"/>
  <c r="CU32" i="65"/>
  <c r="AN32" i="65"/>
  <c r="CR32" i="65"/>
  <c r="BL32" i="65"/>
  <c r="AL32" i="65"/>
  <c r="BB31" i="65"/>
  <c r="BA31" i="65"/>
  <c r="N31" i="65" s="1"/>
  <c r="B33" i="65"/>
  <c r="A34" i="65"/>
  <c r="CA31" i="64"/>
  <c r="O31" i="64" s="1"/>
  <c r="BB31" i="64"/>
  <c r="BA31" i="64"/>
  <c r="N31" i="64" s="1"/>
  <c r="BS32" i="64"/>
  <c r="BK32" i="64"/>
  <c r="AU32" i="64"/>
  <c r="AM32" i="64"/>
  <c r="CW32" i="64"/>
  <c r="CN32" i="64"/>
  <c r="CE32" i="64"/>
  <c r="BV32" i="64"/>
  <c r="BM32" i="64"/>
  <c r="AV32" i="64"/>
  <c r="AL32" i="64"/>
  <c r="D32" i="64"/>
  <c r="CV32" i="64"/>
  <c r="BU32" i="64"/>
  <c r="BL32" i="64"/>
  <c r="AT32" i="64"/>
  <c r="AK32" i="64"/>
  <c r="CU32" i="64"/>
  <c r="BT32" i="64"/>
  <c r="BJ32" i="64"/>
  <c r="AS32" i="64"/>
  <c r="AJ32" i="64"/>
  <c r="CS32" i="64"/>
  <c r="BZ32" i="64"/>
  <c r="BQ32" i="64"/>
  <c r="BH32" i="64"/>
  <c r="AZ32" i="64"/>
  <c r="AQ32" i="64"/>
  <c r="AH32" i="64"/>
  <c r="BW32" i="64"/>
  <c r="AP32" i="64"/>
  <c r="CH32" i="64"/>
  <c r="BR32" i="64"/>
  <c r="AO32" i="64"/>
  <c r="BP32" i="64"/>
  <c r="AN32" i="64"/>
  <c r="CF32" i="64"/>
  <c r="BO32" i="64"/>
  <c r="AI32" i="64"/>
  <c r="CT32" i="64"/>
  <c r="BN32" i="64"/>
  <c r="AY32" i="64"/>
  <c r="AG32" i="64"/>
  <c r="CR32" i="64"/>
  <c r="BI32" i="64"/>
  <c r="AX32" i="64"/>
  <c r="CP32" i="64"/>
  <c r="BY32" i="64"/>
  <c r="AW32" i="64"/>
  <c r="CO32" i="64"/>
  <c r="BX32" i="64"/>
  <c r="AR32" i="64"/>
  <c r="A34" i="64"/>
  <c r="B33" i="64"/>
  <c r="A34" i="63"/>
  <c r="B33" i="63"/>
  <c r="BS32" i="63"/>
  <c r="BK32" i="63"/>
  <c r="AU32" i="63"/>
  <c r="AM32" i="63"/>
  <c r="CV32" i="63"/>
  <c r="CN32" i="63"/>
  <c r="CF32" i="63"/>
  <c r="BX32" i="63"/>
  <c r="BP32" i="63"/>
  <c r="BH32" i="63"/>
  <c r="AZ32" i="63"/>
  <c r="AR32" i="63"/>
  <c r="AJ32" i="63"/>
  <c r="CU32" i="63"/>
  <c r="BZ32" i="63"/>
  <c r="BO32" i="63"/>
  <c r="AV32" i="63"/>
  <c r="AK32" i="63"/>
  <c r="CT32" i="63"/>
  <c r="BY32" i="63"/>
  <c r="BN32" i="63"/>
  <c r="AT32" i="63"/>
  <c r="AI32" i="63"/>
  <c r="CR32" i="63"/>
  <c r="BV32" i="63"/>
  <c r="BL32" i="63"/>
  <c r="AQ32" i="63"/>
  <c r="AG32" i="63"/>
  <c r="CS32" i="63"/>
  <c r="BJ32" i="63"/>
  <c r="AY32" i="63"/>
  <c r="AH32" i="63"/>
  <c r="CP32" i="63"/>
  <c r="BI32" i="63"/>
  <c r="AX32" i="63"/>
  <c r="CO32" i="63"/>
  <c r="BW32" i="63"/>
  <c r="BG32" i="63"/>
  <c r="AW32" i="63"/>
  <c r="D32" i="63"/>
  <c r="BU32" i="63"/>
  <c r="AS32" i="63"/>
  <c r="BT32" i="63"/>
  <c r="AP32" i="63"/>
  <c r="CH32" i="63"/>
  <c r="BR32" i="63"/>
  <c r="AO32" i="63"/>
  <c r="CD32" i="63"/>
  <c r="AN32" i="63"/>
  <c r="BQ32" i="63"/>
  <c r="AL32" i="63"/>
  <c r="BM32" i="63"/>
  <c r="CW32" i="63"/>
  <c r="CE32" i="63"/>
  <c r="BB31" i="63"/>
  <c r="BA31" i="63"/>
  <c r="N31" i="63" s="1"/>
  <c r="CG32" i="72" l="1"/>
  <c r="CQ32" i="72"/>
  <c r="CJ32" i="72"/>
  <c r="CI32" i="72"/>
  <c r="CK32" i="72"/>
  <c r="CL32" i="72"/>
  <c r="CM32" i="72"/>
  <c r="CQ33" i="71"/>
  <c r="CI33" i="71"/>
  <c r="CM33" i="71"/>
  <c r="CJ33" i="71"/>
  <c r="CK33" i="71"/>
  <c r="CI33" i="68"/>
  <c r="CK33" i="68"/>
  <c r="CL33" i="68"/>
  <c r="CM33" i="68"/>
  <c r="CQ33" i="68"/>
  <c r="CG33" i="68"/>
  <c r="CJ33" i="68"/>
  <c r="CI34" i="70"/>
  <c r="CJ34" i="70"/>
  <c r="CG34" i="70"/>
  <c r="CQ34" i="70"/>
  <c r="CL34" i="70"/>
  <c r="CM34" i="70"/>
  <c r="CK33" i="73"/>
  <c r="CL33" i="73"/>
  <c r="CM33" i="73"/>
  <c r="CQ33" i="73"/>
  <c r="CG33" i="73"/>
  <c r="CI33" i="73"/>
  <c r="CJ33" i="73"/>
  <c r="CI34" i="67"/>
  <c r="CQ34" i="67"/>
  <c r="CL34" i="67"/>
  <c r="CM34" i="67"/>
  <c r="CJ34" i="67"/>
  <c r="CK34" i="67"/>
  <c r="CI33" i="69"/>
  <c r="CQ33" i="69"/>
  <c r="CJ33" i="69"/>
  <c r="CG33" i="69"/>
  <c r="CK33" i="69"/>
  <c r="CL33" i="69"/>
  <c r="CM33" i="69"/>
  <c r="CI34" i="66"/>
  <c r="CQ34" i="66"/>
  <c r="CK34" i="66"/>
  <c r="CL34" i="66"/>
  <c r="CM34" i="66"/>
  <c r="CG34" i="66"/>
  <c r="CJ34" i="66"/>
  <c r="CI33" i="65"/>
  <c r="CQ33" i="65"/>
  <c r="CJ33" i="65"/>
  <c r="CK33" i="65"/>
  <c r="CL33" i="65"/>
  <c r="CG33" i="65"/>
  <c r="CM33" i="65"/>
  <c r="CI33" i="64"/>
  <c r="CG33" i="64"/>
  <c r="CJ33" i="64"/>
  <c r="CQ33" i="64"/>
  <c r="CK33" i="64"/>
  <c r="CL33" i="64"/>
  <c r="CM33" i="64"/>
  <c r="CI33" i="63"/>
  <c r="CJ33" i="63"/>
  <c r="CK33" i="63"/>
  <c r="CL33" i="63"/>
  <c r="CM33" i="63"/>
  <c r="CQ33" i="63"/>
  <c r="CG33" i="63"/>
  <c r="CX32" i="73"/>
  <c r="P32" i="73" s="1"/>
  <c r="Q31" i="64"/>
  <c r="Q31" i="73"/>
  <c r="CT33" i="73"/>
  <c r="CD33" i="73"/>
  <c r="BV33" i="73"/>
  <c r="BN33" i="73"/>
  <c r="AX33" i="73"/>
  <c r="AP33" i="73"/>
  <c r="AH33" i="73"/>
  <c r="CS33" i="73"/>
  <c r="BU33" i="73"/>
  <c r="BM33" i="73"/>
  <c r="AW33" i="73"/>
  <c r="AO33" i="73"/>
  <c r="AG33" i="73"/>
  <c r="BS33" i="73"/>
  <c r="BK33" i="73"/>
  <c r="AU33" i="73"/>
  <c r="AM33" i="73"/>
  <c r="CP33" i="73"/>
  <c r="CE33" i="73"/>
  <c r="BR33" i="73"/>
  <c r="BG33" i="73"/>
  <c r="AY33" i="73"/>
  <c r="AK33" i="73"/>
  <c r="CO33" i="73"/>
  <c r="BQ33" i="73"/>
  <c r="AV33" i="73"/>
  <c r="AJ33" i="73"/>
  <c r="CN33" i="73"/>
  <c r="BP33" i="73"/>
  <c r="AT33" i="73"/>
  <c r="AI33" i="73"/>
  <c r="BZ33" i="73"/>
  <c r="BO33" i="73"/>
  <c r="AS33" i="73"/>
  <c r="CV33" i="73"/>
  <c r="CH33" i="73"/>
  <c r="BX33" i="73"/>
  <c r="BJ33" i="73"/>
  <c r="AQ33" i="73"/>
  <c r="CU33" i="73"/>
  <c r="BW33" i="73"/>
  <c r="BI33" i="73"/>
  <c r="AN33" i="73"/>
  <c r="CR33" i="73"/>
  <c r="CF33" i="73"/>
  <c r="BT33" i="73"/>
  <c r="BH33" i="73"/>
  <c r="AZ33" i="73"/>
  <c r="AL33" i="73"/>
  <c r="CW33" i="73"/>
  <c r="AR33" i="73"/>
  <c r="D33" i="73"/>
  <c r="BY33" i="73"/>
  <c r="BL33" i="73"/>
  <c r="B34" i="73"/>
  <c r="A35" i="73"/>
  <c r="BB32" i="73"/>
  <c r="BA32" i="73"/>
  <c r="N32" i="73" s="1"/>
  <c r="CA32" i="73"/>
  <c r="O32" i="73" s="1"/>
  <c r="CT32" i="72"/>
  <c r="CD32" i="72"/>
  <c r="BV32" i="72"/>
  <c r="BN32" i="72"/>
  <c r="AX32" i="72"/>
  <c r="AP32" i="72"/>
  <c r="AH32" i="72"/>
  <c r="CS32" i="72"/>
  <c r="BU32" i="72"/>
  <c r="BM32" i="72"/>
  <c r="AW32" i="72"/>
  <c r="AO32" i="72"/>
  <c r="AG32" i="72"/>
  <c r="BS32" i="72"/>
  <c r="BK32" i="72"/>
  <c r="AU32" i="72"/>
  <c r="AM32" i="72"/>
  <c r="CR32" i="72"/>
  <c r="CF32" i="72"/>
  <c r="BT32" i="72"/>
  <c r="BH32" i="72"/>
  <c r="AZ32" i="72"/>
  <c r="AL32" i="72"/>
  <c r="CO32" i="72"/>
  <c r="BQ32" i="72"/>
  <c r="AV32" i="72"/>
  <c r="AJ32" i="72"/>
  <c r="CN32" i="72"/>
  <c r="BP32" i="72"/>
  <c r="AT32" i="72"/>
  <c r="AI32" i="72"/>
  <c r="BZ32" i="72"/>
  <c r="BO32" i="72"/>
  <c r="AS32" i="72"/>
  <c r="CW32" i="72"/>
  <c r="BY32" i="72"/>
  <c r="BL32" i="72"/>
  <c r="AR32" i="72"/>
  <c r="D32" i="72"/>
  <c r="AK32" i="72"/>
  <c r="CV32" i="72"/>
  <c r="BX32" i="72"/>
  <c r="CU32" i="72"/>
  <c r="BW32" i="72"/>
  <c r="CP32" i="72"/>
  <c r="BR32" i="72"/>
  <c r="CH32" i="72"/>
  <c r="BJ32" i="72"/>
  <c r="BI32" i="72"/>
  <c r="AY32" i="72"/>
  <c r="CE32" i="72"/>
  <c r="BG32" i="72"/>
  <c r="AQ32" i="72"/>
  <c r="AN32" i="72"/>
  <c r="BB31" i="72"/>
  <c r="BA31" i="72"/>
  <c r="N31" i="72" s="1"/>
  <c r="B33" i="72"/>
  <c r="A34" i="72"/>
  <c r="BB32" i="71"/>
  <c r="BA32" i="71"/>
  <c r="N32" i="71" s="1"/>
  <c r="CT33" i="71"/>
  <c r="CD33" i="71"/>
  <c r="BV33" i="71"/>
  <c r="BN33" i="71"/>
  <c r="AX33" i="71"/>
  <c r="AP33" i="71"/>
  <c r="AH33" i="71"/>
  <c r="CS33" i="71"/>
  <c r="BU33" i="71"/>
  <c r="BM33" i="71"/>
  <c r="AW33" i="71"/>
  <c r="AO33" i="71"/>
  <c r="AG33" i="71"/>
  <c r="BS33" i="71"/>
  <c r="BK33" i="71"/>
  <c r="AU33" i="71"/>
  <c r="AM33" i="71"/>
  <c r="CP33" i="71"/>
  <c r="CE33" i="71"/>
  <c r="BR33" i="71"/>
  <c r="BG33" i="71"/>
  <c r="AY33" i="71"/>
  <c r="AK33" i="71"/>
  <c r="CO33" i="71"/>
  <c r="BQ33" i="71"/>
  <c r="AV33" i="71"/>
  <c r="AJ33" i="71"/>
  <c r="CN33" i="71"/>
  <c r="BP33" i="71"/>
  <c r="AT33" i="71"/>
  <c r="AI33" i="71"/>
  <c r="CW33" i="71"/>
  <c r="BL33" i="71"/>
  <c r="AR33" i="71"/>
  <c r="D33" i="71"/>
  <c r="CH33" i="71"/>
  <c r="BX33" i="71"/>
  <c r="AQ33" i="71"/>
  <c r="CU33" i="71"/>
  <c r="BW33" i="71"/>
  <c r="BI33" i="71"/>
  <c r="AN33" i="71"/>
  <c r="BZ33" i="71"/>
  <c r="AZ33" i="71"/>
  <c r="AS33" i="71"/>
  <c r="AL33" i="71"/>
  <c r="CR33" i="71"/>
  <c r="BH33" i="71"/>
  <c r="CF33" i="71"/>
  <c r="B34" i="71"/>
  <c r="A35" i="71"/>
  <c r="CR34" i="70"/>
  <c r="BT34" i="70"/>
  <c r="BL34" i="70"/>
  <c r="AV34" i="70"/>
  <c r="AN34" i="70"/>
  <c r="BK34" i="70"/>
  <c r="AU34" i="70"/>
  <c r="AM34" i="70"/>
  <c r="CW34" i="70"/>
  <c r="CO34" i="70"/>
  <c r="BY34" i="70"/>
  <c r="BQ34" i="70"/>
  <c r="AS34" i="70"/>
  <c r="AK34" i="70"/>
  <c r="D34" i="70"/>
  <c r="CS34" i="70"/>
  <c r="CE34" i="70"/>
  <c r="BU34" i="70"/>
  <c r="BG34" i="70"/>
  <c r="AX34" i="70"/>
  <c r="AJ34" i="70"/>
  <c r="CD34" i="70"/>
  <c r="BR34" i="70"/>
  <c r="AW34" i="70"/>
  <c r="AI34" i="70"/>
  <c r="CN34" i="70"/>
  <c r="BP34" i="70"/>
  <c r="AT34" i="70"/>
  <c r="AH34" i="70"/>
  <c r="BO34" i="70"/>
  <c r="AR34" i="70"/>
  <c r="AG34" i="70"/>
  <c r="BZ34" i="70"/>
  <c r="AQ34" i="70"/>
  <c r="CV34" i="70"/>
  <c r="BM34" i="70"/>
  <c r="AP34" i="70"/>
  <c r="CH34" i="70"/>
  <c r="BW34" i="70"/>
  <c r="BJ34" i="70"/>
  <c r="AZ34" i="70"/>
  <c r="AO34" i="70"/>
  <c r="CT34" i="70"/>
  <c r="BV34" i="70"/>
  <c r="BH34" i="70"/>
  <c r="AY34" i="70"/>
  <c r="AL34" i="70"/>
  <c r="BB33" i="70"/>
  <c r="BA33" i="70"/>
  <c r="N33" i="70" s="1"/>
  <c r="A36" i="70"/>
  <c r="B35" i="70"/>
  <c r="CT33" i="69"/>
  <c r="CD33" i="69"/>
  <c r="BV33" i="69"/>
  <c r="BN33" i="69"/>
  <c r="AX33" i="69"/>
  <c r="AP33" i="69"/>
  <c r="AH33" i="69"/>
  <c r="CS33" i="69"/>
  <c r="BU33" i="69"/>
  <c r="BM33" i="69"/>
  <c r="AW33" i="69"/>
  <c r="AO33" i="69"/>
  <c r="AG33" i="69"/>
  <c r="BS33" i="69"/>
  <c r="BK33" i="69"/>
  <c r="AU33" i="69"/>
  <c r="AM33" i="69"/>
  <c r="CR33" i="69"/>
  <c r="CF33" i="69"/>
  <c r="BT33" i="69"/>
  <c r="BH33" i="69"/>
  <c r="AZ33" i="69"/>
  <c r="AL33" i="69"/>
  <c r="CO33" i="69"/>
  <c r="BQ33" i="69"/>
  <c r="AV33" i="69"/>
  <c r="AJ33" i="69"/>
  <c r="CN33" i="69"/>
  <c r="BP33" i="69"/>
  <c r="AT33" i="69"/>
  <c r="AI33" i="69"/>
  <c r="CW33" i="69"/>
  <c r="BY33" i="69"/>
  <c r="BL33" i="69"/>
  <c r="BW33" i="69"/>
  <c r="AN33" i="69"/>
  <c r="CH33" i="69"/>
  <c r="BR33" i="69"/>
  <c r="AK33" i="69"/>
  <c r="BO33" i="69"/>
  <c r="D33" i="69"/>
  <c r="CE33" i="69"/>
  <c r="BJ33" i="69"/>
  <c r="BI33" i="69"/>
  <c r="AY33" i="69"/>
  <c r="CV33" i="69"/>
  <c r="BG33" i="69"/>
  <c r="AS33" i="69"/>
  <c r="CU33" i="69"/>
  <c r="BZ33" i="69"/>
  <c r="AR33" i="69"/>
  <c r="CP33" i="69"/>
  <c r="AQ33" i="69"/>
  <c r="BX33" i="69"/>
  <c r="BB32" i="69"/>
  <c r="BA32" i="69"/>
  <c r="N32" i="69" s="1"/>
  <c r="B34" i="69"/>
  <c r="A35" i="69"/>
  <c r="A35" i="68"/>
  <c r="B34" i="68"/>
  <c r="BB32" i="68"/>
  <c r="BA32" i="68"/>
  <c r="N32" i="68" s="1"/>
  <c r="CW33" i="68"/>
  <c r="CO33" i="68"/>
  <c r="BY33" i="68"/>
  <c r="BQ33" i="68"/>
  <c r="BI33" i="68"/>
  <c r="AS33" i="68"/>
  <c r="AK33" i="68"/>
  <c r="D33" i="68"/>
  <c r="CV33" i="68"/>
  <c r="CN33" i="68"/>
  <c r="CF33" i="68"/>
  <c r="BX33" i="68"/>
  <c r="BP33" i="68"/>
  <c r="BH33" i="68"/>
  <c r="AZ33" i="68"/>
  <c r="AR33" i="68"/>
  <c r="AJ33" i="68"/>
  <c r="CT33" i="68"/>
  <c r="CD33" i="68"/>
  <c r="BV33" i="68"/>
  <c r="BN33" i="68"/>
  <c r="AX33" i="68"/>
  <c r="AP33" i="68"/>
  <c r="AH33" i="68"/>
  <c r="CS33" i="68"/>
  <c r="CH33" i="68"/>
  <c r="BT33" i="68"/>
  <c r="BG33" i="68"/>
  <c r="AV33" i="68"/>
  <c r="AI33" i="68"/>
  <c r="CR33" i="68"/>
  <c r="CE33" i="68"/>
  <c r="BS33" i="68"/>
  <c r="AU33" i="68"/>
  <c r="AG33" i="68"/>
  <c r="BR33" i="68"/>
  <c r="AT33" i="68"/>
  <c r="CP33" i="68"/>
  <c r="BO33" i="68"/>
  <c r="AQ33" i="68"/>
  <c r="BM33" i="68"/>
  <c r="AO33" i="68"/>
  <c r="BZ33" i="68"/>
  <c r="BL33" i="68"/>
  <c r="AN33" i="68"/>
  <c r="BW33" i="68"/>
  <c r="BK33" i="68"/>
  <c r="AY33" i="68"/>
  <c r="AM33" i="68"/>
  <c r="AW33" i="68"/>
  <c r="AL33" i="68"/>
  <c r="BU33" i="68"/>
  <c r="BJ33" i="68"/>
  <c r="CU33" i="68"/>
  <c r="BB33" i="67"/>
  <c r="BA33" i="67"/>
  <c r="N33" i="67" s="1"/>
  <c r="A36" i="67"/>
  <c r="B35" i="67"/>
  <c r="CW34" i="67"/>
  <c r="CO34" i="67"/>
  <c r="BY34" i="67"/>
  <c r="BQ34" i="67"/>
  <c r="BI34" i="67"/>
  <c r="AS34" i="67"/>
  <c r="AK34" i="67"/>
  <c r="D34" i="67"/>
  <c r="CV34" i="67"/>
  <c r="CN34" i="67"/>
  <c r="CF34" i="67"/>
  <c r="BX34" i="67"/>
  <c r="BP34" i="67"/>
  <c r="BH34" i="67"/>
  <c r="AZ34" i="67"/>
  <c r="AR34" i="67"/>
  <c r="AJ34" i="67"/>
  <c r="CT34" i="67"/>
  <c r="CD34" i="67"/>
  <c r="BV34" i="67"/>
  <c r="BN34" i="67"/>
  <c r="AX34" i="67"/>
  <c r="AP34" i="67"/>
  <c r="AH34" i="67"/>
  <c r="BZ34" i="67"/>
  <c r="BL34" i="67"/>
  <c r="AN34" i="67"/>
  <c r="BW34" i="67"/>
  <c r="BK34" i="67"/>
  <c r="AY34" i="67"/>
  <c r="AM34" i="67"/>
  <c r="CU34" i="67"/>
  <c r="BU34" i="67"/>
  <c r="AW34" i="67"/>
  <c r="AL34" i="67"/>
  <c r="CS34" i="67"/>
  <c r="CH34" i="67"/>
  <c r="BG34" i="67"/>
  <c r="AV34" i="67"/>
  <c r="AI34" i="67"/>
  <c r="CR34" i="67"/>
  <c r="CE34" i="67"/>
  <c r="BS34" i="67"/>
  <c r="AU34" i="67"/>
  <c r="AG34" i="67"/>
  <c r="BR34" i="67"/>
  <c r="AT34" i="67"/>
  <c r="CP34" i="67"/>
  <c r="BO34" i="67"/>
  <c r="BM34" i="67"/>
  <c r="AO34" i="67"/>
  <c r="AQ34" i="67"/>
  <c r="BB33" i="66"/>
  <c r="BA33" i="66"/>
  <c r="N33" i="66" s="1"/>
  <c r="A36" i="66"/>
  <c r="B35" i="66"/>
  <c r="CA33" i="66"/>
  <c r="O33" i="66" s="1"/>
  <c r="CW34" i="66"/>
  <c r="CO34" i="66"/>
  <c r="BY34" i="66"/>
  <c r="BQ34" i="66"/>
  <c r="BI34" i="66"/>
  <c r="AS34" i="66"/>
  <c r="AK34" i="66"/>
  <c r="D34" i="66"/>
  <c r="CV34" i="66"/>
  <c r="CN34" i="66"/>
  <c r="CF34" i="66"/>
  <c r="BX34" i="66"/>
  <c r="BP34" i="66"/>
  <c r="BH34" i="66"/>
  <c r="AZ34" i="66"/>
  <c r="AR34" i="66"/>
  <c r="AJ34" i="66"/>
  <c r="CT34" i="66"/>
  <c r="CD34" i="66"/>
  <c r="BV34" i="66"/>
  <c r="BN34" i="66"/>
  <c r="AX34" i="66"/>
  <c r="AP34" i="66"/>
  <c r="AH34" i="66"/>
  <c r="BW34" i="66"/>
  <c r="BK34" i="66"/>
  <c r="AY34" i="66"/>
  <c r="AM34" i="66"/>
  <c r="CR34" i="66"/>
  <c r="CE34" i="66"/>
  <c r="BS34" i="66"/>
  <c r="AU34" i="66"/>
  <c r="AG34" i="66"/>
  <c r="BR34" i="66"/>
  <c r="AT34" i="66"/>
  <c r="CP34" i="66"/>
  <c r="BO34" i="66"/>
  <c r="AQ34" i="66"/>
  <c r="BG34" i="66"/>
  <c r="AO34" i="66"/>
  <c r="CU34" i="66"/>
  <c r="AN34" i="66"/>
  <c r="CS34" i="66"/>
  <c r="BZ34" i="66"/>
  <c r="AL34" i="66"/>
  <c r="BU34" i="66"/>
  <c r="AI34" i="66"/>
  <c r="BT34" i="66"/>
  <c r="BM34" i="66"/>
  <c r="CH34" i="66"/>
  <c r="BL34" i="66"/>
  <c r="AW34" i="66"/>
  <c r="BJ34" i="66"/>
  <c r="AV34" i="66"/>
  <c r="BB32" i="65"/>
  <c r="BA32" i="65"/>
  <c r="N32" i="65" s="1"/>
  <c r="A35" i="65"/>
  <c r="B34" i="65"/>
  <c r="CW33" i="65"/>
  <c r="CO33" i="65"/>
  <c r="BY33" i="65"/>
  <c r="BQ33" i="65"/>
  <c r="BI33" i="65"/>
  <c r="AS33" i="65"/>
  <c r="AK33" i="65"/>
  <c r="D33" i="65"/>
  <c r="CV33" i="65"/>
  <c r="CN33" i="65"/>
  <c r="CF33" i="65"/>
  <c r="BX33" i="65"/>
  <c r="BH33" i="65"/>
  <c r="AZ33" i="65"/>
  <c r="AR33" i="65"/>
  <c r="AJ33" i="65"/>
  <c r="CT33" i="65"/>
  <c r="CD33" i="65"/>
  <c r="BV33" i="65"/>
  <c r="BN33" i="65"/>
  <c r="AX33" i="65"/>
  <c r="AP33" i="65"/>
  <c r="AH33" i="65"/>
  <c r="CP33" i="65"/>
  <c r="BO33" i="65"/>
  <c r="AQ33" i="65"/>
  <c r="BM33" i="65"/>
  <c r="AO33" i="65"/>
  <c r="BZ33" i="65"/>
  <c r="BJ33" i="65"/>
  <c r="AW33" i="65"/>
  <c r="AG33" i="65"/>
  <c r="BW33" i="65"/>
  <c r="BG33" i="65"/>
  <c r="AV33" i="65"/>
  <c r="BU33" i="65"/>
  <c r="AU33" i="65"/>
  <c r="BT33" i="65"/>
  <c r="AT33" i="65"/>
  <c r="BS33" i="65"/>
  <c r="AN33" i="65"/>
  <c r="CU33" i="65"/>
  <c r="CE33" i="65"/>
  <c r="BR33" i="65"/>
  <c r="AM33" i="65"/>
  <c r="CS33" i="65"/>
  <c r="BL33" i="65"/>
  <c r="AL33" i="65"/>
  <c r="CR33" i="65"/>
  <c r="AY33" i="65"/>
  <c r="AI33" i="65"/>
  <c r="A35" i="64"/>
  <c r="B34" i="64"/>
  <c r="CT33" i="64"/>
  <c r="CD33" i="64"/>
  <c r="BV33" i="64"/>
  <c r="BN33" i="64"/>
  <c r="AX33" i="64"/>
  <c r="AP33" i="64"/>
  <c r="AH33" i="64"/>
  <c r="CR33" i="64"/>
  <c r="BZ33" i="64"/>
  <c r="BQ33" i="64"/>
  <c r="AZ33" i="64"/>
  <c r="AQ33" i="64"/>
  <c r="AG33" i="64"/>
  <c r="CH33" i="64"/>
  <c r="BY33" i="64"/>
  <c r="BP33" i="64"/>
  <c r="BG33" i="64"/>
  <c r="AY33" i="64"/>
  <c r="AO33" i="64"/>
  <c r="CP33" i="64"/>
  <c r="BX33" i="64"/>
  <c r="BO33" i="64"/>
  <c r="AW33" i="64"/>
  <c r="AN33" i="64"/>
  <c r="CW33" i="64"/>
  <c r="CN33" i="64"/>
  <c r="BU33" i="64"/>
  <c r="BL33" i="64"/>
  <c r="AU33" i="64"/>
  <c r="AL33" i="64"/>
  <c r="D33" i="64"/>
  <c r="CV33" i="64"/>
  <c r="CU33" i="64"/>
  <c r="BK33" i="64"/>
  <c r="AI33" i="64"/>
  <c r="BJ33" i="64"/>
  <c r="AV33" i="64"/>
  <c r="BI33" i="64"/>
  <c r="AT33" i="64"/>
  <c r="CS33" i="64"/>
  <c r="BW33" i="64"/>
  <c r="AS33" i="64"/>
  <c r="CO33" i="64"/>
  <c r="BT33" i="64"/>
  <c r="AR33" i="64"/>
  <c r="BS33" i="64"/>
  <c r="AM33" i="64"/>
  <c r="BR33" i="64"/>
  <c r="AK33" i="64"/>
  <c r="CF33" i="64"/>
  <c r="BM33" i="64"/>
  <c r="AJ33" i="64"/>
  <c r="BB32" i="64"/>
  <c r="BA32" i="64"/>
  <c r="N32" i="64" s="1"/>
  <c r="CA32" i="63"/>
  <c r="O32" i="63" s="1"/>
  <c r="CT33" i="63"/>
  <c r="CD33" i="63"/>
  <c r="BV33" i="63"/>
  <c r="BN33" i="63"/>
  <c r="AX33" i="63"/>
  <c r="AP33" i="63"/>
  <c r="AH33" i="63"/>
  <c r="BS33" i="63"/>
  <c r="BK33" i="63"/>
  <c r="AU33" i="63"/>
  <c r="AM33" i="63"/>
  <c r="CP33" i="63"/>
  <c r="CF33" i="63"/>
  <c r="BU33" i="63"/>
  <c r="BJ33" i="63"/>
  <c r="AR33" i="63"/>
  <c r="AG33" i="63"/>
  <c r="CO33" i="63"/>
  <c r="CE33" i="63"/>
  <c r="BT33" i="63"/>
  <c r="BI33" i="63"/>
  <c r="AQ33" i="63"/>
  <c r="CW33" i="63"/>
  <c r="BQ33" i="63"/>
  <c r="BG33" i="63"/>
  <c r="AY33" i="63"/>
  <c r="AN33" i="63"/>
  <c r="D33" i="63"/>
  <c r="CH33" i="63"/>
  <c r="BR33" i="63"/>
  <c r="AL33" i="63"/>
  <c r="CV33" i="63"/>
  <c r="BP33" i="63"/>
  <c r="AK33" i="63"/>
  <c r="CU33" i="63"/>
  <c r="BO33" i="63"/>
  <c r="AZ33" i="63"/>
  <c r="AJ33" i="63"/>
  <c r="CS33" i="63"/>
  <c r="BM33" i="63"/>
  <c r="AW33" i="63"/>
  <c r="AI33" i="63"/>
  <c r="CR33" i="63"/>
  <c r="BZ33" i="63"/>
  <c r="BL33" i="63"/>
  <c r="AV33" i="63"/>
  <c r="CN33" i="63"/>
  <c r="BY33" i="63"/>
  <c r="BH33" i="63"/>
  <c r="AT33" i="63"/>
  <c r="AS33" i="63"/>
  <c r="AO33" i="63"/>
  <c r="BX33" i="63"/>
  <c r="BW33" i="63"/>
  <c r="BB32" i="63"/>
  <c r="BA32" i="63"/>
  <c r="N32" i="63" s="1"/>
  <c r="Y32" i="63" s="1"/>
  <c r="Y39" i="63" s="1"/>
  <c r="B34" i="63"/>
  <c r="A35" i="63"/>
  <c r="CI35" i="67" l="1"/>
  <c r="CQ35" i="67"/>
  <c r="CJ35" i="67"/>
  <c r="CL35" i="67"/>
  <c r="CK35" i="67"/>
  <c r="CG35" i="67"/>
  <c r="CM35" i="67"/>
  <c r="CI35" i="70"/>
  <c r="CK35" i="70"/>
  <c r="CM35" i="70"/>
  <c r="CQ35" i="70"/>
  <c r="CJ35" i="70"/>
  <c r="CI34" i="73"/>
  <c r="CJ34" i="73"/>
  <c r="CQ34" i="73"/>
  <c r="CK34" i="73"/>
  <c r="CL34" i="73"/>
  <c r="CM34" i="73"/>
  <c r="CG34" i="73"/>
  <c r="CJ33" i="72"/>
  <c r="CK33" i="72"/>
  <c r="CL33" i="72"/>
  <c r="CM33" i="72"/>
  <c r="CG33" i="72"/>
  <c r="CQ33" i="72"/>
  <c r="CI33" i="72"/>
  <c r="CI34" i="68"/>
  <c r="CJ34" i="68"/>
  <c r="CQ34" i="68"/>
  <c r="CK34" i="68"/>
  <c r="CL34" i="68"/>
  <c r="CM34" i="68"/>
  <c r="CG34" i="68"/>
  <c r="CQ34" i="71"/>
  <c r="CI34" i="71"/>
  <c r="CJ34" i="71"/>
  <c r="CK34" i="71"/>
  <c r="CL34" i="71"/>
  <c r="CG34" i="71"/>
  <c r="CI34" i="69"/>
  <c r="CJ34" i="69"/>
  <c r="CQ34" i="69"/>
  <c r="CK34" i="69"/>
  <c r="CL34" i="69"/>
  <c r="CM34" i="69"/>
  <c r="CG34" i="69"/>
  <c r="CI35" i="66"/>
  <c r="CQ35" i="66"/>
  <c r="CJ35" i="66"/>
  <c r="CG35" i="66"/>
  <c r="CM35" i="66"/>
  <c r="CK35" i="66"/>
  <c r="CL35" i="66"/>
  <c r="CI34" i="65"/>
  <c r="CJ34" i="65"/>
  <c r="CG34" i="65"/>
  <c r="CK34" i="65"/>
  <c r="CQ34" i="65"/>
  <c r="CL34" i="65"/>
  <c r="CM34" i="65"/>
  <c r="CI34" i="64"/>
  <c r="CL34" i="64"/>
  <c r="CM34" i="64"/>
  <c r="CG34" i="64"/>
  <c r="CQ34" i="64"/>
  <c r="CJ34" i="64"/>
  <c r="CK34" i="64"/>
  <c r="CI34" i="63"/>
  <c r="CJ34" i="63"/>
  <c r="CK34" i="63"/>
  <c r="CL34" i="63"/>
  <c r="CM34" i="63"/>
  <c r="CQ34" i="63"/>
  <c r="CG34" i="63"/>
  <c r="CX33" i="68"/>
  <c r="P33" i="68" s="1"/>
  <c r="CX33" i="69"/>
  <c r="P33" i="69" s="1"/>
  <c r="CX33" i="73"/>
  <c r="P33" i="73" s="1"/>
  <c r="Q32" i="73"/>
  <c r="CA33" i="73"/>
  <c r="O33" i="73" s="1"/>
  <c r="BB33" i="73"/>
  <c r="BA33" i="73"/>
  <c r="N33" i="73" s="1"/>
  <c r="A36" i="73"/>
  <c r="B35" i="73"/>
  <c r="CW34" i="73"/>
  <c r="CO34" i="73"/>
  <c r="BY34" i="73"/>
  <c r="BQ34" i="73"/>
  <c r="BI34" i="73"/>
  <c r="AS34" i="73"/>
  <c r="AK34" i="73"/>
  <c r="D34" i="73"/>
  <c r="CV34" i="73"/>
  <c r="CN34" i="73"/>
  <c r="CF34" i="73"/>
  <c r="BX34" i="73"/>
  <c r="BP34" i="73"/>
  <c r="BH34" i="73"/>
  <c r="AZ34" i="73"/>
  <c r="AR34" i="73"/>
  <c r="AJ34" i="73"/>
  <c r="CT34" i="73"/>
  <c r="CD34" i="73"/>
  <c r="BV34" i="73"/>
  <c r="BN34" i="73"/>
  <c r="AX34" i="73"/>
  <c r="AP34" i="73"/>
  <c r="AH34" i="73"/>
  <c r="CP34" i="73"/>
  <c r="BO34" i="73"/>
  <c r="AQ34" i="73"/>
  <c r="BM34" i="73"/>
  <c r="AO34" i="73"/>
  <c r="BZ34" i="73"/>
  <c r="BL34" i="73"/>
  <c r="AN34" i="73"/>
  <c r="BW34" i="73"/>
  <c r="BK34" i="73"/>
  <c r="AY34" i="73"/>
  <c r="AM34" i="73"/>
  <c r="CS34" i="73"/>
  <c r="CH34" i="73"/>
  <c r="BT34" i="73"/>
  <c r="BG34" i="73"/>
  <c r="AV34" i="73"/>
  <c r="AI34" i="73"/>
  <c r="CR34" i="73"/>
  <c r="CE34" i="73"/>
  <c r="BS34" i="73"/>
  <c r="AU34" i="73"/>
  <c r="AG34" i="73"/>
  <c r="BR34" i="73"/>
  <c r="AT34" i="73"/>
  <c r="BU34" i="73"/>
  <c r="BJ34" i="73"/>
  <c r="CU34" i="73"/>
  <c r="AW34" i="73"/>
  <c r="AL34" i="73"/>
  <c r="A35" i="72"/>
  <c r="B34" i="72"/>
  <c r="BB32" i="72"/>
  <c r="BA32" i="72"/>
  <c r="N32" i="72" s="1"/>
  <c r="CW33" i="72"/>
  <c r="CO33" i="72"/>
  <c r="BY33" i="72"/>
  <c r="BQ33" i="72"/>
  <c r="BI33" i="72"/>
  <c r="AS33" i="72"/>
  <c r="AK33" i="72"/>
  <c r="D33" i="72"/>
  <c r="CV33" i="72"/>
  <c r="CN33" i="72"/>
  <c r="CF33" i="72"/>
  <c r="BX33" i="72"/>
  <c r="BP33" i="72"/>
  <c r="BH33" i="72"/>
  <c r="AZ33" i="72"/>
  <c r="AR33" i="72"/>
  <c r="AJ33" i="72"/>
  <c r="CT33" i="72"/>
  <c r="CD33" i="72"/>
  <c r="BV33" i="72"/>
  <c r="BN33" i="72"/>
  <c r="AX33" i="72"/>
  <c r="AP33" i="72"/>
  <c r="AH33" i="72"/>
  <c r="BR33" i="72"/>
  <c r="AT33" i="72"/>
  <c r="BM33" i="72"/>
  <c r="AO33" i="72"/>
  <c r="BZ33" i="72"/>
  <c r="BL33" i="72"/>
  <c r="AN33" i="72"/>
  <c r="BW33" i="72"/>
  <c r="BK33" i="72"/>
  <c r="AY33" i="72"/>
  <c r="AM33" i="72"/>
  <c r="CU33" i="72"/>
  <c r="BU33" i="72"/>
  <c r="BJ33" i="72"/>
  <c r="AW33" i="72"/>
  <c r="AL33" i="72"/>
  <c r="BT33" i="72"/>
  <c r="AV33" i="72"/>
  <c r="CS33" i="72"/>
  <c r="BS33" i="72"/>
  <c r="AU33" i="72"/>
  <c r="CR33" i="72"/>
  <c r="BO33" i="72"/>
  <c r="AQ33" i="72"/>
  <c r="CP33" i="72"/>
  <c r="BG33" i="72"/>
  <c r="AI33" i="72"/>
  <c r="CH33" i="72"/>
  <c r="AG33" i="72"/>
  <c r="CE33" i="72"/>
  <c r="CA32" i="72"/>
  <c r="O32" i="72" s="1"/>
  <c r="A36" i="71"/>
  <c r="B35" i="71"/>
  <c r="CO34" i="71"/>
  <c r="BY34" i="71"/>
  <c r="BQ34" i="71"/>
  <c r="BI34" i="71"/>
  <c r="AS34" i="71"/>
  <c r="AK34" i="71"/>
  <c r="D34" i="71"/>
  <c r="CV34" i="71"/>
  <c r="CN34" i="71"/>
  <c r="CF34" i="71"/>
  <c r="BX34" i="71"/>
  <c r="BH34" i="71"/>
  <c r="AZ34" i="71"/>
  <c r="AR34" i="71"/>
  <c r="AJ34" i="71"/>
  <c r="CT34" i="71"/>
  <c r="CD34" i="71"/>
  <c r="BV34" i="71"/>
  <c r="BN34" i="71"/>
  <c r="AX34" i="71"/>
  <c r="AP34" i="71"/>
  <c r="AH34" i="71"/>
  <c r="CP34" i="71"/>
  <c r="BO34" i="71"/>
  <c r="AQ34" i="71"/>
  <c r="BM34" i="71"/>
  <c r="AO34" i="71"/>
  <c r="BL34" i="71"/>
  <c r="AN34" i="71"/>
  <c r="BW34" i="71"/>
  <c r="AY34" i="71"/>
  <c r="AM34" i="71"/>
  <c r="CU34" i="71"/>
  <c r="BJ34" i="71"/>
  <c r="AW34" i="71"/>
  <c r="AL34" i="71"/>
  <c r="CS34" i="71"/>
  <c r="BT34" i="71"/>
  <c r="BG34" i="71"/>
  <c r="AV34" i="71"/>
  <c r="AI34" i="71"/>
  <c r="CE34" i="71"/>
  <c r="BS34" i="71"/>
  <c r="AU34" i="71"/>
  <c r="AG34" i="71"/>
  <c r="AT34" i="71"/>
  <c r="BR34" i="71"/>
  <c r="BB33" i="71"/>
  <c r="BA33" i="71"/>
  <c r="N33" i="71" s="1"/>
  <c r="CU35" i="70"/>
  <c r="CE35" i="70"/>
  <c r="BW35" i="70"/>
  <c r="BG35" i="70"/>
  <c r="AY35" i="70"/>
  <c r="AQ35" i="70"/>
  <c r="AI35" i="70"/>
  <c r="CT35" i="70"/>
  <c r="CD35" i="70"/>
  <c r="BV35" i="70"/>
  <c r="BN35" i="70"/>
  <c r="AX35" i="70"/>
  <c r="AP35" i="70"/>
  <c r="AH35" i="70"/>
  <c r="CR35" i="70"/>
  <c r="BL35" i="70"/>
  <c r="AV35" i="70"/>
  <c r="AN35" i="70"/>
  <c r="CN35" i="70"/>
  <c r="BP35" i="70"/>
  <c r="AS35" i="70"/>
  <c r="BZ35" i="70"/>
  <c r="BM35" i="70"/>
  <c r="AR35" i="70"/>
  <c r="CW35" i="70"/>
  <c r="BK35" i="70"/>
  <c r="AO35" i="70"/>
  <c r="D35" i="70"/>
  <c r="CH35" i="70"/>
  <c r="BX35" i="70"/>
  <c r="AM35" i="70"/>
  <c r="CS35" i="70"/>
  <c r="BU35" i="70"/>
  <c r="BI35" i="70"/>
  <c r="AZ35" i="70"/>
  <c r="AL35" i="70"/>
  <c r="CF35" i="70"/>
  <c r="BS35" i="70"/>
  <c r="BH35" i="70"/>
  <c r="AW35" i="70"/>
  <c r="AK35" i="70"/>
  <c r="CP35" i="70"/>
  <c r="BR35" i="70"/>
  <c r="AU35" i="70"/>
  <c r="AJ35" i="70"/>
  <c r="CO35" i="70"/>
  <c r="BQ35" i="70"/>
  <c r="AT35" i="70"/>
  <c r="AG35" i="70"/>
  <c r="A37" i="70"/>
  <c r="B36" i="70"/>
  <c r="BB34" i="70"/>
  <c r="BA34" i="70"/>
  <c r="N34" i="70" s="1"/>
  <c r="A36" i="69"/>
  <c r="B35" i="69"/>
  <c r="CW34" i="69"/>
  <c r="CO34" i="69"/>
  <c r="BY34" i="69"/>
  <c r="BQ34" i="69"/>
  <c r="BI34" i="69"/>
  <c r="AS34" i="69"/>
  <c r="AK34" i="69"/>
  <c r="D34" i="69"/>
  <c r="CV34" i="69"/>
  <c r="CN34" i="69"/>
  <c r="CF34" i="69"/>
  <c r="BX34" i="69"/>
  <c r="BP34" i="69"/>
  <c r="BH34" i="69"/>
  <c r="AZ34" i="69"/>
  <c r="AR34" i="69"/>
  <c r="AJ34" i="69"/>
  <c r="CT34" i="69"/>
  <c r="CD34" i="69"/>
  <c r="BV34" i="69"/>
  <c r="BN34" i="69"/>
  <c r="AX34" i="69"/>
  <c r="AP34" i="69"/>
  <c r="AH34" i="69"/>
  <c r="BR34" i="69"/>
  <c r="AT34" i="69"/>
  <c r="BM34" i="69"/>
  <c r="AO34" i="69"/>
  <c r="BZ34" i="69"/>
  <c r="BL34" i="69"/>
  <c r="AN34" i="69"/>
  <c r="BW34" i="69"/>
  <c r="BK34" i="69"/>
  <c r="AY34" i="69"/>
  <c r="AM34" i="69"/>
  <c r="CU34" i="69"/>
  <c r="BU34" i="69"/>
  <c r="BJ34" i="69"/>
  <c r="AW34" i="69"/>
  <c r="AL34" i="69"/>
  <c r="CR34" i="69"/>
  <c r="BO34" i="69"/>
  <c r="AQ34" i="69"/>
  <c r="CP34" i="69"/>
  <c r="BG34" i="69"/>
  <c r="AI34" i="69"/>
  <c r="CH34" i="69"/>
  <c r="AG34" i="69"/>
  <c r="CE34" i="69"/>
  <c r="BT34" i="69"/>
  <c r="AV34" i="69"/>
  <c r="CS34" i="69"/>
  <c r="AU34" i="69"/>
  <c r="BS34" i="69"/>
  <c r="BB33" i="69"/>
  <c r="BA33" i="69"/>
  <c r="N33" i="69" s="1"/>
  <c r="CA33" i="69"/>
  <c r="O33" i="69" s="1"/>
  <c r="CA33" i="68"/>
  <c r="O33" i="68" s="1"/>
  <c r="CR34" i="68"/>
  <c r="BT34" i="68"/>
  <c r="BL34" i="68"/>
  <c r="AV34" i="68"/>
  <c r="AN34" i="68"/>
  <c r="BS34" i="68"/>
  <c r="BK34" i="68"/>
  <c r="AU34" i="68"/>
  <c r="AM34" i="68"/>
  <c r="CW34" i="68"/>
  <c r="CO34" i="68"/>
  <c r="BY34" i="68"/>
  <c r="BQ34" i="68"/>
  <c r="BI34" i="68"/>
  <c r="AS34" i="68"/>
  <c r="AK34" i="68"/>
  <c r="D34" i="68"/>
  <c r="CN34" i="68"/>
  <c r="BP34" i="68"/>
  <c r="AT34" i="68"/>
  <c r="AH34" i="68"/>
  <c r="BO34" i="68"/>
  <c r="AR34" i="68"/>
  <c r="AG34" i="68"/>
  <c r="BZ34" i="68"/>
  <c r="BN34" i="68"/>
  <c r="AQ34" i="68"/>
  <c r="CV34" i="68"/>
  <c r="BX34" i="68"/>
  <c r="BM34" i="68"/>
  <c r="AP34" i="68"/>
  <c r="CU34" i="68"/>
  <c r="CH34" i="68"/>
  <c r="BW34" i="68"/>
  <c r="BJ34" i="68"/>
  <c r="AZ34" i="68"/>
  <c r="AO34" i="68"/>
  <c r="CT34" i="68"/>
  <c r="CF34" i="68"/>
  <c r="BV34" i="68"/>
  <c r="BH34" i="68"/>
  <c r="AY34" i="68"/>
  <c r="AL34" i="68"/>
  <c r="CS34" i="68"/>
  <c r="CE34" i="68"/>
  <c r="BU34" i="68"/>
  <c r="BG34" i="68"/>
  <c r="AX34" i="68"/>
  <c r="AJ34" i="68"/>
  <c r="BR34" i="68"/>
  <c r="CP34" i="68"/>
  <c r="CD34" i="68"/>
  <c r="AW34" i="68"/>
  <c r="AI34" i="68"/>
  <c r="BB33" i="68"/>
  <c r="BA33" i="68"/>
  <c r="N33" i="68" s="1"/>
  <c r="A36" i="68"/>
  <c r="B35" i="68"/>
  <c r="BB34" i="67"/>
  <c r="BA34" i="67"/>
  <c r="N34" i="67" s="1"/>
  <c r="BT35" i="67"/>
  <c r="BL35" i="67"/>
  <c r="AV35" i="67"/>
  <c r="AN35" i="67"/>
  <c r="BS35" i="67"/>
  <c r="AU35" i="67"/>
  <c r="AM35" i="67"/>
  <c r="CW35" i="67"/>
  <c r="CO35" i="67"/>
  <c r="BY35" i="67"/>
  <c r="BQ35" i="67"/>
  <c r="BI35" i="67"/>
  <c r="AS35" i="67"/>
  <c r="AK35" i="67"/>
  <c r="D35" i="67"/>
  <c r="CT35" i="67"/>
  <c r="CF35" i="67"/>
  <c r="BV35" i="67"/>
  <c r="BH35" i="67"/>
  <c r="AY35" i="67"/>
  <c r="AL35" i="67"/>
  <c r="CS35" i="67"/>
  <c r="CE35" i="67"/>
  <c r="BG35" i="67"/>
  <c r="AX35" i="67"/>
  <c r="AJ35" i="67"/>
  <c r="CP35" i="67"/>
  <c r="CD35" i="67"/>
  <c r="BR35" i="67"/>
  <c r="AW35" i="67"/>
  <c r="AI35" i="67"/>
  <c r="CN35" i="67"/>
  <c r="BP35" i="67"/>
  <c r="AT35" i="67"/>
  <c r="AH35" i="67"/>
  <c r="BO35" i="67"/>
  <c r="AR35" i="67"/>
  <c r="AG35" i="67"/>
  <c r="BZ35" i="67"/>
  <c r="BN35" i="67"/>
  <c r="AQ35" i="67"/>
  <c r="CV35" i="67"/>
  <c r="BX35" i="67"/>
  <c r="BM35" i="67"/>
  <c r="AP35" i="67"/>
  <c r="CU35" i="67"/>
  <c r="BW35" i="67"/>
  <c r="BJ35" i="67"/>
  <c r="AZ35" i="67"/>
  <c r="AO35" i="67"/>
  <c r="A37" i="67"/>
  <c r="B36" i="67"/>
  <c r="BB34" i="66"/>
  <c r="BA34" i="66"/>
  <c r="N34" i="66" s="1"/>
  <c r="CA34" i="66"/>
  <c r="O34" i="66" s="1"/>
  <c r="CR35" i="66"/>
  <c r="BT35" i="66"/>
  <c r="BL35" i="66"/>
  <c r="AV35" i="66"/>
  <c r="AN35" i="66"/>
  <c r="BS35" i="66"/>
  <c r="BK35" i="66"/>
  <c r="AU35" i="66"/>
  <c r="AM35" i="66"/>
  <c r="CW35" i="66"/>
  <c r="CO35" i="66"/>
  <c r="BY35" i="66"/>
  <c r="BQ35" i="66"/>
  <c r="BI35" i="66"/>
  <c r="AS35" i="66"/>
  <c r="AK35" i="66"/>
  <c r="D35" i="66"/>
  <c r="CS35" i="66"/>
  <c r="CE35" i="66"/>
  <c r="BU35" i="66"/>
  <c r="BG35" i="66"/>
  <c r="AX35" i="66"/>
  <c r="AJ35" i="66"/>
  <c r="CP35" i="66"/>
  <c r="CD35" i="66"/>
  <c r="BR35" i="66"/>
  <c r="BO35" i="66"/>
  <c r="AR35" i="66"/>
  <c r="AG35" i="66"/>
  <c r="BZ35" i="66"/>
  <c r="BN35" i="66"/>
  <c r="AQ35" i="66"/>
  <c r="CV35" i="66"/>
  <c r="BX35" i="66"/>
  <c r="BM35" i="66"/>
  <c r="AP35" i="66"/>
  <c r="CT35" i="66"/>
  <c r="BP35" i="66"/>
  <c r="AY35" i="66"/>
  <c r="CN35" i="66"/>
  <c r="BJ35" i="66"/>
  <c r="AW35" i="66"/>
  <c r="CH35" i="66"/>
  <c r="BH35" i="66"/>
  <c r="AT35" i="66"/>
  <c r="CF35" i="66"/>
  <c r="AO35" i="66"/>
  <c r="AL35" i="66"/>
  <c r="AI35" i="66"/>
  <c r="BW35" i="66"/>
  <c r="AH35" i="66"/>
  <c r="CU35" i="66"/>
  <c r="BV35" i="66"/>
  <c r="AZ35" i="66"/>
  <c r="A37" i="66"/>
  <c r="B36" i="66"/>
  <c r="BB33" i="65"/>
  <c r="BA33" i="65"/>
  <c r="N33" i="65" s="1"/>
  <c r="CR34" i="65"/>
  <c r="BT34" i="65"/>
  <c r="BL34" i="65"/>
  <c r="AV34" i="65"/>
  <c r="AN34" i="65"/>
  <c r="BS34" i="65"/>
  <c r="BK34" i="65"/>
  <c r="AU34" i="65"/>
  <c r="AM34" i="65"/>
  <c r="CW34" i="65"/>
  <c r="CO34" i="65"/>
  <c r="BY34" i="65"/>
  <c r="BQ34" i="65"/>
  <c r="BI34" i="65"/>
  <c r="AS34" i="65"/>
  <c r="AK34" i="65"/>
  <c r="D34" i="65"/>
  <c r="CV34" i="65"/>
  <c r="BX34" i="65"/>
  <c r="BM34" i="65"/>
  <c r="AP34" i="65"/>
  <c r="CU34" i="65"/>
  <c r="CH34" i="65"/>
  <c r="BW34" i="65"/>
  <c r="BJ34" i="65"/>
  <c r="AZ34" i="65"/>
  <c r="AO34" i="65"/>
  <c r="CN34" i="65"/>
  <c r="BP34" i="65"/>
  <c r="AT34" i="65"/>
  <c r="CE34" i="65"/>
  <c r="BO34" i="65"/>
  <c r="AY34" i="65"/>
  <c r="AH34" i="65"/>
  <c r="CD34" i="65"/>
  <c r="BN34" i="65"/>
  <c r="AX34" i="65"/>
  <c r="AG34" i="65"/>
  <c r="BH34" i="65"/>
  <c r="AW34" i="65"/>
  <c r="CT34" i="65"/>
  <c r="BG34" i="65"/>
  <c r="AR34" i="65"/>
  <c r="CS34" i="65"/>
  <c r="BZ34" i="65"/>
  <c r="AQ34" i="65"/>
  <c r="CP34" i="65"/>
  <c r="BV34" i="65"/>
  <c r="AL34" i="65"/>
  <c r="BU34" i="65"/>
  <c r="AJ34" i="65"/>
  <c r="CF34" i="65"/>
  <c r="BR34" i="65"/>
  <c r="AI34" i="65"/>
  <c r="A36" i="65"/>
  <c r="B35" i="65"/>
  <c r="BB33" i="64"/>
  <c r="BA33" i="64"/>
  <c r="N33" i="64" s="1"/>
  <c r="CW34" i="64"/>
  <c r="CO34" i="64"/>
  <c r="BY34" i="64"/>
  <c r="BQ34" i="64"/>
  <c r="AS34" i="64"/>
  <c r="AK34" i="64"/>
  <c r="D34" i="64"/>
  <c r="CT34" i="64"/>
  <c r="CD34" i="64"/>
  <c r="BV34" i="64"/>
  <c r="BN34" i="64"/>
  <c r="AX34" i="64"/>
  <c r="AP34" i="64"/>
  <c r="AH34" i="64"/>
  <c r="CP34" i="64"/>
  <c r="CE34" i="64"/>
  <c r="BT34" i="64"/>
  <c r="BJ34" i="64"/>
  <c r="AZ34" i="64"/>
  <c r="AO34" i="64"/>
  <c r="CN34" i="64"/>
  <c r="BS34" i="64"/>
  <c r="BH34" i="64"/>
  <c r="AY34" i="64"/>
  <c r="AN34" i="64"/>
  <c r="BR34" i="64"/>
  <c r="BG34" i="64"/>
  <c r="AW34" i="64"/>
  <c r="AM34" i="64"/>
  <c r="CV34" i="64"/>
  <c r="BP34" i="64"/>
  <c r="AV34" i="64"/>
  <c r="AL34" i="64"/>
  <c r="CS34" i="64"/>
  <c r="BX34" i="64"/>
  <c r="BM34" i="64"/>
  <c r="AT34" i="64"/>
  <c r="AI34" i="64"/>
  <c r="CR34" i="64"/>
  <c r="CH34" i="64"/>
  <c r="BW34" i="64"/>
  <c r="BL34" i="64"/>
  <c r="AR34" i="64"/>
  <c r="AG34" i="64"/>
  <c r="BU34" i="64"/>
  <c r="BK34" i="64"/>
  <c r="AQ34" i="64"/>
  <c r="AU34" i="64"/>
  <c r="AJ34" i="64"/>
  <c r="BZ34" i="64"/>
  <c r="BO34" i="64"/>
  <c r="CU34" i="64"/>
  <c r="A36" i="64"/>
  <c r="B35" i="64"/>
  <c r="A36" i="63"/>
  <c r="B35" i="63"/>
  <c r="CW34" i="63"/>
  <c r="CO34" i="63"/>
  <c r="BY34" i="63"/>
  <c r="BQ34" i="63"/>
  <c r="BI34" i="63"/>
  <c r="AS34" i="63"/>
  <c r="AK34" i="63"/>
  <c r="D34" i="63"/>
  <c r="CV34" i="63"/>
  <c r="CN34" i="63"/>
  <c r="CF34" i="63"/>
  <c r="BX34" i="63"/>
  <c r="BP34" i="63"/>
  <c r="BH34" i="63"/>
  <c r="AZ34" i="63"/>
  <c r="AR34" i="63"/>
  <c r="AJ34" i="63"/>
  <c r="CT34" i="63"/>
  <c r="BV34" i="63"/>
  <c r="BN34" i="63"/>
  <c r="AX34" i="63"/>
  <c r="AP34" i="63"/>
  <c r="AH34" i="63"/>
  <c r="BZ34" i="63"/>
  <c r="BL34" i="63"/>
  <c r="AN34" i="63"/>
  <c r="BW34" i="63"/>
  <c r="BK34" i="63"/>
  <c r="AY34" i="63"/>
  <c r="AM34" i="63"/>
  <c r="CS34" i="63"/>
  <c r="CH34" i="63"/>
  <c r="BT34" i="63"/>
  <c r="AV34" i="63"/>
  <c r="AI34" i="63"/>
  <c r="CP34" i="63"/>
  <c r="BO34" i="63"/>
  <c r="BM34" i="63"/>
  <c r="AT34" i="63"/>
  <c r="CE34" i="63"/>
  <c r="BJ34" i="63"/>
  <c r="AQ34" i="63"/>
  <c r="AO34" i="63"/>
  <c r="AL34" i="63"/>
  <c r="CU34" i="63"/>
  <c r="AG34" i="63"/>
  <c r="CR34" i="63"/>
  <c r="BU34" i="63"/>
  <c r="BS34" i="63"/>
  <c r="BR34" i="63"/>
  <c r="AW34" i="63"/>
  <c r="AU34" i="63"/>
  <c r="CA33" i="63"/>
  <c r="O33" i="63" s="1"/>
  <c r="BB33" i="63"/>
  <c r="BA33" i="63"/>
  <c r="N33" i="63" s="1"/>
  <c r="CK35" i="68" l="1"/>
  <c r="CG35" i="68"/>
  <c r="CL35" i="68"/>
  <c r="CM35" i="68"/>
  <c r="CQ35" i="68"/>
  <c r="CJ35" i="68"/>
  <c r="CI36" i="70"/>
  <c r="CJ36" i="70"/>
  <c r="CK36" i="70"/>
  <c r="CL36" i="70"/>
  <c r="CG36" i="70"/>
  <c r="CQ36" i="70"/>
  <c r="CJ34" i="72"/>
  <c r="CG34" i="72"/>
  <c r="CK34" i="72"/>
  <c r="CQ34" i="72"/>
  <c r="CL34" i="72"/>
  <c r="CI34" i="72"/>
  <c r="CM34" i="72"/>
  <c r="CK35" i="73"/>
  <c r="CG35" i="73"/>
  <c r="CI35" i="73"/>
  <c r="CL35" i="73"/>
  <c r="CM35" i="73"/>
  <c r="CQ35" i="73"/>
  <c r="CJ35" i="73"/>
  <c r="CI36" i="67"/>
  <c r="CL36" i="67"/>
  <c r="CM36" i="67"/>
  <c r="CQ36" i="67"/>
  <c r="CG36" i="67"/>
  <c r="CJ36" i="67"/>
  <c r="CK36" i="67"/>
  <c r="CQ35" i="69"/>
  <c r="CJ35" i="69"/>
  <c r="CK35" i="69"/>
  <c r="CL35" i="69"/>
  <c r="CG35" i="69"/>
  <c r="CM35" i="69"/>
  <c r="CQ35" i="71"/>
  <c r="CI35" i="71"/>
  <c r="CL35" i="71"/>
  <c r="CM35" i="71"/>
  <c r="CJ35" i="71"/>
  <c r="CK35" i="71"/>
  <c r="CG35" i="71"/>
  <c r="CI36" i="66"/>
  <c r="CK36" i="66"/>
  <c r="CJ36" i="66"/>
  <c r="CL36" i="66"/>
  <c r="CQ36" i="66"/>
  <c r="CM36" i="66"/>
  <c r="CG36" i="66"/>
  <c r="CI35" i="65"/>
  <c r="CG35" i="65"/>
  <c r="CQ35" i="65"/>
  <c r="CJ35" i="65"/>
  <c r="CK35" i="65"/>
  <c r="CL35" i="65"/>
  <c r="CM35" i="65"/>
  <c r="CI35" i="64"/>
  <c r="CJ35" i="64"/>
  <c r="CK35" i="64"/>
  <c r="CL35" i="64"/>
  <c r="CQ35" i="64"/>
  <c r="CM35" i="64"/>
  <c r="CI35" i="63"/>
  <c r="CJ35" i="63"/>
  <c r="CK35" i="63"/>
  <c r="CL35" i="63"/>
  <c r="CM35" i="63"/>
  <c r="CG35" i="63"/>
  <c r="CQ35" i="63"/>
  <c r="CX34" i="73"/>
  <c r="P34" i="73" s="1"/>
  <c r="CX34" i="68"/>
  <c r="P34" i="68" s="1"/>
  <c r="CX34" i="65"/>
  <c r="P34" i="65" s="1"/>
  <c r="CX34" i="69"/>
  <c r="P34" i="69" s="1"/>
  <c r="Q33" i="68"/>
  <c r="Q33" i="73"/>
  <c r="Q33" i="69"/>
  <c r="BB34" i="73"/>
  <c r="BA34" i="73"/>
  <c r="N34" i="73" s="1"/>
  <c r="CR35" i="73"/>
  <c r="BT35" i="73"/>
  <c r="BL35" i="73"/>
  <c r="AV35" i="73"/>
  <c r="AN35" i="73"/>
  <c r="BS35" i="73"/>
  <c r="BK35" i="73"/>
  <c r="AU35" i="73"/>
  <c r="AM35" i="73"/>
  <c r="CW35" i="73"/>
  <c r="CO35" i="73"/>
  <c r="BY35" i="73"/>
  <c r="BQ35" i="73"/>
  <c r="BI35" i="73"/>
  <c r="AS35" i="73"/>
  <c r="AK35" i="73"/>
  <c r="D35" i="73"/>
  <c r="CV35" i="73"/>
  <c r="BX35" i="73"/>
  <c r="BM35" i="73"/>
  <c r="AP35" i="73"/>
  <c r="CU35" i="73"/>
  <c r="CH35" i="73"/>
  <c r="BW35" i="73"/>
  <c r="BJ35" i="73"/>
  <c r="AZ35" i="73"/>
  <c r="AO35" i="73"/>
  <c r="CT35" i="73"/>
  <c r="CF35" i="73"/>
  <c r="BV35" i="73"/>
  <c r="BH35" i="73"/>
  <c r="AY35" i="73"/>
  <c r="AL35" i="73"/>
  <c r="CS35" i="73"/>
  <c r="CE35" i="73"/>
  <c r="BU35" i="73"/>
  <c r="BG35" i="73"/>
  <c r="AX35" i="73"/>
  <c r="AJ35" i="73"/>
  <c r="CN35" i="73"/>
  <c r="BP35" i="73"/>
  <c r="AT35" i="73"/>
  <c r="AH35" i="73"/>
  <c r="BO35" i="73"/>
  <c r="AR35" i="73"/>
  <c r="AG35" i="73"/>
  <c r="BZ35" i="73"/>
  <c r="BN35" i="73"/>
  <c r="AQ35" i="73"/>
  <c r="CP35" i="73"/>
  <c r="CD35" i="73"/>
  <c r="AW35" i="73"/>
  <c r="AI35" i="73"/>
  <c r="BR35" i="73"/>
  <c r="A37" i="73"/>
  <c r="B36" i="73"/>
  <c r="CA34" i="73"/>
  <c r="O34" i="73" s="1"/>
  <c r="BB33" i="72"/>
  <c r="BA33" i="72"/>
  <c r="N33" i="72" s="1"/>
  <c r="CA33" i="72"/>
  <c r="O33" i="72" s="1"/>
  <c r="CR34" i="72"/>
  <c r="BT34" i="72"/>
  <c r="BL34" i="72"/>
  <c r="AV34" i="72"/>
  <c r="AN34" i="72"/>
  <c r="BS34" i="72"/>
  <c r="BK34" i="72"/>
  <c r="AU34" i="72"/>
  <c r="AM34" i="72"/>
  <c r="CW34" i="72"/>
  <c r="CO34" i="72"/>
  <c r="BY34" i="72"/>
  <c r="BQ34" i="72"/>
  <c r="BI34" i="72"/>
  <c r="AS34" i="72"/>
  <c r="AK34" i="72"/>
  <c r="D34" i="72"/>
  <c r="BZ34" i="72"/>
  <c r="BN34" i="72"/>
  <c r="AQ34" i="72"/>
  <c r="CV34" i="72"/>
  <c r="BX34" i="72"/>
  <c r="BM34" i="72"/>
  <c r="CU34" i="72"/>
  <c r="CH34" i="72"/>
  <c r="BW34" i="72"/>
  <c r="BJ34" i="72"/>
  <c r="AZ34" i="72"/>
  <c r="AO34" i="72"/>
  <c r="CT34" i="72"/>
  <c r="CF34" i="72"/>
  <c r="BV34" i="72"/>
  <c r="BH34" i="72"/>
  <c r="AY34" i="72"/>
  <c r="AL34" i="72"/>
  <c r="CS34" i="72"/>
  <c r="CE34" i="72"/>
  <c r="BU34" i="72"/>
  <c r="BG34" i="72"/>
  <c r="AX34" i="72"/>
  <c r="AJ34" i="72"/>
  <c r="CP34" i="72"/>
  <c r="CD34" i="72"/>
  <c r="BR34" i="72"/>
  <c r="AW34" i="72"/>
  <c r="AI34" i="72"/>
  <c r="CN34" i="72"/>
  <c r="BP34" i="72"/>
  <c r="AG34" i="72"/>
  <c r="AT34" i="72"/>
  <c r="AR34" i="72"/>
  <c r="AP34" i="72"/>
  <c r="BO34" i="72"/>
  <c r="AH34" i="72"/>
  <c r="A36" i="72"/>
  <c r="B35" i="72"/>
  <c r="BB34" i="71"/>
  <c r="BA34" i="71"/>
  <c r="N34" i="71" s="1"/>
  <c r="CR35" i="71"/>
  <c r="BT35" i="71"/>
  <c r="BL35" i="71"/>
  <c r="AV35" i="71"/>
  <c r="AN35" i="71"/>
  <c r="BS35" i="71"/>
  <c r="BK35" i="71"/>
  <c r="AU35" i="71"/>
  <c r="AM35" i="71"/>
  <c r="CW35" i="71"/>
  <c r="CO35" i="71"/>
  <c r="BY35" i="71"/>
  <c r="BQ35" i="71"/>
  <c r="BI35" i="71"/>
  <c r="AS35" i="71"/>
  <c r="AK35" i="71"/>
  <c r="D35" i="71"/>
  <c r="CU35" i="71"/>
  <c r="CE35" i="71"/>
  <c r="BW35" i="71"/>
  <c r="BO35" i="71"/>
  <c r="BG35" i="71"/>
  <c r="AY35" i="71"/>
  <c r="AQ35" i="71"/>
  <c r="AI35" i="71"/>
  <c r="BV35" i="71"/>
  <c r="AT35" i="71"/>
  <c r="CH35" i="71"/>
  <c r="BU35" i="71"/>
  <c r="AR35" i="71"/>
  <c r="CV35" i="71"/>
  <c r="CF35" i="71"/>
  <c r="BR35" i="71"/>
  <c r="AP35" i="71"/>
  <c r="CT35" i="71"/>
  <c r="CD35" i="71"/>
  <c r="BP35" i="71"/>
  <c r="AO35" i="71"/>
  <c r="CS35" i="71"/>
  <c r="BN35" i="71"/>
  <c r="AL35" i="71"/>
  <c r="CP35" i="71"/>
  <c r="BM35" i="71"/>
  <c r="AZ35" i="71"/>
  <c r="AJ35" i="71"/>
  <c r="CN35" i="71"/>
  <c r="BZ35" i="71"/>
  <c r="BJ35" i="71"/>
  <c r="AX35" i="71"/>
  <c r="AH35" i="71"/>
  <c r="AG35" i="71"/>
  <c r="BX35" i="71"/>
  <c r="BH35" i="71"/>
  <c r="AW35" i="71"/>
  <c r="A37" i="71"/>
  <c r="B36" i="71"/>
  <c r="CP36" i="70"/>
  <c r="BR36" i="70"/>
  <c r="BJ36" i="70"/>
  <c r="AT36" i="70"/>
  <c r="AL36" i="70"/>
  <c r="CO36" i="70"/>
  <c r="BY36" i="70"/>
  <c r="BQ36" i="70"/>
  <c r="BI36" i="70"/>
  <c r="AS36" i="70"/>
  <c r="AK36" i="70"/>
  <c r="D36" i="70"/>
  <c r="CU36" i="70"/>
  <c r="CE36" i="70"/>
  <c r="BW36" i="70"/>
  <c r="BO36" i="70"/>
  <c r="BG36" i="70"/>
  <c r="AY36" i="70"/>
  <c r="AQ36" i="70"/>
  <c r="AI36" i="70"/>
  <c r="BM36" i="70"/>
  <c r="AZ36" i="70"/>
  <c r="AN36" i="70"/>
  <c r="BX36" i="70"/>
  <c r="BL36" i="70"/>
  <c r="AX36" i="70"/>
  <c r="AM36" i="70"/>
  <c r="CV36" i="70"/>
  <c r="BV36" i="70"/>
  <c r="AW36" i="70"/>
  <c r="AJ36" i="70"/>
  <c r="CT36" i="70"/>
  <c r="BH36" i="70"/>
  <c r="AV36" i="70"/>
  <c r="AH36" i="70"/>
  <c r="CS36" i="70"/>
  <c r="CF36" i="70"/>
  <c r="BT36" i="70"/>
  <c r="AU36" i="70"/>
  <c r="AG36" i="70"/>
  <c r="CD36" i="70"/>
  <c r="BS36" i="70"/>
  <c r="AR36" i="70"/>
  <c r="AP36" i="70"/>
  <c r="CN36" i="70"/>
  <c r="BN36" i="70"/>
  <c r="AO36" i="70"/>
  <c r="A38" i="70"/>
  <c r="B38" i="70" s="1"/>
  <c r="B37" i="70"/>
  <c r="BB35" i="70"/>
  <c r="BA35" i="70"/>
  <c r="N35" i="70" s="1"/>
  <c r="BB34" i="69"/>
  <c r="BA34" i="69"/>
  <c r="N34" i="69" s="1"/>
  <c r="CA34" i="69"/>
  <c r="O34" i="69" s="1"/>
  <c r="CR35" i="69"/>
  <c r="BT35" i="69"/>
  <c r="AV35" i="69"/>
  <c r="AN35" i="69"/>
  <c r="BS35" i="69"/>
  <c r="BK35" i="69"/>
  <c r="AU35" i="69"/>
  <c r="AM35" i="69"/>
  <c r="CW35" i="69"/>
  <c r="CO35" i="69"/>
  <c r="BY35" i="69"/>
  <c r="BI35" i="69"/>
  <c r="AS35" i="69"/>
  <c r="AK35" i="69"/>
  <c r="D35" i="69"/>
  <c r="BZ35" i="69"/>
  <c r="BN35" i="69"/>
  <c r="AQ35" i="69"/>
  <c r="CU35" i="69"/>
  <c r="CH35" i="69"/>
  <c r="BW35" i="69"/>
  <c r="BJ35" i="69"/>
  <c r="AZ35" i="69"/>
  <c r="AO35" i="69"/>
  <c r="CT35" i="69"/>
  <c r="CF35" i="69"/>
  <c r="BV35" i="69"/>
  <c r="BH35" i="69"/>
  <c r="AY35" i="69"/>
  <c r="AL35" i="69"/>
  <c r="CS35" i="69"/>
  <c r="CE35" i="69"/>
  <c r="BU35" i="69"/>
  <c r="AX35" i="69"/>
  <c r="AJ35" i="69"/>
  <c r="CP35" i="69"/>
  <c r="BR35" i="69"/>
  <c r="AW35" i="69"/>
  <c r="AI35" i="69"/>
  <c r="BP35" i="69"/>
  <c r="AT35" i="69"/>
  <c r="CV35" i="69"/>
  <c r="BO35" i="69"/>
  <c r="AR35" i="69"/>
  <c r="BM35" i="69"/>
  <c r="AP35" i="69"/>
  <c r="AH35" i="69"/>
  <c r="AG35" i="69"/>
  <c r="BX35" i="69"/>
  <c r="A37" i="69"/>
  <c r="B36" i="69"/>
  <c r="CU35" i="68"/>
  <c r="CE35" i="68"/>
  <c r="BW35" i="68"/>
  <c r="BO35" i="68"/>
  <c r="AY35" i="68"/>
  <c r="AQ35" i="68"/>
  <c r="AI35" i="68"/>
  <c r="CT35" i="68"/>
  <c r="BV35" i="68"/>
  <c r="BN35" i="68"/>
  <c r="AX35" i="68"/>
  <c r="AP35" i="68"/>
  <c r="AH35" i="68"/>
  <c r="CR35" i="68"/>
  <c r="BT35" i="68"/>
  <c r="AV35" i="68"/>
  <c r="AN35" i="68"/>
  <c r="CW35" i="68"/>
  <c r="BY35" i="68"/>
  <c r="BK35" i="68"/>
  <c r="AO35" i="68"/>
  <c r="D35" i="68"/>
  <c r="CV35" i="68"/>
  <c r="CH35" i="68"/>
  <c r="BX35" i="68"/>
  <c r="BJ35" i="68"/>
  <c r="AM35" i="68"/>
  <c r="CS35" i="68"/>
  <c r="BU35" i="68"/>
  <c r="BI35" i="68"/>
  <c r="AZ35" i="68"/>
  <c r="AL35" i="68"/>
  <c r="CF35" i="68"/>
  <c r="BS35" i="68"/>
  <c r="BH35" i="68"/>
  <c r="AW35" i="68"/>
  <c r="AK35" i="68"/>
  <c r="CP35" i="68"/>
  <c r="BR35" i="68"/>
  <c r="AU35" i="68"/>
  <c r="AJ35" i="68"/>
  <c r="CO35" i="68"/>
  <c r="AT35" i="68"/>
  <c r="AG35" i="68"/>
  <c r="BP35" i="68"/>
  <c r="AS35" i="68"/>
  <c r="BZ35" i="68"/>
  <c r="BM35" i="68"/>
  <c r="AR35" i="68"/>
  <c r="B36" i="68"/>
  <c r="CA34" i="68"/>
  <c r="O34" i="68" s="1"/>
  <c r="BB34" i="68"/>
  <c r="BA34" i="68"/>
  <c r="N34" i="68" s="1"/>
  <c r="CU36" i="67"/>
  <c r="CE36" i="67"/>
  <c r="BW36" i="67"/>
  <c r="BO36" i="67"/>
  <c r="BG36" i="67"/>
  <c r="AY36" i="67"/>
  <c r="AQ36" i="67"/>
  <c r="AI36" i="67"/>
  <c r="CT36" i="67"/>
  <c r="CD36" i="67"/>
  <c r="BV36" i="67"/>
  <c r="BN36" i="67"/>
  <c r="AX36" i="67"/>
  <c r="AP36" i="67"/>
  <c r="AH36" i="67"/>
  <c r="CR36" i="67"/>
  <c r="BT36" i="67"/>
  <c r="BL36" i="67"/>
  <c r="AV36" i="67"/>
  <c r="AN36" i="67"/>
  <c r="CO36" i="67"/>
  <c r="BQ36" i="67"/>
  <c r="AT36" i="67"/>
  <c r="AG36" i="67"/>
  <c r="CN36" i="67"/>
  <c r="BP36" i="67"/>
  <c r="AS36" i="67"/>
  <c r="BZ36" i="67"/>
  <c r="BM36" i="67"/>
  <c r="AR36" i="67"/>
  <c r="CW36" i="67"/>
  <c r="BY36" i="67"/>
  <c r="BK36" i="67"/>
  <c r="AO36" i="67"/>
  <c r="D36" i="67"/>
  <c r="CV36" i="67"/>
  <c r="CH36" i="67"/>
  <c r="BX36" i="67"/>
  <c r="BJ36" i="67"/>
  <c r="AM36" i="67"/>
  <c r="CS36" i="67"/>
  <c r="BU36" i="67"/>
  <c r="BI36" i="67"/>
  <c r="AZ36" i="67"/>
  <c r="AL36" i="67"/>
  <c r="CF36" i="67"/>
  <c r="BS36" i="67"/>
  <c r="BH36" i="67"/>
  <c r="AW36" i="67"/>
  <c r="AK36" i="67"/>
  <c r="CP36" i="67"/>
  <c r="BR36" i="67"/>
  <c r="AU36" i="67"/>
  <c r="AJ36" i="67"/>
  <c r="A38" i="67"/>
  <c r="B37" i="67"/>
  <c r="BB35" i="67"/>
  <c r="BA35" i="67"/>
  <c r="N35" i="67" s="1"/>
  <c r="CU36" i="66"/>
  <c r="CE36" i="66"/>
  <c r="BW36" i="66"/>
  <c r="BO36" i="66"/>
  <c r="BG36" i="66"/>
  <c r="AY36" i="66"/>
  <c r="AQ36" i="66"/>
  <c r="AI36" i="66"/>
  <c r="CT36" i="66"/>
  <c r="CD36" i="66"/>
  <c r="BV36" i="66"/>
  <c r="BN36" i="66"/>
  <c r="AX36" i="66"/>
  <c r="AP36" i="66"/>
  <c r="AH36" i="66"/>
  <c r="CR36" i="66"/>
  <c r="BT36" i="66"/>
  <c r="BL36" i="66"/>
  <c r="AV36" i="66"/>
  <c r="AN36" i="66"/>
  <c r="CN36" i="66"/>
  <c r="BP36" i="66"/>
  <c r="AS36" i="66"/>
  <c r="BZ36" i="66"/>
  <c r="BM36" i="66"/>
  <c r="AR36" i="66"/>
  <c r="CV36" i="66"/>
  <c r="CH36" i="66"/>
  <c r="BX36" i="66"/>
  <c r="BJ36" i="66"/>
  <c r="AM36" i="66"/>
  <c r="CS36" i="66"/>
  <c r="BU36" i="66"/>
  <c r="BI36" i="66"/>
  <c r="AZ36" i="66"/>
  <c r="AL36" i="66"/>
  <c r="CF36" i="66"/>
  <c r="BS36" i="66"/>
  <c r="BH36" i="66"/>
  <c r="AW36" i="66"/>
  <c r="AK36" i="66"/>
  <c r="BR36" i="66"/>
  <c r="AU36" i="66"/>
  <c r="CW36" i="66"/>
  <c r="BQ36" i="66"/>
  <c r="AT36" i="66"/>
  <c r="CP36" i="66"/>
  <c r="BK36" i="66"/>
  <c r="AO36" i="66"/>
  <c r="CO36" i="66"/>
  <c r="AJ36" i="66"/>
  <c r="AG36" i="66"/>
  <c r="D36" i="66"/>
  <c r="BY36" i="66"/>
  <c r="A38" i="66"/>
  <c r="B37" i="66"/>
  <c r="BB35" i="66"/>
  <c r="BA35" i="66"/>
  <c r="N35" i="66" s="1"/>
  <c r="CA35" i="66"/>
  <c r="O35" i="66" s="1"/>
  <c r="CA34" i="65"/>
  <c r="O34" i="65" s="1"/>
  <c r="CU35" i="65"/>
  <c r="CE35" i="65"/>
  <c r="BW35" i="65"/>
  <c r="BO35" i="65"/>
  <c r="BG35" i="65"/>
  <c r="AY35" i="65"/>
  <c r="AQ35" i="65"/>
  <c r="AI35" i="65"/>
  <c r="CT35" i="65"/>
  <c r="CD35" i="65"/>
  <c r="BV35" i="65"/>
  <c r="BN35" i="65"/>
  <c r="AX35" i="65"/>
  <c r="AP35" i="65"/>
  <c r="AH35" i="65"/>
  <c r="CR35" i="65"/>
  <c r="BT35" i="65"/>
  <c r="BL35" i="65"/>
  <c r="AV35" i="65"/>
  <c r="AN35" i="65"/>
  <c r="CF35" i="65"/>
  <c r="BS35" i="65"/>
  <c r="BH35" i="65"/>
  <c r="AW35" i="65"/>
  <c r="AK35" i="65"/>
  <c r="CP35" i="65"/>
  <c r="BR35" i="65"/>
  <c r="AU35" i="65"/>
  <c r="AJ35" i="65"/>
  <c r="CW35" i="65"/>
  <c r="BY35" i="65"/>
  <c r="BK35" i="65"/>
  <c r="AO35" i="65"/>
  <c r="D35" i="65"/>
  <c r="CV35" i="65"/>
  <c r="CH35" i="65"/>
  <c r="BX35" i="65"/>
  <c r="BJ35" i="65"/>
  <c r="AM35" i="65"/>
  <c r="CS35" i="65"/>
  <c r="BZ35" i="65"/>
  <c r="CO35" i="65"/>
  <c r="BU35" i="65"/>
  <c r="CN35" i="65"/>
  <c r="BQ35" i="65"/>
  <c r="AZ35" i="65"/>
  <c r="BP35" i="65"/>
  <c r="AT35" i="65"/>
  <c r="BM35" i="65"/>
  <c r="AS35" i="65"/>
  <c r="BI35" i="65"/>
  <c r="AR35" i="65"/>
  <c r="AL35" i="65"/>
  <c r="AG35" i="65"/>
  <c r="A37" i="65"/>
  <c r="B36" i="65"/>
  <c r="BB34" i="65"/>
  <c r="BA34" i="65"/>
  <c r="N34" i="65" s="1"/>
  <c r="A37" i="64"/>
  <c r="B36" i="64"/>
  <c r="BB34" i="64"/>
  <c r="BA34" i="64"/>
  <c r="N34" i="64" s="1"/>
  <c r="CR35" i="64"/>
  <c r="BT35" i="64"/>
  <c r="BL35" i="64"/>
  <c r="AV35" i="64"/>
  <c r="AN35" i="64"/>
  <c r="BS35" i="64"/>
  <c r="BK35" i="64"/>
  <c r="AU35" i="64"/>
  <c r="CW35" i="64"/>
  <c r="CO35" i="64"/>
  <c r="BY35" i="64"/>
  <c r="BQ35" i="64"/>
  <c r="BI35" i="64"/>
  <c r="AS35" i="64"/>
  <c r="AK35" i="64"/>
  <c r="D35" i="64"/>
  <c r="CS35" i="64"/>
  <c r="CE35" i="64"/>
  <c r="BU35" i="64"/>
  <c r="BG35" i="64"/>
  <c r="AX35" i="64"/>
  <c r="AL35" i="64"/>
  <c r="CP35" i="64"/>
  <c r="CD35" i="64"/>
  <c r="BR35" i="64"/>
  <c r="AW35" i="64"/>
  <c r="AJ35" i="64"/>
  <c r="CN35" i="64"/>
  <c r="BP35" i="64"/>
  <c r="AT35" i="64"/>
  <c r="AI35" i="64"/>
  <c r="BO35" i="64"/>
  <c r="AR35" i="64"/>
  <c r="AH35" i="64"/>
  <c r="CV35" i="64"/>
  <c r="BX35" i="64"/>
  <c r="BM35" i="64"/>
  <c r="AP35" i="64"/>
  <c r="CU35" i="64"/>
  <c r="CH35" i="64"/>
  <c r="BW35" i="64"/>
  <c r="AZ35" i="64"/>
  <c r="AO35" i="64"/>
  <c r="CT35" i="64"/>
  <c r="CF35" i="64"/>
  <c r="BV35" i="64"/>
  <c r="BH35" i="64"/>
  <c r="AY35" i="64"/>
  <c r="AM35" i="64"/>
  <c r="AQ35" i="64"/>
  <c r="AG35" i="64"/>
  <c r="BZ35" i="64"/>
  <c r="BN35" i="64"/>
  <c r="BB34" i="63"/>
  <c r="BA34" i="63"/>
  <c r="N34" i="63" s="1"/>
  <c r="CR35" i="63"/>
  <c r="BT35" i="63"/>
  <c r="BL35" i="63"/>
  <c r="AV35" i="63"/>
  <c r="AN35" i="63"/>
  <c r="BS35" i="63"/>
  <c r="BK35" i="63"/>
  <c r="AU35" i="63"/>
  <c r="AM35" i="63"/>
  <c r="CW35" i="63"/>
  <c r="CO35" i="63"/>
  <c r="BY35" i="63"/>
  <c r="BQ35" i="63"/>
  <c r="BI35" i="63"/>
  <c r="AS35" i="63"/>
  <c r="AK35" i="63"/>
  <c r="D35" i="63"/>
  <c r="CT35" i="63"/>
  <c r="CF35" i="63"/>
  <c r="BV35" i="63"/>
  <c r="AY35" i="63"/>
  <c r="AL35" i="63"/>
  <c r="CS35" i="63"/>
  <c r="BU35" i="63"/>
  <c r="BG35" i="63"/>
  <c r="AX35" i="63"/>
  <c r="AJ35" i="63"/>
  <c r="CN35" i="63"/>
  <c r="BP35" i="63"/>
  <c r="AT35" i="63"/>
  <c r="AH35" i="63"/>
  <c r="BO35" i="63"/>
  <c r="AR35" i="63"/>
  <c r="AG35" i="63"/>
  <c r="CV35" i="63"/>
  <c r="BX35" i="63"/>
  <c r="BM35" i="63"/>
  <c r="AP35" i="63"/>
  <c r="CH35" i="63"/>
  <c r="BJ35" i="63"/>
  <c r="AO35" i="63"/>
  <c r="CD35" i="63"/>
  <c r="AI35" i="63"/>
  <c r="BZ35" i="63"/>
  <c r="CU35" i="63"/>
  <c r="BW35" i="63"/>
  <c r="AZ35" i="63"/>
  <c r="CP35" i="63"/>
  <c r="AW35" i="63"/>
  <c r="AQ35" i="63"/>
  <c r="BR35" i="63"/>
  <c r="BN35" i="63"/>
  <c r="A37" i="63"/>
  <c r="B36" i="63"/>
  <c r="CI36" i="68" l="1"/>
  <c r="CG36" i="68"/>
  <c r="CK36" i="68"/>
  <c r="CL36" i="68"/>
  <c r="CQ36" i="68"/>
  <c r="CM36" i="68"/>
  <c r="CI36" i="69"/>
  <c r="CJ36" i="69"/>
  <c r="CK36" i="69"/>
  <c r="CL36" i="69"/>
  <c r="CQ36" i="69"/>
  <c r="CM36" i="69"/>
  <c r="CG36" i="69"/>
  <c r="CI37" i="70"/>
  <c r="CQ37" i="70"/>
  <c r="CK37" i="70"/>
  <c r="CL37" i="70"/>
  <c r="CM37" i="70"/>
  <c r="CG37" i="70"/>
  <c r="CJ37" i="70"/>
  <c r="CG36" i="73"/>
  <c r="CI36" i="73"/>
  <c r="CJ36" i="73"/>
  <c r="CK36" i="73"/>
  <c r="CL36" i="73"/>
  <c r="CQ36" i="73"/>
  <c r="CM36" i="73"/>
  <c r="CI38" i="70"/>
  <c r="CQ38" i="70"/>
  <c r="CJ38" i="70"/>
  <c r="CK38" i="70"/>
  <c r="CL38" i="70"/>
  <c r="CM38" i="70"/>
  <c r="CG38" i="70"/>
  <c r="CQ36" i="71"/>
  <c r="CI36" i="71"/>
  <c r="CG36" i="71"/>
  <c r="CJ36" i="71"/>
  <c r="CK36" i="71"/>
  <c r="CL36" i="71"/>
  <c r="CM36" i="71"/>
  <c r="CI37" i="67"/>
  <c r="CG37" i="67"/>
  <c r="CL37" i="67"/>
  <c r="CJ37" i="67"/>
  <c r="CQ37" i="67"/>
  <c r="CK37" i="67"/>
  <c r="CM37" i="67"/>
  <c r="CI35" i="72"/>
  <c r="CJ35" i="72"/>
  <c r="CK35" i="72"/>
  <c r="CL35" i="72"/>
  <c r="CM35" i="72"/>
  <c r="CG35" i="72"/>
  <c r="CQ35" i="72"/>
  <c r="CI37" i="66"/>
  <c r="CM37" i="66"/>
  <c r="CJ37" i="66"/>
  <c r="CG37" i="66"/>
  <c r="CQ37" i="66"/>
  <c r="CK37" i="66"/>
  <c r="CL37" i="66"/>
  <c r="CI36" i="65"/>
  <c r="CJ36" i="65"/>
  <c r="CK36" i="65"/>
  <c r="CG36" i="65"/>
  <c r="CL36" i="65"/>
  <c r="CM36" i="65"/>
  <c r="CQ36" i="65"/>
  <c r="CI36" i="64"/>
  <c r="CL36" i="64"/>
  <c r="CM36" i="64"/>
  <c r="CG36" i="64"/>
  <c r="CQ36" i="64"/>
  <c r="CJ36" i="64"/>
  <c r="CK36" i="64"/>
  <c r="CI36" i="63"/>
  <c r="CJ36" i="63"/>
  <c r="CK36" i="63"/>
  <c r="CL36" i="63"/>
  <c r="CM36" i="63"/>
  <c r="CG36" i="63"/>
  <c r="CQ36" i="63"/>
  <c r="CX35" i="73"/>
  <c r="P35" i="73" s="1"/>
  <c r="CX35" i="65"/>
  <c r="P35" i="65" s="1"/>
  <c r="CX36" i="67"/>
  <c r="P36" i="67" s="1"/>
  <c r="CX35" i="71"/>
  <c r="P35" i="71" s="1"/>
  <c r="Q34" i="65"/>
  <c r="G59" i="70"/>
  <c r="G53" i="70"/>
  <c r="G62" i="70"/>
  <c r="G65" i="70"/>
  <c r="G52" i="70"/>
  <c r="G72" i="70"/>
  <c r="G54" i="70"/>
  <c r="G71" i="70"/>
  <c r="G66" i="70"/>
  <c r="G61" i="70"/>
  <c r="G56" i="70"/>
  <c r="G60" i="70"/>
  <c r="G64" i="70"/>
  <c r="G58" i="70"/>
  <c r="G55" i="70"/>
  <c r="G67" i="70"/>
  <c r="G73" i="70"/>
  <c r="G74" i="70"/>
  <c r="G70" i="70"/>
  <c r="G68" i="70"/>
  <c r="Q34" i="68"/>
  <c r="Q34" i="69"/>
  <c r="CU36" i="73"/>
  <c r="CE36" i="73"/>
  <c r="BW36" i="73"/>
  <c r="BO36" i="73"/>
  <c r="BG36" i="73"/>
  <c r="AY36" i="73"/>
  <c r="AQ36" i="73"/>
  <c r="AI36" i="73"/>
  <c r="CT36" i="73"/>
  <c r="CD36" i="73"/>
  <c r="BV36" i="73"/>
  <c r="BN36" i="73"/>
  <c r="AX36" i="73"/>
  <c r="AP36" i="73"/>
  <c r="AH36" i="73"/>
  <c r="CR36" i="73"/>
  <c r="BT36" i="73"/>
  <c r="BL36" i="73"/>
  <c r="AV36" i="73"/>
  <c r="AN36" i="73"/>
  <c r="CF36" i="73"/>
  <c r="BS36" i="73"/>
  <c r="BH36" i="73"/>
  <c r="AW36" i="73"/>
  <c r="AK36" i="73"/>
  <c r="CP36" i="73"/>
  <c r="BR36" i="73"/>
  <c r="AU36" i="73"/>
  <c r="AJ36" i="73"/>
  <c r="CO36" i="73"/>
  <c r="BQ36" i="73"/>
  <c r="AT36" i="73"/>
  <c r="AG36" i="73"/>
  <c r="CN36" i="73"/>
  <c r="BP36" i="73"/>
  <c r="AS36" i="73"/>
  <c r="CW36" i="73"/>
  <c r="BY36" i="73"/>
  <c r="BK36" i="73"/>
  <c r="AO36" i="73"/>
  <c r="D36" i="73"/>
  <c r="CV36" i="73"/>
  <c r="CH36" i="73"/>
  <c r="BX36" i="73"/>
  <c r="BJ36" i="73"/>
  <c r="AM36" i="73"/>
  <c r="CS36" i="73"/>
  <c r="BU36" i="73"/>
  <c r="BI36" i="73"/>
  <c r="AZ36" i="73"/>
  <c r="AL36" i="73"/>
  <c r="BZ36" i="73"/>
  <c r="BM36" i="73"/>
  <c r="AR36" i="73"/>
  <c r="A38" i="73"/>
  <c r="B37" i="73"/>
  <c r="BB35" i="73"/>
  <c r="BA35" i="73"/>
  <c r="N35" i="73" s="1"/>
  <c r="CA35" i="73"/>
  <c r="O35" i="73" s="1"/>
  <c r="Q34" i="73"/>
  <c r="A37" i="72"/>
  <c r="B36" i="72"/>
  <c r="CA34" i="72"/>
  <c r="O34" i="72" s="1"/>
  <c r="CU35" i="72"/>
  <c r="CE35" i="72"/>
  <c r="BW35" i="72"/>
  <c r="BO35" i="72"/>
  <c r="BG35" i="72"/>
  <c r="AY35" i="72"/>
  <c r="AQ35" i="72"/>
  <c r="AI35" i="72"/>
  <c r="CT35" i="72"/>
  <c r="CD35" i="72"/>
  <c r="BV35" i="72"/>
  <c r="BN35" i="72"/>
  <c r="AX35" i="72"/>
  <c r="AP35" i="72"/>
  <c r="AH35" i="72"/>
  <c r="CR35" i="72"/>
  <c r="BT35" i="72"/>
  <c r="BL35" i="72"/>
  <c r="AV35" i="72"/>
  <c r="AN35" i="72"/>
  <c r="CS35" i="72"/>
  <c r="BU35" i="72"/>
  <c r="BI35" i="72"/>
  <c r="AZ35" i="72"/>
  <c r="AL35" i="72"/>
  <c r="CF35" i="72"/>
  <c r="BS35" i="72"/>
  <c r="BH35" i="72"/>
  <c r="AW35" i="72"/>
  <c r="AK35" i="72"/>
  <c r="CP35" i="72"/>
  <c r="BR35" i="72"/>
  <c r="AU35" i="72"/>
  <c r="AJ35" i="72"/>
  <c r="CO35" i="72"/>
  <c r="BQ35" i="72"/>
  <c r="AT35" i="72"/>
  <c r="AG35" i="72"/>
  <c r="CN35" i="72"/>
  <c r="BP35" i="72"/>
  <c r="AS35" i="72"/>
  <c r="BZ35" i="72"/>
  <c r="BM35" i="72"/>
  <c r="AR35" i="72"/>
  <c r="CW35" i="72"/>
  <c r="BY35" i="72"/>
  <c r="BK35" i="72"/>
  <c r="AO35" i="72"/>
  <c r="D35" i="72"/>
  <c r="CV35" i="72"/>
  <c r="CH35" i="72"/>
  <c r="BX35" i="72"/>
  <c r="BJ35" i="72"/>
  <c r="AM35" i="72"/>
  <c r="BB34" i="72"/>
  <c r="BA34" i="72"/>
  <c r="N34" i="72" s="1"/>
  <c r="A38" i="71"/>
  <c r="B37" i="71"/>
  <c r="CA35" i="71"/>
  <c r="O35" i="71" s="1"/>
  <c r="BB35" i="71"/>
  <c r="BA35" i="71"/>
  <c r="N35" i="71" s="1"/>
  <c r="CU36" i="71"/>
  <c r="CE36" i="71"/>
  <c r="BW36" i="71"/>
  <c r="BO36" i="71"/>
  <c r="BG36" i="71"/>
  <c r="AY36" i="71"/>
  <c r="AQ36" i="71"/>
  <c r="AI36" i="71"/>
  <c r="CT36" i="71"/>
  <c r="CD36" i="71"/>
  <c r="BV36" i="71"/>
  <c r="BN36" i="71"/>
  <c r="AX36" i="71"/>
  <c r="AP36" i="71"/>
  <c r="AH36" i="71"/>
  <c r="CR36" i="71"/>
  <c r="BT36" i="71"/>
  <c r="BL36" i="71"/>
  <c r="AV36" i="71"/>
  <c r="AN36" i="71"/>
  <c r="CP36" i="71"/>
  <c r="CH36" i="71"/>
  <c r="BZ36" i="71"/>
  <c r="BR36" i="71"/>
  <c r="BJ36" i="71"/>
  <c r="AT36" i="71"/>
  <c r="AL36" i="71"/>
  <c r="CW36" i="71"/>
  <c r="BS36" i="71"/>
  <c r="AR36" i="71"/>
  <c r="CV36" i="71"/>
  <c r="CF36" i="71"/>
  <c r="BQ36" i="71"/>
  <c r="AO36" i="71"/>
  <c r="CS36" i="71"/>
  <c r="BP36" i="71"/>
  <c r="AM36" i="71"/>
  <c r="BM36" i="71"/>
  <c r="AK36" i="71"/>
  <c r="CO36" i="71"/>
  <c r="BK36" i="71"/>
  <c r="AZ36" i="71"/>
  <c r="AJ36" i="71"/>
  <c r="CN36" i="71"/>
  <c r="BY36" i="71"/>
  <c r="BI36" i="71"/>
  <c r="AW36" i="71"/>
  <c r="AG36" i="71"/>
  <c r="BX36" i="71"/>
  <c r="BH36" i="71"/>
  <c r="AU36" i="71"/>
  <c r="AS36" i="71"/>
  <c r="D36" i="71"/>
  <c r="BU36" i="71"/>
  <c r="CU37" i="70"/>
  <c r="CE37" i="70"/>
  <c r="BW37" i="70"/>
  <c r="BO37" i="70"/>
  <c r="BG37" i="70"/>
  <c r="AY37" i="70"/>
  <c r="AQ37" i="70"/>
  <c r="AI37" i="70"/>
  <c r="CS37" i="70"/>
  <c r="BU37" i="70"/>
  <c r="BM37" i="70"/>
  <c r="AW37" i="70"/>
  <c r="AO37" i="70"/>
  <c r="AG37" i="70"/>
  <c r="CR37" i="70"/>
  <c r="BT37" i="70"/>
  <c r="BL37" i="70"/>
  <c r="AV37" i="70"/>
  <c r="AN37" i="70"/>
  <c r="CP37" i="70"/>
  <c r="CH37" i="70"/>
  <c r="BZ37" i="70"/>
  <c r="BR37" i="70"/>
  <c r="BJ37" i="70"/>
  <c r="AT37" i="70"/>
  <c r="AL37" i="70"/>
  <c r="CV37" i="70"/>
  <c r="CN37" i="70"/>
  <c r="CF37" i="70"/>
  <c r="BX37" i="70"/>
  <c r="BP37" i="70"/>
  <c r="BH37" i="70"/>
  <c r="AZ37" i="70"/>
  <c r="AR37" i="70"/>
  <c r="AJ37" i="70"/>
  <c r="CW37" i="70"/>
  <c r="BK37" i="70"/>
  <c r="AU37" i="70"/>
  <c r="CT37" i="70"/>
  <c r="BI37" i="70"/>
  <c r="AS37" i="70"/>
  <c r="AP37" i="70"/>
  <c r="CO37" i="70"/>
  <c r="BY37" i="70"/>
  <c r="AM37" i="70"/>
  <c r="BV37" i="70"/>
  <c r="AK37" i="70"/>
  <c r="BS37" i="70"/>
  <c r="AH37" i="70"/>
  <c r="BQ37" i="70"/>
  <c r="D37" i="70"/>
  <c r="CD37" i="70"/>
  <c r="BN37" i="70"/>
  <c r="AX37" i="70"/>
  <c r="CP38" i="70"/>
  <c r="CH38" i="70"/>
  <c r="BZ38" i="70"/>
  <c r="BR38" i="70"/>
  <c r="BJ38" i="70"/>
  <c r="AT38" i="70"/>
  <c r="AL38" i="70"/>
  <c r="CV38" i="70"/>
  <c r="CN38" i="70"/>
  <c r="CF38" i="70"/>
  <c r="BX38" i="70"/>
  <c r="BP38" i="70"/>
  <c r="BH38" i="70"/>
  <c r="AZ38" i="70"/>
  <c r="AR38" i="70"/>
  <c r="AJ38" i="70"/>
  <c r="CU38" i="70"/>
  <c r="CE38" i="70"/>
  <c r="BW38" i="70"/>
  <c r="BO38" i="70"/>
  <c r="BG38" i="70"/>
  <c r="AY38" i="70"/>
  <c r="AQ38" i="70"/>
  <c r="AI38" i="70"/>
  <c r="CS38" i="70"/>
  <c r="BU38" i="70"/>
  <c r="BM38" i="70"/>
  <c r="AW38" i="70"/>
  <c r="AO38" i="70"/>
  <c r="AG38" i="70"/>
  <c r="BS38" i="70"/>
  <c r="BK38" i="70"/>
  <c r="AU38" i="70"/>
  <c r="AM38" i="70"/>
  <c r="CW38" i="70"/>
  <c r="BI38" i="70"/>
  <c r="AS38" i="70"/>
  <c r="CT38" i="70"/>
  <c r="AP38" i="70"/>
  <c r="CR38" i="70"/>
  <c r="BY38" i="70"/>
  <c r="AN38" i="70"/>
  <c r="CO38" i="70"/>
  <c r="BV38" i="70"/>
  <c r="AK38" i="70"/>
  <c r="BT38" i="70"/>
  <c r="AH38" i="70"/>
  <c r="BQ38" i="70"/>
  <c r="D38" i="70"/>
  <c r="BN38" i="70"/>
  <c r="AX38" i="70"/>
  <c r="CD38" i="70"/>
  <c r="BL38" i="70"/>
  <c r="AV38" i="70"/>
  <c r="BB36" i="70"/>
  <c r="BA36" i="70"/>
  <c r="N36" i="70" s="1"/>
  <c r="CU36" i="69"/>
  <c r="BW36" i="69"/>
  <c r="BO36" i="69"/>
  <c r="BG36" i="69"/>
  <c r="AY36" i="69"/>
  <c r="AQ36" i="69"/>
  <c r="AI36" i="69"/>
  <c r="CT36" i="69"/>
  <c r="CD36" i="69"/>
  <c r="BV36" i="69"/>
  <c r="BN36" i="69"/>
  <c r="AX36" i="69"/>
  <c r="AP36" i="69"/>
  <c r="AH36" i="69"/>
  <c r="CR36" i="69"/>
  <c r="BT36" i="69"/>
  <c r="BL36" i="69"/>
  <c r="AV36" i="69"/>
  <c r="AN36" i="69"/>
  <c r="CV36" i="69"/>
  <c r="CH36" i="69"/>
  <c r="BX36" i="69"/>
  <c r="BJ36" i="69"/>
  <c r="AM36" i="69"/>
  <c r="CS36" i="69"/>
  <c r="BU36" i="69"/>
  <c r="BI36" i="69"/>
  <c r="AZ36" i="69"/>
  <c r="AL36" i="69"/>
  <c r="CP36" i="69"/>
  <c r="AU36" i="69"/>
  <c r="AJ36" i="69"/>
  <c r="BQ36" i="69"/>
  <c r="AT36" i="69"/>
  <c r="AG36" i="69"/>
  <c r="CN36" i="69"/>
  <c r="BP36" i="69"/>
  <c r="AS36" i="69"/>
  <c r="BZ36" i="69"/>
  <c r="AR36" i="69"/>
  <c r="CF36" i="69"/>
  <c r="BY36" i="69"/>
  <c r="BS36" i="69"/>
  <c r="AW36" i="69"/>
  <c r="CW36" i="69"/>
  <c r="BK36" i="69"/>
  <c r="AO36" i="69"/>
  <c r="AK36" i="69"/>
  <c r="D36" i="69"/>
  <c r="A38" i="69"/>
  <c r="B37" i="69"/>
  <c r="BB35" i="69"/>
  <c r="BA35" i="69"/>
  <c r="N35" i="69" s="1"/>
  <c r="CR36" i="68"/>
  <c r="BT36" i="68"/>
  <c r="BL36" i="68"/>
  <c r="CP36" i="68"/>
  <c r="CH36" i="68"/>
  <c r="BZ36" i="68"/>
  <c r="BJ36" i="68"/>
  <c r="AT36" i="68"/>
  <c r="AL36" i="68"/>
  <c r="CW36" i="68"/>
  <c r="BY36" i="68"/>
  <c r="BQ36" i="68"/>
  <c r="BI36" i="68"/>
  <c r="AS36" i="68"/>
  <c r="AK36" i="68"/>
  <c r="D36" i="68"/>
  <c r="CU36" i="68"/>
  <c r="BW36" i="68"/>
  <c r="BO36" i="68"/>
  <c r="BG36" i="68"/>
  <c r="AY36" i="68"/>
  <c r="AQ36" i="68"/>
  <c r="AI36" i="68"/>
  <c r="CS36" i="68"/>
  <c r="BU36" i="68"/>
  <c r="CV36" i="68"/>
  <c r="BK36" i="68"/>
  <c r="AW36" i="68"/>
  <c r="AJ36" i="68"/>
  <c r="CT36" i="68"/>
  <c r="AV36" i="68"/>
  <c r="AH36" i="68"/>
  <c r="AU36" i="68"/>
  <c r="AG36" i="68"/>
  <c r="CN36" i="68"/>
  <c r="BX36" i="68"/>
  <c r="AR36" i="68"/>
  <c r="BV36" i="68"/>
  <c r="AP36" i="68"/>
  <c r="BS36" i="68"/>
  <c r="AO36" i="68"/>
  <c r="CF36" i="68"/>
  <c r="BP36" i="68"/>
  <c r="AZ36" i="68"/>
  <c r="AN36" i="68"/>
  <c r="CD36" i="68"/>
  <c r="BN36" i="68"/>
  <c r="AX36" i="68"/>
  <c r="AM36" i="68"/>
  <c r="BB35" i="68"/>
  <c r="BA35" i="68"/>
  <c r="N35" i="68" s="1"/>
  <c r="CP37" i="67"/>
  <c r="CH37" i="67"/>
  <c r="BZ37" i="67"/>
  <c r="BR37" i="67"/>
  <c r="BJ37" i="67"/>
  <c r="AT37" i="67"/>
  <c r="AL37" i="67"/>
  <c r="CW37" i="67"/>
  <c r="CO37" i="67"/>
  <c r="BY37" i="67"/>
  <c r="BQ37" i="67"/>
  <c r="BI37" i="67"/>
  <c r="AS37" i="67"/>
  <c r="AK37" i="67"/>
  <c r="D37" i="67"/>
  <c r="CU37" i="67"/>
  <c r="CE37" i="67"/>
  <c r="BW37" i="67"/>
  <c r="BO37" i="67"/>
  <c r="BG37" i="67"/>
  <c r="AY37" i="67"/>
  <c r="AQ37" i="67"/>
  <c r="AI37" i="67"/>
  <c r="CN37" i="67"/>
  <c r="BN37" i="67"/>
  <c r="AO37" i="67"/>
  <c r="BM37" i="67"/>
  <c r="AZ37" i="67"/>
  <c r="AN37" i="67"/>
  <c r="BX37" i="67"/>
  <c r="BL37" i="67"/>
  <c r="AX37" i="67"/>
  <c r="AM37" i="67"/>
  <c r="CV37" i="67"/>
  <c r="BV37" i="67"/>
  <c r="BK37" i="67"/>
  <c r="AW37" i="67"/>
  <c r="AJ37" i="67"/>
  <c r="CT37" i="67"/>
  <c r="BU37" i="67"/>
  <c r="BH37" i="67"/>
  <c r="AV37" i="67"/>
  <c r="AH37" i="67"/>
  <c r="CS37" i="67"/>
  <c r="CF37" i="67"/>
  <c r="BT37" i="67"/>
  <c r="AU37" i="67"/>
  <c r="AG37" i="67"/>
  <c r="CR37" i="67"/>
  <c r="CD37" i="67"/>
  <c r="BS37" i="67"/>
  <c r="AR37" i="67"/>
  <c r="BP37" i="67"/>
  <c r="AP37" i="67"/>
  <c r="CA36" i="67"/>
  <c r="O36" i="67" s="1"/>
  <c r="BB36" i="67"/>
  <c r="BA36" i="67"/>
  <c r="N36" i="67" s="1"/>
  <c r="A39" i="67"/>
  <c r="B39" i="67" s="1"/>
  <c r="B38" i="67"/>
  <c r="CA36" i="66"/>
  <c r="O36" i="66" s="1"/>
  <c r="CP37" i="66"/>
  <c r="CH37" i="66"/>
  <c r="BZ37" i="66"/>
  <c r="BR37" i="66"/>
  <c r="BJ37" i="66"/>
  <c r="AT37" i="66"/>
  <c r="AL37" i="66"/>
  <c r="CW37" i="66"/>
  <c r="CO37" i="66"/>
  <c r="BY37" i="66"/>
  <c r="BQ37" i="66"/>
  <c r="BI37" i="66"/>
  <c r="AS37" i="66"/>
  <c r="AK37" i="66"/>
  <c r="D37" i="66"/>
  <c r="CU37" i="66"/>
  <c r="CE37" i="66"/>
  <c r="BW37" i="66"/>
  <c r="BO37" i="66"/>
  <c r="BG37" i="66"/>
  <c r="AY37" i="66"/>
  <c r="AQ37" i="66"/>
  <c r="AI37" i="66"/>
  <c r="BM37" i="66"/>
  <c r="AZ37" i="66"/>
  <c r="AN37" i="66"/>
  <c r="BX37" i="66"/>
  <c r="BL37" i="66"/>
  <c r="AX37" i="66"/>
  <c r="AM37" i="66"/>
  <c r="CT37" i="66"/>
  <c r="BU37" i="66"/>
  <c r="BH37" i="66"/>
  <c r="AV37" i="66"/>
  <c r="AH37" i="66"/>
  <c r="CS37" i="66"/>
  <c r="CF37" i="66"/>
  <c r="BT37" i="66"/>
  <c r="AU37" i="66"/>
  <c r="AG37" i="66"/>
  <c r="CR37" i="66"/>
  <c r="CD37" i="66"/>
  <c r="BS37" i="66"/>
  <c r="AR37" i="66"/>
  <c r="BV37" i="66"/>
  <c r="AW37" i="66"/>
  <c r="BP37" i="66"/>
  <c r="AP37" i="66"/>
  <c r="CV37" i="66"/>
  <c r="BN37" i="66"/>
  <c r="AO37" i="66"/>
  <c r="BK37" i="66"/>
  <c r="AJ37" i="66"/>
  <c r="CN37" i="66"/>
  <c r="A39" i="66"/>
  <c r="B39" i="66" s="1"/>
  <c r="B38" i="66"/>
  <c r="BB36" i="66"/>
  <c r="BA36" i="66"/>
  <c r="N36" i="66" s="1"/>
  <c r="CA35" i="65"/>
  <c r="O35" i="65" s="1"/>
  <c r="CP36" i="65"/>
  <c r="CH36" i="65"/>
  <c r="BZ36" i="65"/>
  <c r="BR36" i="65"/>
  <c r="BJ36" i="65"/>
  <c r="AT36" i="65"/>
  <c r="AL36" i="65"/>
  <c r="CW36" i="65"/>
  <c r="CO36" i="65"/>
  <c r="BY36" i="65"/>
  <c r="BQ36" i="65"/>
  <c r="BI36" i="65"/>
  <c r="AS36" i="65"/>
  <c r="AK36" i="65"/>
  <c r="D36" i="65"/>
  <c r="CU36" i="65"/>
  <c r="CE36" i="65"/>
  <c r="BW36" i="65"/>
  <c r="BO36" i="65"/>
  <c r="AY36" i="65"/>
  <c r="AQ36" i="65"/>
  <c r="AI36" i="65"/>
  <c r="CR36" i="65"/>
  <c r="BS36" i="65"/>
  <c r="AR36" i="65"/>
  <c r="BP36" i="65"/>
  <c r="AP36" i="65"/>
  <c r="CV36" i="65"/>
  <c r="BV36" i="65"/>
  <c r="BK36" i="65"/>
  <c r="AW36" i="65"/>
  <c r="AJ36" i="65"/>
  <c r="CT36" i="65"/>
  <c r="BU36" i="65"/>
  <c r="BH36" i="65"/>
  <c r="AV36" i="65"/>
  <c r="AH36" i="65"/>
  <c r="BM36" i="65"/>
  <c r="AU36" i="65"/>
  <c r="CF36" i="65"/>
  <c r="AO36" i="65"/>
  <c r="AN36" i="65"/>
  <c r="AM36" i="65"/>
  <c r="AG36" i="65"/>
  <c r="CS36" i="65"/>
  <c r="BX36" i="65"/>
  <c r="CN36" i="65"/>
  <c r="BT36" i="65"/>
  <c r="AZ36" i="65"/>
  <c r="BN36" i="65"/>
  <c r="AX36" i="65"/>
  <c r="BB35" i="65"/>
  <c r="BA35" i="65"/>
  <c r="N35" i="65" s="1"/>
  <c r="A38" i="65"/>
  <c r="B38" i="65" s="1"/>
  <c r="B37" i="65"/>
  <c r="CU36" i="64"/>
  <c r="CE36" i="64"/>
  <c r="BW36" i="64"/>
  <c r="BO36" i="64"/>
  <c r="BG36" i="64"/>
  <c r="AY36" i="64"/>
  <c r="AQ36" i="64"/>
  <c r="AI36" i="64"/>
  <c r="CT36" i="64"/>
  <c r="CD36" i="64"/>
  <c r="BV36" i="64"/>
  <c r="BN36" i="64"/>
  <c r="AX36" i="64"/>
  <c r="AP36" i="64"/>
  <c r="AH36" i="64"/>
  <c r="CR36" i="64"/>
  <c r="BT36" i="64"/>
  <c r="BL36" i="64"/>
  <c r="AV36" i="64"/>
  <c r="AN36" i="64"/>
  <c r="CN36" i="64"/>
  <c r="BP36" i="64"/>
  <c r="AS36" i="64"/>
  <c r="BZ36" i="64"/>
  <c r="BM36" i="64"/>
  <c r="AR36" i="64"/>
  <c r="CW36" i="64"/>
  <c r="BY36" i="64"/>
  <c r="AO36" i="64"/>
  <c r="D36" i="64"/>
  <c r="CV36" i="64"/>
  <c r="BX36" i="64"/>
  <c r="BJ36" i="64"/>
  <c r="AM36" i="64"/>
  <c r="CF36" i="64"/>
  <c r="BS36" i="64"/>
  <c r="BH36" i="64"/>
  <c r="AW36" i="64"/>
  <c r="AK36" i="64"/>
  <c r="CP36" i="64"/>
  <c r="BR36" i="64"/>
  <c r="AU36" i="64"/>
  <c r="AJ36" i="64"/>
  <c r="CO36" i="64"/>
  <c r="BQ36" i="64"/>
  <c r="AT36" i="64"/>
  <c r="AG36" i="64"/>
  <c r="AZ36" i="64"/>
  <c r="AL36" i="64"/>
  <c r="BU36" i="64"/>
  <c r="BI36" i="64"/>
  <c r="CS36" i="64"/>
  <c r="BB35" i="64"/>
  <c r="BA35" i="64"/>
  <c r="N35" i="64" s="1"/>
  <c r="A38" i="64"/>
  <c r="B37" i="64"/>
  <c r="CU36" i="63"/>
  <c r="CE36" i="63"/>
  <c r="BW36" i="63"/>
  <c r="BO36" i="63"/>
  <c r="BG36" i="63"/>
  <c r="AY36" i="63"/>
  <c r="AQ36" i="63"/>
  <c r="AI36" i="63"/>
  <c r="CT36" i="63"/>
  <c r="CD36" i="63"/>
  <c r="BV36" i="63"/>
  <c r="BN36" i="63"/>
  <c r="AX36" i="63"/>
  <c r="AP36" i="63"/>
  <c r="AH36" i="63"/>
  <c r="CR36" i="63"/>
  <c r="BT36" i="63"/>
  <c r="BL36" i="63"/>
  <c r="AV36" i="63"/>
  <c r="AN36" i="63"/>
  <c r="CO36" i="63"/>
  <c r="BQ36" i="63"/>
  <c r="AT36" i="63"/>
  <c r="AG36" i="63"/>
  <c r="CN36" i="63"/>
  <c r="BP36" i="63"/>
  <c r="AS36" i="63"/>
  <c r="CW36" i="63"/>
  <c r="BY36" i="63"/>
  <c r="BK36" i="63"/>
  <c r="AO36" i="63"/>
  <c r="D36" i="63"/>
  <c r="CV36" i="63"/>
  <c r="CH36" i="63"/>
  <c r="BX36" i="63"/>
  <c r="BJ36" i="63"/>
  <c r="AM36" i="63"/>
  <c r="BS36" i="63"/>
  <c r="BH36" i="63"/>
  <c r="AW36" i="63"/>
  <c r="AK36" i="63"/>
  <c r="CS36" i="63"/>
  <c r="BR36" i="63"/>
  <c r="AU36" i="63"/>
  <c r="CP36" i="63"/>
  <c r="BM36" i="63"/>
  <c r="AR36" i="63"/>
  <c r="AL36" i="63"/>
  <c r="AJ36" i="63"/>
  <c r="BZ36" i="63"/>
  <c r="AZ36" i="63"/>
  <c r="BU36" i="63"/>
  <c r="A38" i="63"/>
  <c r="B37" i="63"/>
  <c r="BB35" i="63"/>
  <c r="BA35" i="63"/>
  <c r="N35" i="63" s="1"/>
  <c r="CK37" i="73" l="1"/>
  <c r="CL37" i="73"/>
  <c r="CM37" i="73"/>
  <c r="CG37" i="73"/>
  <c r="CI37" i="73"/>
  <c r="CQ37" i="73"/>
  <c r="CJ37" i="73"/>
  <c r="CI38" i="67"/>
  <c r="CL38" i="67"/>
  <c r="CM38" i="67"/>
  <c r="CQ38" i="67"/>
  <c r="CG38" i="67"/>
  <c r="CJ38" i="67"/>
  <c r="CK38" i="67"/>
  <c r="CQ36" i="72"/>
  <c r="CI36" i="72"/>
  <c r="CJ36" i="72"/>
  <c r="CK36" i="72"/>
  <c r="CL36" i="72"/>
  <c r="CG36" i="72"/>
  <c r="CM36" i="72"/>
  <c r="CI37" i="69"/>
  <c r="CG37" i="69"/>
  <c r="CQ37" i="69"/>
  <c r="CJ37" i="69"/>
  <c r="CL37" i="69"/>
  <c r="CM37" i="69"/>
  <c r="CI39" i="67"/>
  <c r="CQ39" i="67"/>
  <c r="CG39" i="67"/>
  <c r="CK39" i="67"/>
  <c r="CL39" i="67"/>
  <c r="CM39" i="67"/>
  <c r="CI37" i="71"/>
  <c r="CQ37" i="71"/>
  <c r="CL37" i="71"/>
  <c r="CM37" i="71"/>
  <c r="CG37" i="71"/>
  <c r="CJ37" i="71"/>
  <c r="CK37" i="71"/>
  <c r="CI38" i="66"/>
  <c r="CK38" i="66"/>
  <c r="CL38" i="66"/>
  <c r="CG38" i="66"/>
  <c r="CM38" i="66"/>
  <c r="CJ38" i="66"/>
  <c r="CQ38" i="66"/>
  <c r="CI39" i="66"/>
  <c r="CG39" i="66"/>
  <c r="CJ39" i="66"/>
  <c r="CL39" i="66"/>
  <c r="CK39" i="66"/>
  <c r="CQ39" i="66"/>
  <c r="CM39" i="66"/>
  <c r="CI37" i="65"/>
  <c r="CG37" i="65"/>
  <c r="CJ37" i="65"/>
  <c r="CQ37" i="65"/>
  <c r="CK37" i="65"/>
  <c r="CL37" i="65"/>
  <c r="CM37" i="65"/>
  <c r="CI38" i="65"/>
  <c r="CJ38" i="65"/>
  <c r="CK38" i="65"/>
  <c r="CL38" i="65"/>
  <c r="CG38" i="65"/>
  <c r="CM38" i="65"/>
  <c r="CQ38" i="65"/>
  <c r="CI37" i="64"/>
  <c r="CJ37" i="64"/>
  <c r="CK37" i="64"/>
  <c r="CL37" i="64"/>
  <c r="CG37" i="64"/>
  <c r="CM37" i="64"/>
  <c r="CQ37" i="64"/>
  <c r="CI37" i="63"/>
  <c r="CL37" i="63"/>
  <c r="CJ37" i="63"/>
  <c r="CK37" i="63"/>
  <c r="CM37" i="63"/>
  <c r="CQ37" i="63"/>
  <c r="G75" i="70"/>
  <c r="BS39" i="67"/>
  <c r="BT39" i="67"/>
  <c r="BU39" i="67"/>
  <c r="G57" i="67"/>
  <c r="G56" i="67"/>
  <c r="G72" i="67"/>
  <c r="G74" i="67"/>
  <c r="G69" i="67"/>
  <c r="G61" i="67"/>
  <c r="G68" i="67"/>
  <c r="G59" i="67"/>
  <c r="G71" i="67"/>
  <c r="G65" i="67"/>
  <c r="G66" i="67"/>
  <c r="G62" i="67"/>
  <c r="G60" i="67"/>
  <c r="G67" i="67"/>
  <c r="G75" i="67"/>
  <c r="G73" i="67"/>
  <c r="G55" i="67"/>
  <c r="G54" i="67"/>
  <c r="G53" i="67"/>
  <c r="G63" i="67"/>
  <c r="BR38" i="67"/>
  <c r="BS38" i="67"/>
  <c r="BT38" i="67"/>
  <c r="BU38" i="67"/>
  <c r="CX37" i="67"/>
  <c r="P37" i="67" s="1"/>
  <c r="CX38" i="70"/>
  <c r="P38" i="70" s="1"/>
  <c r="CX36" i="73"/>
  <c r="P36" i="73" s="1"/>
  <c r="CX37" i="70"/>
  <c r="P37" i="70" s="1"/>
  <c r="CX36" i="71"/>
  <c r="P36" i="71" s="1"/>
  <c r="Q35" i="65"/>
  <c r="G62" i="66"/>
  <c r="G67" i="66"/>
  <c r="G55" i="66"/>
  <c r="G63" i="66"/>
  <c r="G68" i="66"/>
  <c r="G54" i="66"/>
  <c r="G66" i="66"/>
  <c r="G71" i="66"/>
  <c r="G53" i="66"/>
  <c r="G57" i="66"/>
  <c r="G75" i="66"/>
  <c r="G72" i="66"/>
  <c r="G56" i="66"/>
  <c r="G61" i="66"/>
  <c r="G60" i="66"/>
  <c r="G69" i="66"/>
  <c r="G59" i="66"/>
  <c r="G73" i="66"/>
  <c r="G65" i="66"/>
  <c r="G74" i="66"/>
  <c r="G66" i="65"/>
  <c r="G70" i="65"/>
  <c r="G55" i="65"/>
  <c r="G61" i="65"/>
  <c r="G59" i="65"/>
  <c r="G64" i="65"/>
  <c r="G74" i="65"/>
  <c r="G58" i="65"/>
  <c r="G67" i="65"/>
  <c r="G56" i="65"/>
  <c r="G73" i="65"/>
  <c r="G60" i="65"/>
  <c r="G52" i="65"/>
  <c r="G72" i="65"/>
  <c r="G71" i="65"/>
  <c r="G68" i="65"/>
  <c r="G53" i="65"/>
  <c r="G65" i="65"/>
  <c r="G54" i="65"/>
  <c r="G62" i="65"/>
  <c r="G65" i="68"/>
  <c r="G72" i="68"/>
  <c r="G52" i="68"/>
  <c r="G56" i="68"/>
  <c r="G63" i="68"/>
  <c r="G54" i="68"/>
  <c r="G68" i="68"/>
  <c r="G71" i="68"/>
  <c r="G57" i="68"/>
  <c r="G60" i="68"/>
  <c r="G62" i="68"/>
  <c r="G66" i="68"/>
  <c r="G53" i="68"/>
  <c r="G51" i="68"/>
  <c r="G69" i="68"/>
  <c r="G64" i="68"/>
  <c r="G70" i="68"/>
  <c r="G58" i="68"/>
  <c r="G59" i="68"/>
  <c r="G50" i="68"/>
  <c r="Q35" i="73"/>
  <c r="Q35" i="71"/>
  <c r="Q36" i="67"/>
  <c r="CA36" i="73"/>
  <c r="O36" i="73" s="1"/>
  <c r="CP37" i="73"/>
  <c r="CH37" i="73"/>
  <c r="BZ37" i="73"/>
  <c r="BR37" i="73"/>
  <c r="BJ37" i="73"/>
  <c r="AT37" i="73"/>
  <c r="AL37" i="73"/>
  <c r="CW37" i="73"/>
  <c r="CO37" i="73"/>
  <c r="BY37" i="73"/>
  <c r="BQ37" i="73"/>
  <c r="BI37" i="73"/>
  <c r="AS37" i="73"/>
  <c r="AK37" i="73"/>
  <c r="D37" i="73"/>
  <c r="CU37" i="73"/>
  <c r="CE37" i="73"/>
  <c r="BW37" i="73"/>
  <c r="BO37" i="73"/>
  <c r="BG37" i="73"/>
  <c r="AY37" i="73"/>
  <c r="AQ37" i="73"/>
  <c r="AI37" i="73"/>
  <c r="CR37" i="73"/>
  <c r="CD37" i="73"/>
  <c r="BS37" i="73"/>
  <c r="AR37" i="73"/>
  <c r="BP37" i="73"/>
  <c r="AP37" i="73"/>
  <c r="CN37" i="73"/>
  <c r="BN37" i="73"/>
  <c r="AO37" i="73"/>
  <c r="BM37" i="73"/>
  <c r="AZ37" i="73"/>
  <c r="AN37" i="73"/>
  <c r="CV37" i="73"/>
  <c r="BV37" i="73"/>
  <c r="BK37" i="73"/>
  <c r="AW37" i="73"/>
  <c r="AJ37" i="73"/>
  <c r="CT37" i="73"/>
  <c r="BU37" i="73"/>
  <c r="BH37" i="73"/>
  <c r="AV37" i="73"/>
  <c r="AH37" i="73"/>
  <c r="CS37" i="73"/>
  <c r="CF37" i="73"/>
  <c r="BT37" i="73"/>
  <c r="AU37" i="73"/>
  <c r="AG37" i="73"/>
  <c r="AX37" i="73"/>
  <c r="AM37" i="73"/>
  <c r="BX37" i="73"/>
  <c r="BL37" i="73"/>
  <c r="A39" i="73"/>
  <c r="B39" i="73" s="1"/>
  <c r="B38" i="73"/>
  <c r="BB36" i="73"/>
  <c r="BA36" i="73"/>
  <c r="N36" i="73" s="1"/>
  <c r="BB35" i="72"/>
  <c r="BA35" i="72"/>
  <c r="N35" i="72" s="1"/>
  <c r="CA35" i="72"/>
  <c r="O35" i="72" s="1"/>
  <c r="CP36" i="72"/>
  <c r="CH36" i="72"/>
  <c r="BZ36" i="72"/>
  <c r="BR36" i="72"/>
  <c r="BJ36" i="72"/>
  <c r="AT36" i="72"/>
  <c r="AL36" i="72"/>
  <c r="CW36" i="72"/>
  <c r="CO36" i="72"/>
  <c r="BY36" i="72"/>
  <c r="BQ36" i="72"/>
  <c r="BI36" i="72"/>
  <c r="AS36" i="72"/>
  <c r="AK36" i="72"/>
  <c r="D36" i="72"/>
  <c r="CU36" i="72"/>
  <c r="CE36" i="72"/>
  <c r="BW36" i="72"/>
  <c r="BO36" i="72"/>
  <c r="BG36" i="72"/>
  <c r="AY36" i="72"/>
  <c r="AQ36" i="72"/>
  <c r="AI36" i="72"/>
  <c r="CS36" i="72"/>
  <c r="CF36" i="72"/>
  <c r="BT36" i="72"/>
  <c r="AU36" i="72"/>
  <c r="AG36" i="72"/>
  <c r="CR36" i="72"/>
  <c r="CD36" i="72"/>
  <c r="BS36" i="72"/>
  <c r="AR36" i="72"/>
  <c r="BP36" i="72"/>
  <c r="AP36" i="72"/>
  <c r="CN36" i="72"/>
  <c r="BN36" i="72"/>
  <c r="AO36" i="72"/>
  <c r="BM36" i="72"/>
  <c r="AZ36" i="72"/>
  <c r="AN36" i="72"/>
  <c r="BX36" i="72"/>
  <c r="BL36" i="72"/>
  <c r="AX36" i="72"/>
  <c r="AM36" i="72"/>
  <c r="CV36" i="72"/>
  <c r="BV36" i="72"/>
  <c r="BK36" i="72"/>
  <c r="AW36" i="72"/>
  <c r="AJ36" i="72"/>
  <c r="CT36" i="72"/>
  <c r="BU36" i="72"/>
  <c r="BH36" i="72"/>
  <c r="AV36" i="72"/>
  <c r="AH36" i="72"/>
  <c r="A38" i="72"/>
  <c r="B38" i="72" s="1"/>
  <c r="B37" i="72"/>
  <c r="BB36" i="71"/>
  <c r="BA36" i="71"/>
  <c r="N36" i="71" s="1"/>
  <c r="CA36" i="71"/>
  <c r="O36" i="71" s="1"/>
  <c r="CP37" i="71"/>
  <c r="CH37" i="71"/>
  <c r="BZ37" i="71"/>
  <c r="BR37" i="71"/>
  <c r="BJ37" i="71"/>
  <c r="AT37" i="71"/>
  <c r="AL37" i="71"/>
  <c r="CW37" i="71"/>
  <c r="CO37" i="71"/>
  <c r="BY37" i="71"/>
  <c r="BQ37" i="71"/>
  <c r="BI37" i="71"/>
  <c r="AS37" i="71"/>
  <c r="AK37" i="71"/>
  <c r="D37" i="71"/>
  <c r="CU37" i="71"/>
  <c r="CE37" i="71"/>
  <c r="BW37" i="71"/>
  <c r="BO37" i="71"/>
  <c r="BG37" i="71"/>
  <c r="AY37" i="71"/>
  <c r="AQ37" i="71"/>
  <c r="AI37" i="71"/>
  <c r="CS37" i="71"/>
  <c r="BU37" i="71"/>
  <c r="BM37" i="71"/>
  <c r="AW37" i="71"/>
  <c r="AO37" i="71"/>
  <c r="AG37" i="71"/>
  <c r="CV37" i="71"/>
  <c r="CF37" i="71"/>
  <c r="BS37" i="71"/>
  <c r="AN37" i="71"/>
  <c r="CT37" i="71"/>
  <c r="CD37" i="71"/>
  <c r="BP37" i="71"/>
  <c r="AM37" i="71"/>
  <c r="CR37" i="71"/>
  <c r="BN37" i="71"/>
  <c r="AZ37" i="71"/>
  <c r="AJ37" i="71"/>
  <c r="BL37" i="71"/>
  <c r="AX37" i="71"/>
  <c r="AH37" i="71"/>
  <c r="CN37" i="71"/>
  <c r="BK37" i="71"/>
  <c r="AV37" i="71"/>
  <c r="BX37" i="71"/>
  <c r="BH37" i="71"/>
  <c r="AU37" i="71"/>
  <c r="BV37" i="71"/>
  <c r="AR37" i="71"/>
  <c r="AP37" i="71"/>
  <c r="BT37" i="71"/>
  <c r="A39" i="71"/>
  <c r="B39" i="71" s="1"/>
  <c r="B38" i="71"/>
  <c r="CA37" i="70"/>
  <c r="O37" i="70" s="1"/>
  <c r="BB38" i="70"/>
  <c r="BA38" i="70"/>
  <c r="BB37" i="70"/>
  <c r="BA37" i="70"/>
  <c r="N37" i="70" s="1"/>
  <c r="CA38" i="70"/>
  <c r="CH37" i="69"/>
  <c r="BZ37" i="69"/>
  <c r="BR37" i="69"/>
  <c r="BJ37" i="69"/>
  <c r="AT37" i="69"/>
  <c r="AL37" i="69"/>
  <c r="CW37" i="69"/>
  <c r="CO37" i="69"/>
  <c r="BY37" i="69"/>
  <c r="BQ37" i="69"/>
  <c r="AS37" i="69"/>
  <c r="AK37" i="69"/>
  <c r="D37" i="69"/>
  <c r="CU37" i="69"/>
  <c r="CE37" i="69"/>
  <c r="BW37" i="69"/>
  <c r="BO37" i="69"/>
  <c r="BG37" i="69"/>
  <c r="AY37" i="69"/>
  <c r="AQ37" i="69"/>
  <c r="AI37" i="69"/>
  <c r="CT37" i="69"/>
  <c r="BU37" i="69"/>
  <c r="BH37" i="69"/>
  <c r="AV37" i="69"/>
  <c r="AH37" i="69"/>
  <c r="CS37" i="69"/>
  <c r="BT37" i="69"/>
  <c r="AU37" i="69"/>
  <c r="AG37" i="69"/>
  <c r="BP37" i="69"/>
  <c r="AP37" i="69"/>
  <c r="CN37" i="69"/>
  <c r="AO37" i="69"/>
  <c r="BM37" i="69"/>
  <c r="AZ37" i="69"/>
  <c r="AN37" i="69"/>
  <c r="BX37" i="69"/>
  <c r="BL37" i="69"/>
  <c r="AX37" i="69"/>
  <c r="AM37" i="69"/>
  <c r="CD37" i="69"/>
  <c r="AW37" i="69"/>
  <c r="BV37" i="69"/>
  <c r="AR37" i="69"/>
  <c r="AJ37" i="69"/>
  <c r="CV37" i="69"/>
  <c r="BK37" i="69"/>
  <c r="CR37" i="69"/>
  <c r="A39" i="69"/>
  <c r="B39" i="69" s="1"/>
  <c r="B38" i="69"/>
  <c r="BB36" i="69"/>
  <c r="BA36" i="69"/>
  <c r="N36" i="69" s="1"/>
  <c r="BB36" i="68"/>
  <c r="BA36" i="68"/>
  <c r="N36" i="68" s="1"/>
  <c r="CS38" i="67"/>
  <c r="BM38" i="67"/>
  <c r="AW38" i="67"/>
  <c r="AO38" i="67"/>
  <c r="AG38" i="67"/>
  <c r="CR38" i="67"/>
  <c r="AV38" i="67"/>
  <c r="AN38" i="67"/>
  <c r="CP38" i="67"/>
  <c r="CH38" i="67"/>
  <c r="BZ38" i="67"/>
  <c r="BJ38" i="67"/>
  <c r="AT38" i="67"/>
  <c r="AL38" i="67"/>
  <c r="CU38" i="67"/>
  <c r="BX38" i="67"/>
  <c r="BK38" i="67"/>
  <c r="AP38" i="67"/>
  <c r="CT38" i="67"/>
  <c r="CF38" i="67"/>
  <c r="BW38" i="67"/>
  <c r="BI38" i="67"/>
  <c r="AZ38" i="67"/>
  <c r="AM38" i="67"/>
  <c r="CE38" i="67"/>
  <c r="BV38" i="67"/>
  <c r="BH38" i="67"/>
  <c r="AY38" i="67"/>
  <c r="AK38" i="67"/>
  <c r="CO38" i="67"/>
  <c r="AX38" i="67"/>
  <c r="AJ38" i="67"/>
  <c r="AU38" i="67"/>
  <c r="AI38" i="67"/>
  <c r="BP38" i="67"/>
  <c r="AS38" i="67"/>
  <c r="AH38" i="67"/>
  <c r="CW38" i="67"/>
  <c r="BO38" i="67"/>
  <c r="AR38" i="67"/>
  <c r="D38" i="67"/>
  <c r="CV38" i="67"/>
  <c r="BY38" i="67"/>
  <c r="BN38" i="67"/>
  <c r="AQ38" i="67"/>
  <c r="CV39" i="67"/>
  <c r="CN39" i="67"/>
  <c r="CF39" i="67"/>
  <c r="BX39" i="67"/>
  <c r="BP39" i="67"/>
  <c r="AZ39" i="67"/>
  <c r="AR39" i="67"/>
  <c r="AJ39" i="67"/>
  <c r="CU39" i="67"/>
  <c r="BW39" i="67"/>
  <c r="BO39" i="67"/>
  <c r="BG39" i="67"/>
  <c r="AY39" i="67"/>
  <c r="AQ39" i="67"/>
  <c r="AI39" i="67"/>
  <c r="CS39" i="67"/>
  <c r="AW39" i="67"/>
  <c r="AO39" i="67"/>
  <c r="AG39" i="67"/>
  <c r="CT39" i="67"/>
  <c r="CD39" i="67"/>
  <c r="AU39" i="67"/>
  <c r="AH39" i="67"/>
  <c r="CR39" i="67"/>
  <c r="AT39" i="67"/>
  <c r="CP39" i="67"/>
  <c r="BQ39" i="67"/>
  <c r="AS39" i="67"/>
  <c r="BN39" i="67"/>
  <c r="AP39" i="67"/>
  <c r="D39" i="67"/>
  <c r="BZ39" i="67"/>
  <c r="BL39" i="67"/>
  <c r="AN39" i="67"/>
  <c r="BY39" i="67"/>
  <c r="BK39" i="67"/>
  <c r="AM39" i="67"/>
  <c r="CH39" i="67"/>
  <c r="BV39" i="67"/>
  <c r="BJ39" i="67"/>
  <c r="AX39" i="67"/>
  <c r="AL39" i="67"/>
  <c r="CW39" i="67"/>
  <c r="BI39" i="67"/>
  <c r="AV39" i="67"/>
  <c r="AK39" i="67"/>
  <c r="BB37" i="67"/>
  <c r="BA37" i="67"/>
  <c r="N37" i="67" s="1"/>
  <c r="CA37" i="67"/>
  <c r="O37" i="67" s="1"/>
  <c r="CS38" i="66"/>
  <c r="BU38" i="66"/>
  <c r="BM38" i="66"/>
  <c r="AW38" i="66"/>
  <c r="AO38" i="66"/>
  <c r="AG38" i="66"/>
  <c r="CR38" i="66"/>
  <c r="BT38" i="66"/>
  <c r="BL38" i="66"/>
  <c r="AV38" i="66"/>
  <c r="AN38" i="66"/>
  <c r="CP38" i="66"/>
  <c r="CH38" i="66"/>
  <c r="BZ38" i="66"/>
  <c r="BR38" i="66"/>
  <c r="BJ38" i="66"/>
  <c r="AT38" i="66"/>
  <c r="AL38" i="66"/>
  <c r="CT38" i="66"/>
  <c r="CF38" i="66"/>
  <c r="BW38" i="66"/>
  <c r="BI38" i="66"/>
  <c r="AZ38" i="66"/>
  <c r="AM38" i="66"/>
  <c r="CE38" i="66"/>
  <c r="BV38" i="66"/>
  <c r="BH38" i="66"/>
  <c r="AY38" i="66"/>
  <c r="AK38" i="66"/>
  <c r="CO38" i="66"/>
  <c r="CD38" i="66"/>
  <c r="BS38" i="66"/>
  <c r="BG38" i="66"/>
  <c r="AX38" i="66"/>
  <c r="AJ38" i="66"/>
  <c r="CN38" i="66"/>
  <c r="BQ38" i="66"/>
  <c r="AU38" i="66"/>
  <c r="AI38" i="66"/>
  <c r="BP38" i="66"/>
  <c r="AS38" i="66"/>
  <c r="AH38" i="66"/>
  <c r="CW38" i="66"/>
  <c r="BO38" i="66"/>
  <c r="AR38" i="66"/>
  <c r="D38" i="66"/>
  <c r="BY38" i="66"/>
  <c r="BX38" i="66"/>
  <c r="AQ38" i="66"/>
  <c r="CV38" i="66"/>
  <c r="BN38" i="66"/>
  <c r="AP38" i="66"/>
  <c r="CU38" i="66"/>
  <c r="BK38" i="66"/>
  <c r="CA37" i="66"/>
  <c r="O37" i="66" s="1"/>
  <c r="BB37" i="66"/>
  <c r="BA37" i="66"/>
  <c r="N37" i="66" s="1"/>
  <c r="CP39" i="66"/>
  <c r="CH39" i="66"/>
  <c r="BZ39" i="66"/>
  <c r="BR39" i="66"/>
  <c r="BJ39" i="66"/>
  <c r="AT39" i="66"/>
  <c r="AL39" i="66"/>
  <c r="CV39" i="66"/>
  <c r="CN39" i="66"/>
  <c r="CF39" i="66"/>
  <c r="BX39" i="66"/>
  <c r="BP39" i="66"/>
  <c r="BH39" i="66"/>
  <c r="AZ39" i="66"/>
  <c r="AR39" i="66"/>
  <c r="AJ39" i="66"/>
  <c r="CU39" i="66"/>
  <c r="CE39" i="66"/>
  <c r="BW39" i="66"/>
  <c r="BO39" i="66"/>
  <c r="BG39" i="66"/>
  <c r="AY39" i="66"/>
  <c r="AQ39" i="66"/>
  <c r="AI39" i="66"/>
  <c r="CS39" i="66"/>
  <c r="BU39" i="66"/>
  <c r="BM39" i="66"/>
  <c r="AW39" i="66"/>
  <c r="AO39" i="66"/>
  <c r="AG39" i="66"/>
  <c r="CO39" i="66"/>
  <c r="BK39" i="66"/>
  <c r="AV39" i="66"/>
  <c r="BY39" i="66"/>
  <c r="BI39" i="66"/>
  <c r="AU39" i="66"/>
  <c r="BV39" i="66"/>
  <c r="AS39" i="66"/>
  <c r="D39" i="66"/>
  <c r="BT39" i="66"/>
  <c r="AP39" i="66"/>
  <c r="CW39" i="66"/>
  <c r="BS39" i="66"/>
  <c r="AN39" i="66"/>
  <c r="CT39" i="66"/>
  <c r="CD39" i="66"/>
  <c r="BQ39" i="66"/>
  <c r="AM39" i="66"/>
  <c r="BL39" i="66"/>
  <c r="AH39" i="66"/>
  <c r="CR39" i="66"/>
  <c r="AX39" i="66"/>
  <c r="BN39" i="66"/>
  <c r="AK39" i="66"/>
  <c r="CV38" i="65"/>
  <c r="CN38" i="65"/>
  <c r="BX38" i="65"/>
  <c r="BP38" i="65"/>
  <c r="BH38" i="65"/>
  <c r="AZ38" i="65"/>
  <c r="AR38" i="65"/>
  <c r="AJ38" i="65"/>
  <c r="CU38" i="65"/>
  <c r="CE38" i="65"/>
  <c r="BW38" i="65"/>
  <c r="BO38" i="65"/>
  <c r="BG38" i="65"/>
  <c r="AY38" i="65"/>
  <c r="AQ38" i="65"/>
  <c r="AI38" i="65"/>
  <c r="CS38" i="65"/>
  <c r="BU38" i="65"/>
  <c r="BM38" i="65"/>
  <c r="AW38" i="65"/>
  <c r="AO38" i="65"/>
  <c r="AG38" i="65"/>
  <c r="CT38" i="65"/>
  <c r="CH38" i="65"/>
  <c r="BV38" i="65"/>
  <c r="BJ38" i="65"/>
  <c r="AX38" i="65"/>
  <c r="AL38" i="65"/>
  <c r="CR38" i="65"/>
  <c r="BT38" i="65"/>
  <c r="AV38" i="65"/>
  <c r="AK38" i="65"/>
  <c r="AP38" i="65"/>
  <c r="D38" i="65"/>
  <c r="BZ38" i="65"/>
  <c r="BL38" i="65"/>
  <c r="AN38" i="65"/>
  <c r="BK38" i="65"/>
  <c r="AS38" i="65"/>
  <c r="CD38" i="65"/>
  <c r="AM38" i="65"/>
  <c r="AH38" i="65"/>
  <c r="CW38" i="65"/>
  <c r="BY38" i="65"/>
  <c r="BS38" i="65"/>
  <c r="CP38" i="65"/>
  <c r="BR38" i="65"/>
  <c r="AU38" i="65"/>
  <c r="CO38" i="65"/>
  <c r="BQ38" i="65"/>
  <c r="AT38" i="65"/>
  <c r="BB36" i="65"/>
  <c r="BA36" i="65"/>
  <c r="N36" i="65" s="1"/>
  <c r="CS37" i="65"/>
  <c r="BU37" i="65"/>
  <c r="AW37" i="65"/>
  <c r="AO37" i="65"/>
  <c r="AG37" i="65"/>
  <c r="CR37" i="65"/>
  <c r="BT37" i="65"/>
  <c r="BL37" i="65"/>
  <c r="AV37" i="65"/>
  <c r="AN37" i="65"/>
  <c r="CP37" i="65"/>
  <c r="CH37" i="65"/>
  <c r="BZ37" i="65"/>
  <c r="BR37" i="65"/>
  <c r="BJ37" i="65"/>
  <c r="AT37" i="65"/>
  <c r="AL37" i="65"/>
  <c r="CW37" i="65"/>
  <c r="BO37" i="65"/>
  <c r="AR37" i="65"/>
  <c r="D37" i="65"/>
  <c r="CV37" i="65"/>
  <c r="BY37" i="65"/>
  <c r="BN37" i="65"/>
  <c r="AQ37" i="65"/>
  <c r="CO37" i="65"/>
  <c r="CD37" i="65"/>
  <c r="BS37" i="65"/>
  <c r="BG37" i="65"/>
  <c r="AX37" i="65"/>
  <c r="AJ37" i="65"/>
  <c r="CN37" i="65"/>
  <c r="BQ37" i="65"/>
  <c r="AU37" i="65"/>
  <c r="AI37" i="65"/>
  <c r="BW37" i="65"/>
  <c r="AK37" i="65"/>
  <c r="BV37" i="65"/>
  <c r="AH37" i="65"/>
  <c r="BP37" i="65"/>
  <c r="CF37" i="65"/>
  <c r="BK37" i="65"/>
  <c r="AZ37" i="65"/>
  <c r="BI37" i="65"/>
  <c r="AY37" i="65"/>
  <c r="AS37" i="65"/>
  <c r="CU37" i="65"/>
  <c r="AP37" i="65"/>
  <c r="CT37" i="65"/>
  <c r="BX37" i="65"/>
  <c r="AM37" i="65"/>
  <c r="A39" i="64"/>
  <c r="B39" i="64" s="1"/>
  <c r="B38" i="64"/>
  <c r="CP37" i="64"/>
  <c r="CH37" i="64"/>
  <c r="BZ37" i="64"/>
  <c r="BR37" i="64"/>
  <c r="BJ37" i="64"/>
  <c r="AT37" i="64"/>
  <c r="AL37" i="64"/>
  <c r="CW37" i="64"/>
  <c r="CO37" i="64"/>
  <c r="BY37" i="64"/>
  <c r="BQ37" i="64"/>
  <c r="BI37" i="64"/>
  <c r="AS37" i="64"/>
  <c r="AK37" i="64"/>
  <c r="D37" i="64"/>
  <c r="CU37" i="64"/>
  <c r="CE37" i="64"/>
  <c r="BW37" i="64"/>
  <c r="BO37" i="64"/>
  <c r="BG37" i="64"/>
  <c r="AY37" i="64"/>
  <c r="AQ37" i="64"/>
  <c r="AI37" i="64"/>
  <c r="BM37" i="64"/>
  <c r="AZ37" i="64"/>
  <c r="AN37" i="64"/>
  <c r="BX37" i="64"/>
  <c r="BL37" i="64"/>
  <c r="AX37" i="64"/>
  <c r="AM37" i="64"/>
  <c r="CV37" i="64"/>
  <c r="BV37" i="64"/>
  <c r="BK37" i="64"/>
  <c r="AW37" i="64"/>
  <c r="AJ37" i="64"/>
  <c r="CT37" i="64"/>
  <c r="BU37" i="64"/>
  <c r="BH37" i="64"/>
  <c r="AV37" i="64"/>
  <c r="AH37" i="64"/>
  <c r="CR37" i="64"/>
  <c r="CD37" i="64"/>
  <c r="BS37" i="64"/>
  <c r="AR37" i="64"/>
  <c r="BP37" i="64"/>
  <c r="AP37" i="64"/>
  <c r="CN37" i="64"/>
  <c r="BN37" i="64"/>
  <c r="AO37" i="64"/>
  <c r="CS37" i="64"/>
  <c r="CF37" i="64"/>
  <c r="AU37" i="64"/>
  <c r="AG37" i="64"/>
  <c r="BT37" i="64"/>
  <c r="BB36" i="64"/>
  <c r="BA36" i="64"/>
  <c r="N36" i="64" s="1"/>
  <c r="CP37" i="63"/>
  <c r="CH37" i="63"/>
  <c r="BZ37" i="63"/>
  <c r="BR37" i="63"/>
  <c r="AT37" i="63"/>
  <c r="AL37" i="63"/>
  <c r="CW37" i="63"/>
  <c r="CO37" i="63"/>
  <c r="BY37" i="63"/>
  <c r="BQ37" i="63"/>
  <c r="BI37" i="63"/>
  <c r="AS37" i="63"/>
  <c r="AK37" i="63"/>
  <c r="D37" i="63"/>
  <c r="CU37" i="63"/>
  <c r="CE37" i="63"/>
  <c r="BW37" i="63"/>
  <c r="BO37" i="63"/>
  <c r="BG37" i="63"/>
  <c r="AY37" i="63"/>
  <c r="AQ37" i="63"/>
  <c r="AI37" i="63"/>
  <c r="CN37" i="63"/>
  <c r="BN37" i="63"/>
  <c r="AO37" i="63"/>
  <c r="BM37" i="63"/>
  <c r="AZ37" i="63"/>
  <c r="AN37" i="63"/>
  <c r="CV37" i="63"/>
  <c r="BV37" i="63"/>
  <c r="BK37" i="63"/>
  <c r="AW37" i="63"/>
  <c r="AJ37" i="63"/>
  <c r="CT37" i="63"/>
  <c r="BU37" i="63"/>
  <c r="BH37" i="63"/>
  <c r="AV37" i="63"/>
  <c r="AH37" i="63"/>
  <c r="CR37" i="63"/>
  <c r="CD37" i="63"/>
  <c r="BS37" i="63"/>
  <c r="AR37" i="63"/>
  <c r="BX37" i="63"/>
  <c r="AX37" i="63"/>
  <c r="BT37" i="63"/>
  <c r="AU37" i="63"/>
  <c r="CS37" i="63"/>
  <c r="BP37" i="63"/>
  <c r="AP37" i="63"/>
  <c r="BL37" i="63"/>
  <c r="AM37" i="63"/>
  <c r="AG37" i="63"/>
  <c r="CF37" i="63"/>
  <c r="B38" i="63"/>
  <c r="BB36" i="63"/>
  <c r="BA36" i="63"/>
  <c r="N36" i="63" s="1"/>
  <c r="CI38" i="69" l="1"/>
  <c r="CJ38" i="69"/>
  <c r="CK38" i="69"/>
  <c r="CM38" i="69"/>
  <c r="CQ38" i="69"/>
  <c r="CI39" i="69"/>
  <c r="CJ39" i="69"/>
  <c r="CG39" i="69"/>
  <c r="CK39" i="69"/>
  <c r="CQ39" i="69"/>
  <c r="CL39" i="69"/>
  <c r="CI38" i="71"/>
  <c r="CQ38" i="71"/>
  <c r="CG38" i="71"/>
  <c r="CK38" i="71"/>
  <c r="CL38" i="71"/>
  <c r="CM38" i="71"/>
  <c r="CQ38" i="73"/>
  <c r="CJ38" i="73"/>
  <c r="CG38" i="73"/>
  <c r="CI38" i="73"/>
  <c r="CK38" i="73"/>
  <c r="CL38" i="73"/>
  <c r="CM38" i="73"/>
  <c r="CI39" i="71"/>
  <c r="CQ39" i="71"/>
  <c r="CL39" i="71"/>
  <c r="CM39" i="71"/>
  <c r="CG39" i="71"/>
  <c r="CJ39" i="71"/>
  <c r="G71" i="73"/>
  <c r="CK39" i="73"/>
  <c r="CQ39" i="73"/>
  <c r="CL39" i="73"/>
  <c r="CM39" i="73"/>
  <c r="CG39" i="73"/>
  <c r="CI39" i="73"/>
  <c r="CJ39" i="73"/>
  <c r="CJ37" i="72"/>
  <c r="CQ37" i="72"/>
  <c r="CK37" i="72"/>
  <c r="CI37" i="72"/>
  <c r="CL37" i="72"/>
  <c r="CM37" i="72"/>
  <c r="CG37" i="72"/>
  <c r="CG38" i="72"/>
  <c r="CQ38" i="72"/>
  <c r="CI38" i="72"/>
  <c r="CJ38" i="72"/>
  <c r="CK38" i="72"/>
  <c r="CL38" i="72"/>
  <c r="CM38" i="72"/>
  <c r="CI38" i="64"/>
  <c r="CL38" i="64"/>
  <c r="CM38" i="64"/>
  <c r="CG38" i="64"/>
  <c r="CJ38" i="64"/>
  <c r="CK38" i="64"/>
  <c r="CQ38" i="64"/>
  <c r="CI39" i="64"/>
  <c r="CJ39" i="64"/>
  <c r="CQ39" i="64"/>
  <c r="CK39" i="64"/>
  <c r="CL39" i="64"/>
  <c r="CG39" i="64"/>
  <c r="CM39" i="64"/>
  <c r="CI38" i="63"/>
  <c r="CJ38" i="63"/>
  <c r="CK38" i="63"/>
  <c r="CL38" i="63"/>
  <c r="CM38" i="63"/>
  <c r="CQ38" i="63"/>
  <c r="CG38" i="63"/>
  <c r="G73" i="68"/>
  <c r="G76" i="67"/>
  <c r="G76" i="66"/>
  <c r="G75" i="65"/>
  <c r="CX37" i="64"/>
  <c r="P37" i="64" s="1"/>
  <c r="CX37" i="73"/>
  <c r="P37" i="73" s="1"/>
  <c r="CX37" i="71"/>
  <c r="P37" i="71" s="1"/>
  <c r="Q36" i="73"/>
  <c r="G53" i="64"/>
  <c r="G71" i="64"/>
  <c r="G62" i="64"/>
  <c r="G55" i="64"/>
  <c r="G56" i="64"/>
  <c r="G72" i="64"/>
  <c r="G57" i="64"/>
  <c r="G61" i="64"/>
  <c r="G73" i="64"/>
  <c r="G66" i="64"/>
  <c r="G75" i="64"/>
  <c r="G67" i="64"/>
  <c r="G68" i="64"/>
  <c r="G60" i="64"/>
  <c r="G74" i="64"/>
  <c r="G54" i="64"/>
  <c r="G69" i="64"/>
  <c r="G63" i="64"/>
  <c r="G65" i="64"/>
  <c r="G59" i="64"/>
  <c r="G66" i="63"/>
  <c r="G73" i="63"/>
  <c r="G74" i="63"/>
  <c r="G53" i="63"/>
  <c r="G67" i="63"/>
  <c r="G54" i="63"/>
  <c r="G58" i="63"/>
  <c r="G55" i="63"/>
  <c r="G61" i="63"/>
  <c r="G60" i="63"/>
  <c r="G52" i="63"/>
  <c r="G65" i="63"/>
  <c r="G59" i="63"/>
  <c r="G71" i="63"/>
  <c r="G70" i="63"/>
  <c r="G72" i="63"/>
  <c r="G68" i="63"/>
  <c r="G64" i="63"/>
  <c r="G56" i="63"/>
  <c r="G62" i="63"/>
  <c r="G63" i="73"/>
  <c r="G75" i="73"/>
  <c r="G67" i="73"/>
  <c r="G66" i="73"/>
  <c r="G73" i="73"/>
  <c r="G56" i="73"/>
  <c r="G72" i="73"/>
  <c r="G68" i="73"/>
  <c r="G59" i="73"/>
  <c r="G53" i="73"/>
  <c r="G54" i="73"/>
  <c r="G74" i="73"/>
  <c r="G65" i="73"/>
  <c r="G61" i="73"/>
  <c r="G55" i="73"/>
  <c r="G60" i="73"/>
  <c r="G69" i="73"/>
  <c r="G62" i="73"/>
  <c r="G57" i="73"/>
  <c r="G72" i="72"/>
  <c r="G71" i="72"/>
  <c r="G54" i="72"/>
  <c r="G61" i="72"/>
  <c r="G60" i="72"/>
  <c r="G66" i="72"/>
  <c r="G70" i="72"/>
  <c r="G56" i="72"/>
  <c r="G65" i="72"/>
  <c r="G52" i="72"/>
  <c r="G59" i="72"/>
  <c r="G58" i="72"/>
  <c r="G67" i="72"/>
  <c r="G55" i="72"/>
  <c r="G73" i="72"/>
  <c r="G68" i="72"/>
  <c r="G74" i="72"/>
  <c r="G64" i="72"/>
  <c r="G62" i="72"/>
  <c r="G53" i="72"/>
  <c r="G54" i="69"/>
  <c r="G56" i="69"/>
  <c r="G74" i="69"/>
  <c r="G68" i="69"/>
  <c r="G63" i="69"/>
  <c r="G69" i="69"/>
  <c r="G73" i="69"/>
  <c r="G75" i="69"/>
  <c r="G61" i="69"/>
  <c r="G66" i="69"/>
  <c r="G59" i="69"/>
  <c r="G72" i="69"/>
  <c r="G67" i="69"/>
  <c r="G60" i="69"/>
  <c r="G55" i="69"/>
  <c r="G62" i="69"/>
  <c r="G53" i="69"/>
  <c r="G71" i="69"/>
  <c r="G57" i="69"/>
  <c r="G65" i="69"/>
  <c r="G54" i="71"/>
  <c r="G69" i="71"/>
  <c r="G72" i="71"/>
  <c r="G60" i="71"/>
  <c r="G61" i="71"/>
  <c r="G63" i="71"/>
  <c r="G62" i="71"/>
  <c r="G57" i="71"/>
  <c r="G74" i="71"/>
  <c r="G73" i="71"/>
  <c r="G71" i="71"/>
  <c r="G55" i="71"/>
  <c r="G66" i="71"/>
  <c r="G56" i="71"/>
  <c r="G65" i="71"/>
  <c r="G75" i="71"/>
  <c r="G59" i="71"/>
  <c r="G53" i="71"/>
  <c r="G68" i="71"/>
  <c r="G67" i="71"/>
  <c r="Q36" i="71"/>
  <c r="Q37" i="70"/>
  <c r="BB37" i="73"/>
  <c r="BA37" i="73"/>
  <c r="N37" i="73" s="1"/>
  <c r="CS38" i="73"/>
  <c r="BU38" i="73"/>
  <c r="BM38" i="73"/>
  <c r="AW38" i="73"/>
  <c r="AO38" i="73"/>
  <c r="AG38" i="73"/>
  <c r="CR38" i="73"/>
  <c r="BT38" i="73"/>
  <c r="BL38" i="73"/>
  <c r="AV38" i="73"/>
  <c r="AN38" i="73"/>
  <c r="CP38" i="73"/>
  <c r="CH38" i="73"/>
  <c r="BZ38" i="73"/>
  <c r="BR38" i="73"/>
  <c r="BJ38" i="73"/>
  <c r="AT38" i="73"/>
  <c r="AL38" i="73"/>
  <c r="CW38" i="73"/>
  <c r="BO38" i="73"/>
  <c r="AR38" i="73"/>
  <c r="D38" i="73"/>
  <c r="CV38" i="73"/>
  <c r="BY38" i="73"/>
  <c r="BN38" i="73"/>
  <c r="AQ38" i="73"/>
  <c r="CU38" i="73"/>
  <c r="BX38" i="73"/>
  <c r="BK38" i="73"/>
  <c r="AP38" i="73"/>
  <c r="CT38" i="73"/>
  <c r="CF38" i="73"/>
  <c r="BW38" i="73"/>
  <c r="BI38" i="73"/>
  <c r="AZ38" i="73"/>
  <c r="AM38" i="73"/>
  <c r="CO38" i="73"/>
  <c r="CD38" i="73"/>
  <c r="BS38" i="73"/>
  <c r="BG38" i="73"/>
  <c r="AX38" i="73"/>
  <c r="AJ38" i="73"/>
  <c r="CN38" i="73"/>
  <c r="BQ38" i="73"/>
  <c r="AU38" i="73"/>
  <c r="AI38" i="73"/>
  <c r="BP38" i="73"/>
  <c r="AS38" i="73"/>
  <c r="AH38" i="73"/>
  <c r="CE38" i="73"/>
  <c r="AY38" i="73"/>
  <c r="AK38" i="73"/>
  <c r="BV38" i="73"/>
  <c r="BH38" i="73"/>
  <c r="CA37" i="73"/>
  <c r="O37" i="73" s="1"/>
  <c r="CV39" i="73"/>
  <c r="CN39" i="73"/>
  <c r="CF39" i="73"/>
  <c r="BX39" i="73"/>
  <c r="BP39" i="73"/>
  <c r="BH39" i="73"/>
  <c r="AZ39" i="73"/>
  <c r="AR39" i="73"/>
  <c r="AJ39" i="73"/>
  <c r="CU39" i="73"/>
  <c r="CE39" i="73"/>
  <c r="BW39" i="73"/>
  <c r="BO39" i="73"/>
  <c r="BG39" i="73"/>
  <c r="AY39" i="73"/>
  <c r="AQ39" i="73"/>
  <c r="AI39" i="73"/>
  <c r="CS39" i="73"/>
  <c r="BU39" i="73"/>
  <c r="BM39" i="73"/>
  <c r="AW39" i="73"/>
  <c r="AO39" i="73"/>
  <c r="AG39" i="73"/>
  <c r="CT39" i="73"/>
  <c r="CH39" i="73"/>
  <c r="BV39" i="73"/>
  <c r="BJ39" i="73"/>
  <c r="AX39" i="73"/>
  <c r="AL39" i="73"/>
  <c r="CR39" i="73"/>
  <c r="BT39" i="73"/>
  <c r="BI39" i="73"/>
  <c r="AV39" i="73"/>
  <c r="AK39" i="73"/>
  <c r="CD39" i="73"/>
  <c r="BS39" i="73"/>
  <c r="AU39" i="73"/>
  <c r="AH39" i="73"/>
  <c r="CP39" i="73"/>
  <c r="BR39" i="73"/>
  <c r="AT39" i="73"/>
  <c r="BN39" i="73"/>
  <c r="AP39" i="73"/>
  <c r="D39" i="73"/>
  <c r="BZ39" i="73"/>
  <c r="BL39" i="73"/>
  <c r="AN39" i="73"/>
  <c r="CW39" i="73"/>
  <c r="BY39" i="73"/>
  <c r="BK39" i="73"/>
  <c r="AM39" i="73"/>
  <c r="BQ39" i="73"/>
  <c r="CO39" i="73"/>
  <c r="AS39" i="73"/>
  <c r="CS37" i="72"/>
  <c r="BU37" i="72"/>
  <c r="BM37" i="72"/>
  <c r="AW37" i="72"/>
  <c r="AO37" i="72"/>
  <c r="AG37" i="72"/>
  <c r="CR37" i="72"/>
  <c r="BT37" i="72"/>
  <c r="BL37" i="72"/>
  <c r="AV37" i="72"/>
  <c r="AN37" i="72"/>
  <c r="CP37" i="72"/>
  <c r="CH37" i="72"/>
  <c r="BZ37" i="72"/>
  <c r="BR37" i="72"/>
  <c r="BJ37" i="72"/>
  <c r="AT37" i="72"/>
  <c r="AL37" i="72"/>
  <c r="BP37" i="72"/>
  <c r="AS37" i="72"/>
  <c r="AH37" i="72"/>
  <c r="CW37" i="72"/>
  <c r="BO37" i="72"/>
  <c r="AR37" i="72"/>
  <c r="D37" i="72"/>
  <c r="CV37" i="72"/>
  <c r="BY37" i="72"/>
  <c r="BN37" i="72"/>
  <c r="AQ37" i="72"/>
  <c r="CU37" i="72"/>
  <c r="BX37" i="72"/>
  <c r="BK37" i="72"/>
  <c r="AP37" i="72"/>
  <c r="CT37" i="72"/>
  <c r="CF37" i="72"/>
  <c r="BW37" i="72"/>
  <c r="BI37" i="72"/>
  <c r="AZ37" i="72"/>
  <c r="AM37" i="72"/>
  <c r="CE37" i="72"/>
  <c r="BV37" i="72"/>
  <c r="BH37" i="72"/>
  <c r="AY37" i="72"/>
  <c r="AK37" i="72"/>
  <c r="CO37" i="72"/>
  <c r="CD37" i="72"/>
  <c r="BS37" i="72"/>
  <c r="BG37" i="72"/>
  <c r="AX37" i="72"/>
  <c r="AJ37" i="72"/>
  <c r="CN37" i="72"/>
  <c r="BQ37" i="72"/>
  <c r="AU37" i="72"/>
  <c r="AI37" i="72"/>
  <c r="BB36" i="72"/>
  <c r="BA36" i="72"/>
  <c r="N36" i="72" s="1"/>
  <c r="CA36" i="72"/>
  <c r="O36" i="72" s="1"/>
  <c r="CV38" i="72"/>
  <c r="CN38" i="72"/>
  <c r="CF38" i="72"/>
  <c r="BX38" i="72"/>
  <c r="BP38" i="72"/>
  <c r="BH38" i="72"/>
  <c r="AZ38" i="72"/>
  <c r="AR38" i="72"/>
  <c r="AJ38" i="72"/>
  <c r="CU38" i="72"/>
  <c r="CE38" i="72"/>
  <c r="BW38" i="72"/>
  <c r="BO38" i="72"/>
  <c r="BG38" i="72"/>
  <c r="AY38" i="72"/>
  <c r="AQ38" i="72"/>
  <c r="AI38" i="72"/>
  <c r="CS38" i="72"/>
  <c r="BU38" i="72"/>
  <c r="BM38" i="72"/>
  <c r="AW38" i="72"/>
  <c r="AO38" i="72"/>
  <c r="AG38" i="72"/>
  <c r="CW38" i="72"/>
  <c r="BY38" i="72"/>
  <c r="BK38" i="72"/>
  <c r="AM38" i="72"/>
  <c r="CT38" i="72"/>
  <c r="CH38" i="72"/>
  <c r="BV38" i="72"/>
  <c r="BJ38" i="72"/>
  <c r="AX38" i="72"/>
  <c r="AL38" i="72"/>
  <c r="CR38" i="72"/>
  <c r="BT38" i="72"/>
  <c r="BI38" i="72"/>
  <c r="AV38" i="72"/>
  <c r="AK38" i="72"/>
  <c r="CD38" i="72"/>
  <c r="BS38" i="72"/>
  <c r="AU38" i="72"/>
  <c r="AH38" i="72"/>
  <c r="CP38" i="72"/>
  <c r="BR38" i="72"/>
  <c r="AT38" i="72"/>
  <c r="CO38" i="72"/>
  <c r="BQ38" i="72"/>
  <c r="AS38" i="72"/>
  <c r="BN38" i="72"/>
  <c r="AP38" i="72"/>
  <c r="D38" i="72"/>
  <c r="BZ38" i="72"/>
  <c r="BL38" i="72"/>
  <c r="AN38" i="72"/>
  <c r="CU38" i="71"/>
  <c r="BO38" i="71"/>
  <c r="BG38" i="71"/>
  <c r="AY38" i="71"/>
  <c r="AQ38" i="71"/>
  <c r="AI38" i="71"/>
  <c r="CS38" i="71"/>
  <c r="BU38" i="71"/>
  <c r="AW38" i="71"/>
  <c r="AO38" i="71"/>
  <c r="AG38" i="71"/>
  <c r="CR38" i="71"/>
  <c r="BT38" i="71"/>
  <c r="BL38" i="71"/>
  <c r="AV38" i="71"/>
  <c r="AN38" i="71"/>
  <c r="CP38" i="71"/>
  <c r="CH38" i="71"/>
  <c r="BZ38" i="71"/>
  <c r="BR38" i="71"/>
  <c r="BJ38" i="71"/>
  <c r="AT38" i="71"/>
  <c r="AL38" i="71"/>
  <c r="CV38" i="71"/>
  <c r="CN38" i="71"/>
  <c r="CF38" i="71"/>
  <c r="BX38" i="71"/>
  <c r="BP38" i="71"/>
  <c r="AZ38" i="71"/>
  <c r="AR38" i="71"/>
  <c r="AJ38" i="71"/>
  <c r="BI38" i="71"/>
  <c r="AS38" i="71"/>
  <c r="AP38" i="71"/>
  <c r="BY38" i="71"/>
  <c r="AM38" i="71"/>
  <c r="BV38" i="71"/>
  <c r="AK38" i="71"/>
  <c r="BS38" i="71"/>
  <c r="AH38" i="71"/>
  <c r="BQ38" i="71"/>
  <c r="D38" i="71"/>
  <c r="CD38" i="71"/>
  <c r="BN38" i="71"/>
  <c r="AX38" i="71"/>
  <c r="CW38" i="71"/>
  <c r="AU38" i="71"/>
  <c r="BK38" i="71"/>
  <c r="CA37" i="71"/>
  <c r="O37" i="71" s="1"/>
  <c r="CH39" i="71"/>
  <c r="BZ39" i="71"/>
  <c r="BR39" i="71"/>
  <c r="BJ39" i="71"/>
  <c r="AT39" i="71"/>
  <c r="AL39" i="71"/>
  <c r="CV39" i="71"/>
  <c r="CN39" i="71"/>
  <c r="BP39" i="71"/>
  <c r="BH39" i="71"/>
  <c r="AZ39" i="71"/>
  <c r="AR39" i="71"/>
  <c r="AJ39" i="71"/>
  <c r="CE39" i="71"/>
  <c r="BW39" i="71"/>
  <c r="BO39" i="71"/>
  <c r="BG39" i="71"/>
  <c r="AY39" i="71"/>
  <c r="AQ39" i="71"/>
  <c r="AI39" i="71"/>
  <c r="CS39" i="71"/>
  <c r="BU39" i="71"/>
  <c r="BM39" i="71"/>
  <c r="AW39" i="71"/>
  <c r="AO39" i="71"/>
  <c r="AG39" i="71"/>
  <c r="BK39" i="71"/>
  <c r="AU39" i="71"/>
  <c r="AM39" i="71"/>
  <c r="CT39" i="71"/>
  <c r="AP39" i="71"/>
  <c r="CR39" i="71"/>
  <c r="BY39" i="71"/>
  <c r="AN39" i="71"/>
  <c r="CO39" i="71"/>
  <c r="BV39" i="71"/>
  <c r="AK39" i="71"/>
  <c r="BT39" i="71"/>
  <c r="AH39" i="71"/>
  <c r="BQ39" i="71"/>
  <c r="D39" i="71"/>
  <c r="AX39" i="71"/>
  <c r="CD39" i="71"/>
  <c r="BL39" i="71"/>
  <c r="AV39" i="71"/>
  <c r="CW39" i="71"/>
  <c r="AS39" i="71"/>
  <c r="BB37" i="71"/>
  <c r="BA37" i="71"/>
  <c r="N37" i="71" s="1"/>
  <c r="O38" i="70"/>
  <c r="N38" i="70"/>
  <c r="BA39" i="70"/>
  <c r="CS38" i="69"/>
  <c r="BU38" i="69"/>
  <c r="BM38" i="69"/>
  <c r="AW38" i="69"/>
  <c r="AO38" i="69"/>
  <c r="AG38" i="69"/>
  <c r="CR38" i="69"/>
  <c r="BL38" i="69"/>
  <c r="AV38" i="69"/>
  <c r="AN38" i="69"/>
  <c r="CP38" i="69"/>
  <c r="CH38" i="69"/>
  <c r="BZ38" i="69"/>
  <c r="BR38" i="69"/>
  <c r="AT38" i="69"/>
  <c r="AL38" i="69"/>
  <c r="CN38" i="69"/>
  <c r="BQ38" i="69"/>
  <c r="AU38" i="69"/>
  <c r="AI38" i="69"/>
  <c r="BP38" i="69"/>
  <c r="AS38" i="69"/>
  <c r="AH38" i="69"/>
  <c r="CV38" i="69"/>
  <c r="BY38" i="69"/>
  <c r="BN38" i="69"/>
  <c r="AQ38" i="69"/>
  <c r="CU38" i="69"/>
  <c r="BX38" i="69"/>
  <c r="BK38" i="69"/>
  <c r="AP38" i="69"/>
  <c r="CT38" i="69"/>
  <c r="CF38" i="69"/>
  <c r="BW38" i="69"/>
  <c r="BI38" i="69"/>
  <c r="AZ38" i="69"/>
  <c r="AM38" i="69"/>
  <c r="CE38" i="69"/>
  <c r="BV38" i="69"/>
  <c r="BH38" i="69"/>
  <c r="AY38" i="69"/>
  <c r="AK38" i="69"/>
  <c r="AX38" i="69"/>
  <c r="BS38" i="69"/>
  <c r="AR38" i="69"/>
  <c r="CW38" i="69"/>
  <c r="AJ38" i="69"/>
  <c r="D38" i="69"/>
  <c r="CO38" i="69"/>
  <c r="BG38" i="69"/>
  <c r="CD38" i="69"/>
  <c r="CP39" i="69"/>
  <c r="BZ39" i="69"/>
  <c r="BR39" i="69"/>
  <c r="BJ39" i="69"/>
  <c r="AT39" i="69"/>
  <c r="AL39" i="69"/>
  <c r="CV39" i="69"/>
  <c r="CN39" i="69"/>
  <c r="CF39" i="69"/>
  <c r="BX39" i="69"/>
  <c r="BH39" i="69"/>
  <c r="AZ39" i="69"/>
  <c r="AR39" i="69"/>
  <c r="AJ39" i="69"/>
  <c r="CU39" i="69"/>
  <c r="CE39" i="69"/>
  <c r="BW39" i="69"/>
  <c r="BO39" i="69"/>
  <c r="BG39" i="69"/>
  <c r="AY39" i="69"/>
  <c r="AQ39" i="69"/>
  <c r="AI39" i="69"/>
  <c r="CS39" i="69"/>
  <c r="BM39" i="69"/>
  <c r="AW39" i="69"/>
  <c r="AO39" i="69"/>
  <c r="AG39" i="69"/>
  <c r="BT39" i="69"/>
  <c r="AP39" i="69"/>
  <c r="CW39" i="69"/>
  <c r="BS39" i="69"/>
  <c r="AN39" i="69"/>
  <c r="CT39" i="69"/>
  <c r="BN39" i="69"/>
  <c r="AK39" i="69"/>
  <c r="BL39" i="69"/>
  <c r="AX39" i="69"/>
  <c r="AH39" i="69"/>
  <c r="CO39" i="69"/>
  <c r="AV39" i="69"/>
  <c r="BY39" i="69"/>
  <c r="BI39" i="69"/>
  <c r="AU39" i="69"/>
  <c r="AS39" i="69"/>
  <c r="AM39" i="69"/>
  <c r="D39" i="69"/>
  <c r="BV39" i="69"/>
  <c r="BQ39" i="69"/>
  <c r="CD39" i="69"/>
  <c r="BB37" i="69"/>
  <c r="BA37" i="69"/>
  <c r="N37" i="69" s="1"/>
  <c r="BB38" i="67"/>
  <c r="BA38" i="67"/>
  <c r="N38" i="67" s="1"/>
  <c r="Q37" i="67"/>
  <c r="BB39" i="67"/>
  <c r="BA39" i="67"/>
  <c r="BB38" i="66"/>
  <c r="BA38" i="66"/>
  <c r="N38" i="66" s="1"/>
  <c r="BB39" i="66"/>
  <c r="BA39" i="66"/>
  <c r="CA39" i="66"/>
  <c r="CA38" i="66"/>
  <c r="O38" i="66" s="1"/>
  <c r="BB37" i="65"/>
  <c r="BA37" i="65"/>
  <c r="N37" i="65" s="1"/>
  <c r="BB38" i="65"/>
  <c r="BA38" i="65"/>
  <c r="CA37" i="64"/>
  <c r="O37" i="64" s="1"/>
  <c r="BB37" i="64"/>
  <c r="BA37" i="64"/>
  <c r="N37" i="64" s="1"/>
  <c r="CS38" i="64"/>
  <c r="BU38" i="64"/>
  <c r="BM38" i="64"/>
  <c r="AW38" i="64"/>
  <c r="AO38" i="64"/>
  <c r="AG38" i="64"/>
  <c r="CR38" i="64"/>
  <c r="BT38" i="64"/>
  <c r="BL38" i="64"/>
  <c r="AV38" i="64"/>
  <c r="AN38" i="64"/>
  <c r="CP38" i="64"/>
  <c r="CH38" i="64"/>
  <c r="BZ38" i="64"/>
  <c r="BR38" i="64"/>
  <c r="BJ38" i="64"/>
  <c r="AT38" i="64"/>
  <c r="AL38" i="64"/>
  <c r="CT38" i="64"/>
  <c r="CF38" i="64"/>
  <c r="BW38" i="64"/>
  <c r="BI38" i="64"/>
  <c r="AZ38" i="64"/>
  <c r="AM38" i="64"/>
  <c r="CE38" i="64"/>
  <c r="BV38" i="64"/>
  <c r="BH38" i="64"/>
  <c r="AY38" i="64"/>
  <c r="AK38" i="64"/>
  <c r="CO38" i="64"/>
  <c r="CD38" i="64"/>
  <c r="BS38" i="64"/>
  <c r="BG38" i="64"/>
  <c r="AX38" i="64"/>
  <c r="AJ38" i="64"/>
  <c r="CN38" i="64"/>
  <c r="BQ38" i="64"/>
  <c r="AU38" i="64"/>
  <c r="AI38" i="64"/>
  <c r="CW38" i="64"/>
  <c r="BO38" i="64"/>
  <c r="AR38" i="64"/>
  <c r="D38" i="64"/>
  <c r="CV38" i="64"/>
  <c r="BY38" i="64"/>
  <c r="BN38" i="64"/>
  <c r="AQ38" i="64"/>
  <c r="CU38" i="64"/>
  <c r="BX38" i="64"/>
  <c r="BK38" i="64"/>
  <c r="AP38" i="64"/>
  <c r="AS38" i="64"/>
  <c r="AH38" i="64"/>
  <c r="BP38" i="64"/>
  <c r="CV39" i="64"/>
  <c r="CN39" i="64"/>
  <c r="CF39" i="64"/>
  <c r="BX39" i="64"/>
  <c r="BP39" i="64"/>
  <c r="BH39" i="64"/>
  <c r="AZ39" i="64"/>
  <c r="AR39" i="64"/>
  <c r="AJ39" i="64"/>
  <c r="CU39" i="64"/>
  <c r="CE39" i="64"/>
  <c r="BW39" i="64"/>
  <c r="BO39" i="64"/>
  <c r="AY39" i="64"/>
  <c r="AQ39" i="64"/>
  <c r="AI39" i="64"/>
  <c r="CS39" i="64"/>
  <c r="BU39" i="64"/>
  <c r="BM39" i="64"/>
  <c r="AW39" i="64"/>
  <c r="AO39" i="64"/>
  <c r="AG39" i="64"/>
  <c r="CT39" i="64"/>
  <c r="BR39" i="64"/>
  <c r="AT39" i="64"/>
  <c r="CR39" i="64"/>
  <c r="BQ39" i="64"/>
  <c r="AS39" i="64"/>
  <c r="CP39" i="64"/>
  <c r="BN39" i="64"/>
  <c r="AP39" i="64"/>
  <c r="D39" i="64"/>
  <c r="CO39" i="64"/>
  <c r="BZ39" i="64"/>
  <c r="BL39" i="64"/>
  <c r="AN39" i="64"/>
  <c r="BV39" i="64"/>
  <c r="BJ39" i="64"/>
  <c r="AX39" i="64"/>
  <c r="AL39" i="64"/>
  <c r="CH39" i="64"/>
  <c r="BT39" i="64"/>
  <c r="BI39" i="64"/>
  <c r="AV39" i="64"/>
  <c r="AK39" i="64"/>
  <c r="CW39" i="64"/>
  <c r="BS39" i="64"/>
  <c r="AU39" i="64"/>
  <c r="AH39" i="64"/>
  <c r="BY39" i="64"/>
  <c r="BK39" i="64"/>
  <c r="AM39" i="64"/>
  <c r="CS38" i="63"/>
  <c r="BU38" i="63"/>
  <c r="BM38" i="63"/>
  <c r="AW38" i="63"/>
  <c r="AO38" i="63"/>
  <c r="AG38" i="63"/>
  <c r="CR38" i="63"/>
  <c r="BT38" i="63"/>
  <c r="BL38" i="63"/>
  <c r="AV38" i="63"/>
  <c r="AN38" i="63"/>
  <c r="CP38" i="63"/>
  <c r="BZ38" i="63"/>
  <c r="BR38" i="63"/>
  <c r="BJ38" i="63"/>
  <c r="AT38" i="63"/>
  <c r="AL38" i="63"/>
  <c r="CU38" i="63"/>
  <c r="BX38" i="63"/>
  <c r="AP38" i="63"/>
  <c r="CT38" i="63"/>
  <c r="CF38" i="63"/>
  <c r="BW38" i="63"/>
  <c r="BI38" i="63"/>
  <c r="AZ38" i="63"/>
  <c r="AM38" i="63"/>
  <c r="CE38" i="63"/>
  <c r="BV38" i="63"/>
  <c r="BH38" i="63"/>
  <c r="AY38" i="63"/>
  <c r="AK38" i="63"/>
  <c r="CO38" i="63"/>
  <c r="CD38" i="63"/>
  <c r="BS38" i="63"/>
  <c r="BG38" i="63"/>
  <c r="AX38" i="63"/>
  <c r="AJ38" i="63"/>
  <c r="CN38" i="63"/>
  <c r="BQ38" i="63"/>
  <c r="AU38" i="63"/>
  <c r="AI38" i="63"/>
  <c r="CW38" i="63"/>
  <c r="BO38" i="63"/>
  <c r="AR38" i="63"/>
  <c r="D38" i="63"/>
  <c r="AF39" i="63" s="1"/>
  <c r="BP38" i="63"/>
  <c r="AH38" i="63"/>
  <c r="BN38" i="63"/>
  <c r="CV38" i="63"/>
  <c r="AS38" i="63"/>
  <c r="BY38" i="63"/>
  <c r="AQ38" i="63"/>
  <c r="BB37" i="63"/>
  <c r="BA37" i="63"/>
  <c r="N37" i="63" s="1"/>
  <c r="G76" i="73" l="1"/>
  <c r="G75" i="72"/>
  <c r="G76" i="71"/>
  <c r="G76" i="69"/>
  <c r="BA38" i="63"/>
  <c r="N38" i="63" s="1"/>
  <c r="G76" i="64"/>
  <c r="G75" i="63"/>
  <c r="CX39" i="73"/>
  <c r="P39" i="73" s="1"/>
  <c r="CX38" i="64"/>
  <c r="P38" i="64" s="1"/>
  <c r="CX38" i="73"/>
  <c r="P38" i="73" s="1"/>
  <c r="Q37" i="64"/>
  <c r="Q37" i="71"/>
  <c r="CA37" i="72"/>
  <c r="O37" i="72" s="1"/>
  <c r="BB39" i="73"/>
  <c r="BA39" i="73"/>
  <c r="CA38" i="73"/>
  <c r="O38" i="73" s="1"/>
  <c r="CA39" i="73"/>
  <c r="Q37" i="73"/>
  <c r="BB38" i="73"/>
  <c r="BA38" i="73"/>
  <c r="N38" i="73" s="1"/>
  <c r="BB38" i="72"/>
  <c r="BA38" i="72"/>
  <c r="BB37" i="72"/>
  <c r="BA37" i="72"/>
  <c r="N37" i="72" s="1"/>
  <c r="CA38" i="72"/>
  <c r="BB38" i="71"/>
  <c r="BA38" i="71"/>
  <c r="N38" i="71" s="1"/>
  <c r="BB39" i="71"/>
  <c r="BA39" i="71"/>
  <c r="Q38" i="70"/>
  <c r="N39" i="70"/>
  <c r="I46" i="70" s="1"/>
  <c r="BB38" i="69"/>
  <c r="BA38" i="69"/>
  <c r="N38" i="69" s="1"/>
  <c r="BB39" i="69"/>
  <c r="BA39" i="69"/>
  <c r="BA37" i="68"/>
  <c r="N39" i="67"/>
  <c r="BA40" i="67"/>
  <c r="O39" i="66"/>
  <c r="N39" i="66"/>
  <c r="BA40" i="66"/>
  <c r="N38" i="65"/>
  <c r="BA39" i="65"/>
  <c r="BB39" i="64"/>
  <c r="BA39" i="64"/>
  <c r="CA38" i="64"/>
  <c r="O38" i="64" s="1"/>
  <c r="BB38" i="64"/>
  <c r="BA38" i="64"/>
  <c r="N38" i="64" s="1"/>
  <c r="BB38" i="63"/>
  <c r="I50" i="70" l="1"/>
  <c r="D12" i="50"/>
  <c r="D43" i="50" s="1"/>
  <c r="P40" i="73"/>
  <c r="E12" i="50"/>
  <c r="E43" i="50" s="1"/>
  <c r="Q38" i="73"/>
  <c r="Q38" i="64"/>
  <c r="O39" i="73"/>
  <c r="O40" i="73" s="1"/>
  <c r="CA40" i="73"/>
  <c r="N39" i="73"/>
  <c r="BA40" i="73"/>
  <c r="O38" i="72"/>
  <c r="N38" i="72"/>
  <c r="BA39" i="72"/>
  <c r="N39" i="71"/>
  <c r="BA40" i="71"/>
  <c r="N39" i="69"/>
  <c r="BA40" i="69"/>
  <c r="N37" i="68"/>
  <c r="I44" i="68" s="1"/>
  <c r="N40" i="67"/>
  <c r="I47" i="67" s="1"/>
  <c r="N40" i="66"/>
  <c r="I47" i="66" s="1"/>
  <c r="N39" i="65"/>
  <c r="I46" i="65" s="1"/>
  <c r="N39" i="64"/>
  <c r="BA40" i="64"/>
  <c r="BA39" i="63"/>
  <c r="I50" i="65" l="1"/>
  <c r="D7" i="50"/>
  <c r="D32" i="50" s="1"/>
  <c r="I51" i="67"/>
  <c r="E9" i="50" s="1"/>
  <c r="E34" i="50" s="1"/>
  <c r="D9" i="50"/>
  <c r="D34" i="50" s="1"/>
  <c r="I51" i="66"/>
  <c r="E8" i="50" s="1"/>
  <c r="E33" i="50" s="1"/>
  <c r="D8" i="50"/>
  <c r="D33" i="50" s="1"/>
  <c r="I48" i="68"/>
  <c r="E10" i="50" s="1"/>
  <c r="E41" i="50" s="1"/>
  <c r="D10" i="50"/>
  <c r="D41" i="50" s="1"/>
  <c r="E7" i="50"/>
  <c r="E32" i="50" s="1"/>
  <c r="Q39" i="73"/>
  <c r="Q40" i="73" s="1"/>
  <c r="N40" i="73"/>
  <c r="I47" i="73" s="1"/>
  <c r="N39" i="72"/>
  <c r="I46" i="72" s="1"/>
  <c r="N40" i="71"/>
  <c r="I47" i="71" s="1"/>
  <c r="N40" i="69"/>
  <c r="I47" i="69" s="1"/>
  <c r="N40" i="64"/>
  <c r="I47" i="64" s="1"/>
  <c r="N39" i="63"/>
  <c r="I46" i="63" s="1"/>
  <c r="I50" i="63" l="1"/>
  <c r="D5" i="50"/>
  <c r="D24" i="50" s="1"/>
  <c r="I51" i="71"/>
  <c r="E13" i="50" s="1"/>
  <c r="E50" i="50" s="1"/>
  <c r="D13" i="50"/>
  <c r="D50" i="50" s="1"/>
  <c r="I51" i="69"/>
  <c r="E11" i="50" s="1"/>
  <c r="E42" i="50" s="1"/>
  <c r="E44" i="50" s="1"/>
  <c r="D11" i="50"/>
  <c r="I50" i="72"/>
  <c r="E14" i="50" s="1"/>
  <c r="E51" i="50" s="1"/>
  <c r="D14" i="50"/>
  <c r="D51" i="50" s="1"/>
  <c r="I51" i="73"/>
  <c r="D15" i="50"/>
  <c r="D52" i="50" s="1"/>
  <c r="I51" i="64"/>
  <c r="E6" i="50" s="1"/>
  <c r="E25" i="50" s="1"/>
  <c r="D6" i="50"/>
  <c r="D25" i="50" s="1"/>
  <c r="D35" i="50"/>
  <c r="E35" i="50"/>
  <c r="E5" i="50"/>
  <c r="E24" i="50" s="1"/>
  <c r="E15" i="50"/>
  <c r="E52" i="50" s="1"/>
  <c r="A74" i="41"/>
  <c r="D65" i="41"/>
  <c r="AV35" i="23" s="1"/>
  <c r="U38" i="24" s="1"/>
  <c r="D64" i="41"/>
  <c r="AM35" i="23" s="1"/>
  <c r="Q39" i="24" s="1"/>
  <c r="D63" i="41"/>
  <c r="D62" i="41"/>
  <c r="D61" i="41"/>
  <c r="D60" i="41"/>
  <c r="AE37" i="23" s="1"/>
  <c r="U36" i="24" s="1"/>
  <c r="D59" i="41"/>
  <c r="D58" i="41"/>
  <c r="D57" i="41"/>
  <c r="D56" i="41"/>
  <c r="D55" i="41"/>
  <c r="Y40" i="41"/>
  <c r="Y11" i="41"/>
  <c r="Y13" i="41"/>
  <c r="Y14" i="41"/>
  <c r="Y15" i="41"/>
  <c r="Y19" i="41"/>
  <c r="Y20" i="41"/>
  <c r="Y21" i="41"/>
  <c r="Y24" i="41"/>
  <c r="Y26" i="41"/>
  <c r="Y28" i="41"/>
  <c r="Y30" i="41"/>
  <c r="Y31" i="41"/>
  <c r="Y32" i="41"/>
  <c r="Y34" i="41"/>
  <c r="Y35" i="41"/>
  <c r="Y36" i="41"/>
  <c r="Y37" i="41"/>
  <c r="Y38" i="41"/>
  <c r="Y39" i="41"/>
  <c r="D42" i="50" l="1"/>
  <c r="D44" i="50" s="1"/>
  <c r="D67" i="41"/>
  <c r="I35" i="1"/>
  <c r="W37" i="23"/>
  <c r="H38" i="24" s="1"/>
  <c r="G13" i="1"/>
  <c r="I13" i="1" s="1"/>
  <c r="W35" i="23"/>
  <c r="T37" i="24" s="1"/>
  <c r="G14" i="1"/>
  <c r="I14" i="1" s="1"/>
  <c r="AE35" i="23"/>
  <c r="O38" i="24" s="1"/>
  <c r="I37" i="1"/>
  <c r="O37" i="23"/>
  <c r="H37" i="24" s="1"/>
  <c r="E53" i="50"/>
  <c r="E55" i="50" s="1"/>
  <c r="D53" i="50"/>
  <c r="E46" i="50"/>
  <c r="E45" i="50"/>
  <c r="E37" i="50"/>
  <c r="E36" i="50"/>
  <c r="H46" i="41"/>
  <c r="I46" i="41" s="1"/>
  <c r="H45" i="41"/>
  <c r="I45" i="41" s="1"/>
  <c r="H48" i="41"/>
  <c r="A77" i="41"/>
  <c r="O35" i="23" s="1"/>
  <c r="O37" i="24" s="1"/>
  <c r="E54" i="50" l="1"/>
  <c r="CB11" i="41"/>
  <c r="CC11" i="41"/>
  <c r="CB12" i="41"/>
  <c r="CC12" i="41"/>
  <c r="CB13" i="41"/>
  <c r="CC13" i="41"/>
  <c r="CB14" i="41"/>
  <c r="CC14" i="41"/>
  <c r="CB15" i="41"/>
  <c r="CC15" i="41"/>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DG33" i="41" l="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A41" i="41" l="1"/>
  <c r="BE41" i="41"/>
  <c r="AC41" i="41"/>
  <c r="J21" i="1" s="1"/>
  <c r="DG41" i="41"/>
  <c r="BD41" i="41"/>
  <c r="BF41" i="41"/>
  <c r="BC41" i="41"/>
  <c r="AD41" i="41"/>
  <c r="J29" i="1" l="1"/>
  <c r="J3" i="61"/>
  <c r="AJ28" i="43"/>
  <c r="AK28" i="43"/>
  <c r="AL28" i="43"/>
  <c r="AM28" i="43"/>
  <c r="AJ29" i="43"/>
  <c r="AK29" i="43"/>
  <c r="AL29" i="43"/>
  <c r="AM29" i="43"/>
  <c r="AI29" i="43"/>
  <c r="AI28" i="43"/>
  <c r="AC28" i="43"/>
  <c r="Z28" i="43"/>
  <c r="AA28" i="43"/>
  <c r="AB28" i="43"/>
  <c r="Z29" i="43"/>
  <c r="AA29" i="43"/>
  <c r="AB29" i="43"/>
  <c r="AC29" i="43"/>
  <c r="Y29" i="43"/>
  <c r="Y28" i="43"/>
  <c r="S29" i="43"/>
  <c r="P28" i="43"/>
  <c r="Q28" i="43"/>
  <c r="R28" i="43"/>
  <c r="S28" i="43"/>
  <c r="T28" i="43" s="1"/>
  <c r="P29" i="43"/>
  <c r="Q29" i="43"/>
  <c r="R29" i="43"/>
  <c r="O29" i="43"/>
  <c r="O28" i="43"/>
  <c r="I29" i="43"/>
  <c r="H29" i="43"/>
  <c r="G29" i="43"/>
  <c r="F29" i="43"/>
  <c r="E29" i="43"/>
  <c r="E28" i="43"/>
  <c r="I28" i="43"/>
  <c r="F28" i="43"/>
  <c r="G28" i="43"/>
  <c r="H28" i="43"/>
  <c r="K30" i="44"/>
  <c r="BL9" i="71" l="1"/>
  <c r="BL16" i="71"/>
  <c r="BL20" i="72"/>
  <c r="BL23" i="71"/>
  <c r="BL25" i="70"/>
  <c r="BL27" i="72"/>
  <c r="BL30" i="71"/>
  <c r="BL32" i="70"/>
  <c r="BM10" i="71"/>
  <c r="BM14" i="72"/>
  <c r="BM17" i="71"/>
  <c r="BM19" i="70"/>
  <c r="BM21" i="72"/>
  <c r="BM24" i="71"/>
  <c r="BM28" i="72"/>
  <c r="BM31" i="71"/>
  <c r="BM33" i="70"/>
  <c r="BM38" i="71"/>
  <c r="BP10" i="72"/>
  <c r="BP20" i="71"/>
  <c r="BP22" i="70"/>
  <c r="BP24" i="72"/>
  <c r="BP29" i="70"/>
  <c r="BP34" i="71"/>
  <c r="BP36" i="70"/>
  <c r="BO9" i="72"/>
  <c r="BO12" i="71"/>
  <c r="BO19" i="71"/>
  <c r="BO21" i="70"/>
  <c r="BO23" i="72"/>
  <c r="BO28" i="70"/>
  <c r="BO30" i="72"/>
  <c r="BO33" i="71"/>
  <c r="BO35" i="70"/>
  <c r="BN11" i="71"/>
  <c r="BN18" i="71"/>
  <c r="BN20" i="70"/>
  <c r="BN22" i="72"/>
  <c r="BN25" i="71"/>
  <c r="BN29" i="72"/>
  <c r="BN32" i="71"/>
  <c r="BN34" i="70"/>
  <c r="BN39" i="71"/>
  <c r="BR10" i="71"/>
  <c r="BR17" i="71"/>
  <c r="BR19" i="70"/>
  <c r="BR24" i="71"/>
  <c r="BR26" i="70"/>
  <c r="BR31" i="71"/>
  <c r="BR33" i="70"/>
  <c r="BQ9" i="71"/>
  <c r="BQ16" i="71"/>
  <c r="BQ23" i="71"/>
  <c r="BQ25" i="70"/>
  <c r="BQ30" i="71"/>
  <c r="BQ32" i="70"/>
  <c r="BL14" i="68"/>
  <c r="BL14" i="69"/>
  <c r="BL17" i="67"/>
  <c r="BL21" i="69"/>
  <c r="BL24" i="67"/>
  <c r="BL28" i="69"/>
  <c r="BL28" i="68"/>
  <c r="BL35" i="69"/>
  <c r="BL35" i="68"/>
  <c r="BL38" i="67"/>
  <c r="BM15" i="69"/>
  <c r="BM15" i="68"/>
  <c r="BM18" i="67"/>
  <c r="BM22" i="69"/>
  <c r="BM25" i="67"/>
  <c r="BM29" i="68"/>
  <c r="BM29" i="69"/>
  <c r="BM36" i="69"/>
  <c r="BM36" i="68"/>
  <c r="BM39" i="67"/>
  <c r="BS11" i="71"/>
  <c r="BS18" i="71"/>
  <c r="BS20" i="70"/>
  <c r="BS25" i="71"/>
  <c r="BS27" i="70"/>
  <c r="BS32" i="71"/>
  <c r="BS34" i="70"/>
  <c r="BS39" i="71"/>
  <c r="BU20" i="71"/>
  <c r="BU22" i="70"/>
  <c r="BU27" i="71"/>
  <c r="BU29" i="70"/>
  <c r="BU34" i="71"/>
  <c r="BU36" i="70"/>
  <c r="BT12" i="71"/>
  <c r="BT19" i="71"/>
  <c r="BT21" i="70"/>
  <c r="BT28" i="70"/>
  <c r="BT33" i="71"/>
  <c r="BT35" i="70"/>
  <c r="BP11" i="69"/>
  <c r="BP11" i="68"/>
  <c r="BP14" i="67"/>
  <c r="BP18" i="69"/>
  <c r="BP18" i="68"/>
  <c r="BP21" i="67"/>
  <c r="BP25" i="69"/>
  <c r="BP28" i="67"/>
  <c r="BP32" i="68"/>
  <c r="BP32" i="69"/>
  <c r="BP39" i="69"/>
  <c r="BO10" i="68"/>
  <c r="BO10" i="69"/>
  <c r="BO13" i="67"/>
  <c r="BO17" i="69"/>
  <c r="BO17" i="68"/>
  <c r="BO20" i="67"/>
  <c r="BO24" i="69"/>
  <c r="BO27" i="67"/>
  <c r="BO31" i="68"/>
  <c r="BO31" i="69"/>
  <c r="BO38" i="69"/>
  <c r="BN9" i="69"/>
  <c r="BN9" i="68"/>
  <c r="BN12" i="67"/>
  <c r="BN16" i="69"/>
  <c r="BN16" i="68"/>
  <c r="BN19" i="67"/>
  <c r="BN23" i="69"/>
  <c r="BN26" i="67"/>
  <c r="BN30" i="68"/>
  <c r="BN30" i="69"/>
  <c r="BN37" i="69"/>
  <c r="BH10" i="71"/>
  <c r="BH14" i="66"/>
  <c r="BH15" i="69"/>
  <c r="BH14" i="72"/>
  <c r="BH15" i="68"/>
  <c r="BH16" i="65"/>
  <c r="BH17" i="71"/>
  <c r="BH18" i="67"/>
  <c r="BH19" i="70"/>
  <c r="BH21" i="66"/>
  <c r="BH22" i="69"/>
  <c r="BH21" i="72"/>
  <c r="BH23" i="65"/>
  <c r="BH25" i="67"/>
  <c r="BH24" i="71"/>
  <c r="BH26" i="70"/>
  <c r="BH28" i="66"/>
  <c r="BH29" i="68"/>
  <c r="BH28" i="72"/>
  <c r="BH29" i="69"/>
  <c r="BH30" i="65"/>
  <c r="BH32" i="67"/>
  <c r="BH31" i="71"/>
  <c r="BH33" i="70"/>
  <c r="BH36" i="69"/>
  <c r="BH36" i="68"/>
  <c r="BH37" i="65"/>
  <c r="BH39" i="67"/>
  <c r="BH38" i="71"/>
  <c r="BK10" i="66"/>
  <c r="BK10" i="72"/>
  <c r="BK11" i="69"/>
  <c r="BK11" i="68"/>
  <c r="BK14" i="67"/>
  <c r="BK17" i="66"/>
  <c r="BK17" i="72"/>
  <c r="BK18" i="69"/>
  <c r="BK18" i="68"/>
  <c r="BK19" i="65"/>
  <c r="BK20" i="71"/>
  <c r="BK21" i="67"/>
  <c r="BK22" i="70"/>
  <c r="BK24" i="66"/>
  <c r="BK24" i="72"/>
  <c r="BK25" i="69"/>
  <c r="BK26" i="65"/>
  <c r="BK28" i="67"/>
  <c r="BK27" i="71"/>
  <c r="BK29" i="70"/>
  <c r="BK32" i="68"/>
  <c r="BK31" i="72"/>
  <c r="BK32" i="69"/>
  <c r="BK33" i="65"/>
  <c r="BK35" i="67"/>
  <c r="BK34" i="71"/>
  <c r="BK36" i="70"/>
  <c r="BK39" i="69"/>
  <c r="BG9" i="71"/>
  <c r="BG13" i="66"/>
  <c r="BG14" i="68"/>
  <c r="BG14" i="69"/>
  <c r="BG15" i="65"/>
  <c r="BG17" i="67"/>
  <c r="BG16" i="71"/>
  <c r="BG20" i="66"/>
  <c r="BG21" i="69"/>
  <c r="BG20" i="72"/>
  <c r="BG22" i="65"/>
  <c r="BG24" i="67"/>
  <c r="BG23" i="71"/>
  <c r="BG25" i="70"/>
  <c r="BG27" i="66"/>
  <c r="BG28" i="69"/>
  <c r="BG27" i="72"/>
  <c r="BG28" i="68"/>
  <c r="BG29" i="65"/>
  <c r="BG30" i="71"/>
  <c r="BG31" i="67"/>
  <c r="BG32" i="70"/>
  <c r="BG35" i="68"/>
  <c r="BG35" i="69"/>
  <c r="BG36" i="65"/>
  <c r="BG38" i="67"/>
  <c r="BJ9" i="72"/>
  <c r="BJ10" i="68"/>
  <c r="BJ9" i="66"/>
  <c r="BJ10" i="69"/>
  <c r="BJ13" i="67"/>
  <c r="BJ12" i="71"/>
  <c r="BJ16" i="66"/>
  <c r="BJ17" i="69"/>
  <c r="BJ17" i="68"/>
  <c r="BJ16" i="72"/>
  <c r="BJ18" i="65"/>
  <c r="BJ20" i="67"/>
  <c r="BJ19" i="71"/>
  <c r="BJ21" i="70"/>
  <c r="BJ23" i="66"/>
  <c r="BJ24" i="69"/>
  <c r="BJ23" i="72"/>
  <c r="BJ25" i="65"/>
  <c r="BJ27" i="67"/>
  <c r="BJ28" i="70"/>
  <c r="BJ30" i="72"/>
  <c r="BJ31" i="69"/>
  <c r="BJ31" i="68"/>
  <c r="BJ32" i="65"/>
  <c r="BJ33" i="71"/>
  <c r="BJ34" i="67"/>
  <c r="BJ35" i="70"/>
  <c r="BJ38" i="69"/>
  <c r="BI9" i="69"/>
  <c r="BI9" i="68"/>
  <c r="BI11" i="71"/>
  <c r="BI12" i="67"/>
  <c r="BI15" i="66"/>
  <c r="BI15" i="72"/>
  <c r="BI16" i="69"/>
  <c r="BI16" i="68"/>
  <c r="BI17" i="65"/>
  <c r="BI18" i="71"/>
  <c r="BI19" i="67"/>
  <c r="BI20" i="70"/>
  <c r="BI22" i="66"/>
  <c r="BI22" i="72"/>
  <c r="BI23" i="69"/>
  <c r="BI24" i="65"/>
  <c r="BI25" i="71"/>
  <c r="BI26" i="67"/>
  <c r="BI27" i="70"/>
  <c r="BI29" i="66"/>
  <c r="BI29" i="72"/>
  <c r="BI30" i="68"/>
  <c r="BI30" i="69"/>
  <c r="BI31" i="65"/>
  <c r="BI33" i="67"/>
  <c r="BI32" i="71"/>
  <c r="BI34" i="70"/>
  <c r="BI38" i="65"/>
  <c r="BI37" i="69"/>
  <c r="BI39" i="71"/>
  <c r="BI10" i="65"/>
  <c r="CA10" i="65" s="1"/>
  <c r="O10" i="65" s="1"/>
  <c r="BI13" i="64"/>
  <c r="CA13" i="64" s="1"/>
  <c r="O13" i="64" s="1"/>
  <c r="BI15" i="63"/>
  <c r="CA15" i="63" s="1"/>
  <c r="O15" i="63" s="1"/>
  <c r="BI20" i="64"/>
  <c r="CA20" i="64" s="1"/>
  <c r="O20" i="64" s="1"/>
  <c r="BI22" i="63"/>
  <c r="CA22" i="63" s="1"/>
  <c r="O22" i="63" s="1"/>
  <c r="BI29" i="63"/>
  <c r="CA29" i="63" s="1"/>
  <c r="O29" i="63" s="1"/>
  <c r="BI34" i="64"/>
  <c r="CA34" i="64" s="1"/>
  <c r="O34" i="64" s="1"/>
  <c r="BI36" i="63"/>
  <c r="CA36" i="63" s="1"/>
  <c r="O36" i="63" s="1"/>
  <c r="BN15" i="66"/>
  <c r="BN17" i="65"/>
  <c r="BN22" i="66"/>
  <c r="BN24" i="65"/>
  <c r="BN29" i="66"/>
  <c r="BN31" i="65"/>
  <c r="BN38" i="65"/>
  <c r="BL13" i="66"/>
  <c r="BL15" i="65"/>
  <c r="CA15" i="65" s="1"/>
  <c r="O15" i="65" s="1"/>
  <c r="BL20" i="66"/>
  <c r="BL22" i="65"/>
  <c r="CA22" i="65" s="1"/>
  <c r="O22" i="65" s="1"/>
  <c r="BL27" i="66"/>
  <c r="BL29" i="65"/>
  <c r="BL36" i="65"/>
  <c r="BM14" i="66"/>
  <c r="BM16" i="65"/>
  <c r="BM21" i="66"/>
  <c r="BM23" i="65"/>
  <c r="CA23" i="65" s="1"/>
  <c r="O23" i="65" s="1"/>
  <c r="BM28" i="66"/>
  <c r="CA28" i="66" s="1"/>
  <c r="O28" i="66" s="1"/>
  <c r="BM30" i="65"/>
  <c r="BM37" i="65"/>
  <c r="BT10" i="68"/>
  <c r="BT10" i="69"/>
  <c r="BT13" i="67"/>
  <c r="BT17" i="69"/>
  <c r="CA17" i="69" s="1"/>
  <c r="O17" i="69" s="1"/>
  <c r="BT17" i="68"/>
  <c r="BT20" i="67"/>
  <c r="BT24" i="69"/>
  <c r="BT27" i="67"/>
  <c r="BT31" i="68"/>
  <c r="BT31" i="69"/>
  <c r="BT34" i="67"/>
  <c r="CA34" i="67" s="1"/>
  <c r="O34" i="67" s="1"/>
  <c r="BT38" i="69"/>
  <c r="BJ9" i="63"/>
  <c r="CA9" i="63" s="1"/>
  <c r="BJ11" i="65"/>
  <c r="CA11" i="65" s="1"/>
  <c r="O11" i="65" s="1"/>
  <c r="BJ14" i="64"/>
  <c r="CA14" i="64" s="1"/>
  <c r="O14" i="64" s="1"/>
  <c r="BJ16" i="63"/>
  <c r="CA16" i="63" s="1"/>
  <c r="O16" i="63" s="1"/>
  <c r="BJ21" i="64"/>
  <c r="CA21" i="64" s="1"/>
  <c r="O21" i="64" s="1"/>
  <c r="BJ23" i="63"/>
  <c r="CA23" i="63" s="1"/>
  <c r="O23" i="63" s="1"/>
  <c r="BJ30" i="63"/>
  <c r="CA30" i="63" s="1"/>
  <c r="O30" i="63" s="1"/>
  <c r="BJ35" i="64"/>
  <c r="CA35" i="64" s="1"/>
  <c r="O35" i="64" s="1"/>
  <c r="BJ37" i="63"/>
  <c r="CA37" i="63" s="1"/>
  <c r="O37" i="63" s="1"/>
  <c r="BS9" i="69"/>
  <c r="CA9" i="69" s="1"/>
  <c r="BS9" i="68"/>
  <c r="BS12" i="67"/>
  <c r="BS16" i="68"/>
  <c r="BS16" i="69"/>
  <c r="BS19" i="67"/>
  <c r="BS23" i="69"/>
  <c r="BS26" i="67"/>
  <c r="BS30" i="69"/>
  <c r="BS30" i="68"/>
  <c r="BS33" i="67"/>
  <c r="BS37" i="69"/>
  <c r="BH9" i="65"/>
  <c r="CA9" i="65" s="1"/>
  <c r="BH12" i="64"/>
  <c r="CA12" i="64" s="1"/>
  <c r="O12" i="64" s="1"/>
  <c r="BH14" i="63"/>
  <c r="CA14" i="63" s="1"/>
  <c r="O14" i="63" s="1"/>
  <c r="BH19" i="64"/>
  <c r="CA19" i="64" s="1"/>
  <c r="O19" i="64" s="1"/>
  <c r="BH21" i="63"/>
  <c r="CA21" i="63" s="1"/>
  <c r="O21" i="63" s="1"/>
  <c r="BH28" i="63"/>
  <c r="CA28" i="63" s="1"/>
  <c r="O28" i="63" s="1"/>
  <c r="BH33" i="64"/>
  <c r="CA33" i="64" s="1"/>
  <c r="O33" i="64" s="1"/>
  <c r="BH35" i="63"/>
  <c r="CA35" i="63" s="1"/>
  <c r="O35" i="63" s="1"/>
  <c r="BQ14" i="69"/>
  <c r="BQ14" i="68"/>
  <c r="CA14" i="68" s="1"/>
  <c r="O14" i="68" s="1"/>
  <c r="BQ17" i="67"/>
  <c r="BQ21" i="69"/>
  <c r="BQ24" i="67"/>
  <c r="CA24" i="67" s="1"/>
  <c r="O24" i="67" s="1"/>
  <c r="BQ28" i="68"/>
  <c r="BQ28" i="69"/>
  <c r="BQ31" i="67"/>
  <c r="BQ35" i="69"/>
  <c r="BQ35" i="68"/>
  <c r="BQ38" i="67"/>
  <c r="BR39" i="67"/>
  <c r="CA39" i="67" s="1"/>
  <c r="O39" i="67" s="1"/>
  <c r="BR15" i="68"/>
  <c r="CA15" i="68" s="1"/>
  <c r="O15" i="68" s="1"/>
  <c r="BR15" i="69"/>
  <c r="BR18" i="67"/>
  <c r="BR22" i="69"/>
  <c r="BR25" i="67"/>
  <c r="BR29" i="69"/>
  <c r="BR29" i="68"/>
  <c r="BR32" i="67"/>
  <c r="CA32" i="67" s="1"/>
  <c r="O32" i="67" s="1"/>
  <c r="BR36" i="69"/>
  <c r="BR36" i="68"/>
  <c r="BZ10" i="72"/>
  <c r="BZ17" i="72"/>
  <c r="BZ20" i="71"/>
  <c r="BZ22" i="70"/>
  <c r="BZ24" i="72"/>
  <c r="BZ29" i="70"/>
  <c r="BZ31" i="72"/>
  <c r="CA31" i="72" s="1"/>
  <c r="O31" i="72" s="1"/>
  <c r="BZ34" i="71"/>
  <c r="BZ36" i="70"/>
  <c r="BO9" i="66"/>
  <c r="BO16" i="66"/>
  <c r="BO18" i="65"/>
  <c r="BO23" i="66"/>
  <c r="BO25" i="65"/>
  <c r="CA25" i="65" s="1"/>
  <c r="O25" i="65" s="1"/>
  <c r="BO32" i="65"/>
  <c r="CA32" i="65" s="1"/>
  <c r="O32" i="65" s="1"/>
  <c r="BK10" i="63"/>
  <c r="CA10" i="63" s="1"/>
  <c r="O10" i="63" s="1"/>
  <c r="BK12" i="65"/>
  <c r="CA12" i="65" s="1"/>
  <c r="O12" i="65" s="1"/>
  <c r="BK15" i="64"/>
  <c r="CA15" i="64" s="1"/>
  <c r="O15" i="64" s="1"/>
  <c r="BK17" i="63"/>
  <c r="CA17" i="63" s="1"/>
  <c r="O17" i="63" s="1"/>
  <c r="BK22" i="64"/>
  <c r="CA22" i="64" s="1"/>
  <c r="O22" i="64" s="1"/>
  <c r="BK24" i="63"/>
  <c r="CA24" i="63" s="1"/>
  <c r="O24" i="63" s="1"/>
  <c r="BK31" i="63"/>
  <c r="CA31" i="63" s="1"/>
  <c r="O31" i="63" s="1"/>
  <c r="BK36" i="64"/>
  <c r="CA36" i="64" s="1"/>
  <c r="O36" i="64" s="1"/>
  <c r="BK38" i="63"/>
  <c r="CA38" i="63" s="1"/>
  <c r="O38" i="63" s="1"/>
  <c r="BU11" i="68"/>
  <c r="CA11" i="68" s="1"/>
  <c r="O11" i="68" s="1"/>
  <c r="BU11" i="69"/>
  <c r="BU14" i="67"/>
  <c r="BU18" i="69"/>
  <c r="CA18" i="69" s="1"/>
  <c r="O18" i="69" s="1"/>
  <c r="BU18" i="68"/>
  <c r="CA18" i="68" s="1"/>
  <c r="O18" i="68" s="1"/>
  <c r="BU21" i="67"/>
  <c r="CA21" i="67" s="1"/>
  <c r="O21" i="67" s="1"/>
  <c r="BU25" i="69"/>
  <c r="CA25" i="69" s="1"/>
  <c r="O25" i="69" s="1"/>
  <c r="BU28" i="67"/>
  <c r="BU32" i="69"/>
  <c r="BU32" i="68"/>
  <c r="BU35" i="67"/>
  <c r="BU39" i="69"/>
  <c r="BY9" i="72"/>
  <c r="BY12" i="71"/>
  <c r="BY16" i="72"/>
  <c r="CA16" i="72" s="1"/>
  <c r="O16" i="72" s="1"/>
  <c r="BY19" i="71"/>
  <c r="BY21" i="70"/>
  <c r="CA21" i="70" s="1"/>
  <c r="O21" i="70" s="1"/>
  <c r="BY23" i="72"/>
  <c r="BY28" i="70"/>
  <c r="BY30" i="72"/>
  <c r="BY33" i="71"/>
  <c r="BY35" i="70"/>
  <c r="BG11" i="64"/>
  <c r="CA11" i="64" s="1"/>
  <c r="BG13" i="63"/>
  <c r="CA13" i="63" s="1"/>
  <c r="O13" i="63" s="1"/>
  <c r="BG18" i="64"/>
  <c r="CA18" i="64" s="1"/>
  <c r="O18" i="64" s="1"/>
  <c r="BG20" i="63"/>
  <c r="CA20" i="63" s="1"/>
  <c r="O20" i="63" s="1"/>
  <c r="BG27" i="63"/>
  <c r="CA27" i="63" s="1"/>
  <c r="O27" i="63" s="1"/>
  <c r="BG32" i="64"/>
  <c r="CA32" i="64" s="1"/>
  <c r="O32" i="64" s="1"/>
  <c r="BG34" i="63"/>
  <c r="CA34" i="63" s="1"/>
  <c r="O34" i="63" s="1"/>
  <c r="BG39" i="64"/>
  <c r="CA39" i="64" s="1"/>
  <c r="O39" i="64" s="1"/>
  <c r="BV9" i="71"/>
  <c r="BV16" i="71"/>
  <c r="BV20" i="72"/>
  <c r="CA20" i="72" s="1"/>
  <c r="O20" i="72" s="1"/>
  <c r="BV23" i="71"/>
  <c r="BV25" i="70"/>
  <c r="BV27" i="72"/>
  <c r="BV30" i="71"/>
  <c r="CA30" i="71" s="1"/>
  <c r="O30" i="71" s="1"/>
  <c r="BV32" i="70"/>
  <c r="CA32" i="70" s="1"/>
  <c r="O32" i="70" s="1"/>
  <c r="BX11" i="71"/>
  <c r="BX15" i="72"/>
  <c r="BX18" i="71"/>
  <c r="CA18" i="71" s="1"/>
  <c r="O18" i="71" s="1"/>
  <c r="BX20" i="70"/>
  <c r="CA20" i="70" s="1"/>
  <c r="O20" i="70" s="1"/>
  <c r="BX22" i="72"/>
  <c r="BX25" i="71"/>
  <c r="BX27" i="70"/>
  <c r="BX29" i="72"/>
  <c r="BX32" i="71"/>
  <c r="BX34" i="70"/>
  <c r="BX39" i="71"/>
  <c r="BP10" i="66"/>
  <c r="BP17" i="66"/>
  <c r="CA17" i="66" s="1"/>
  <c r="O17" i="66" s="1"/>
  <c r="BP19" i="65"/>
  <c r="CA19" i="65" s="1"/>
  <c r="O19" i="65" s="1"/>
  <c r="BP24" i="66"/>
  <c r="CA24" i="66" s="1"/>
  <c r="O24" i="66" s="1"/>
  <c r="BP26" i="65"/>
  <c r="CA26" i="65" s="1"/>
  <c r="O26" i="65" s="1"/>
  <c r="BP33" i="65"/>
  <c r="CA33" i="65" s="1"/>
  <c r="O33" i="65" s="1"/>
  <c r="BW10" i="71"/>
  <c r="CA10" i="71" s="1"/>
  <c r="O10" i="71" s="1"/>
  <c r="Z9" i="71" s="1"/>
  <c r="Z40" i="71" s="1"/>
  <c r="BW14" i="72"/>
  <c r="BW17" i="71"/>
  <c r="BW19" i="70"/>
  <c r="BW21" i="72"/>
  <c r="CA21" i="72" s="1"/>
  <c r="O21" i="72" s="1"/>
  <c r="BW24" i="71"/>
  <c r="BW26" i="70"/>
  <c r="BW28" i="72"/>
  <c r="CA28" i="72" s="1"/>
  <c r="O28" i="72" s="1"/>
  <c r="BW31" i="71"/>
  <c r="BW33" i="70"/>
  <c r="BW38" i="71"/>
  <c r="CA38" i="71" s="1"/>
  <c r="O38" i="71" s="1"/>
  <c r="F65" i="1"/>
  <c r="F64" i="1"/>
  <c r="F62" i="1"/>
  <c r="F63" i="1"/>
  <c r="F66" i="1"/>
  <c r="F54" i="1"/>
  <c r="F57" i="1"/>
  <c r="F56" i="1"/>
  <c r="F53" i="1"/>
  <c r="F55" i="1"/>
  <c r="F75" i="1"/>
  <c r="F74" i="1"/>
  <c r="F73" i="1"/>
  <c r="F72" i="1"/>
  <c r="F71" i="1"/>
  <c r="E34" i="43"/>
  <c r="AE41" i="41"/>
  <c r="J22" i="1" s="1"/>
  <c r="J37" i="43"/>
  <c r="J38" i="43" s="1"/>
  <c r="L37" i="43"/>
  <c r="L38" i="43" s="1"/>
  <c r="M37" i="43"/>
  <c r="M38" i="43" s="1"/>
  <c r="N37" i="43"/>
  <c r="N38" i="43" s="1"/>
  <c r="T37" i="43"/>
  <c r="T38" i="43" s="1"/>
  <c r="V37" i="43"/>
  <c r="V38" i="43" s="1"/>
  <c r="W37" i="43"/>
  <c r="W38" i="43" s="1"/>
  <c r="X37" i="43"/>
  <c r="X38" i="43" s="1"/>
  <c r="AD37" i="43"/>
  <c r="AD38" i="43" s="1"/>
  <c r="AF37" i="43"/>
  <c r="AF38" i="43" s="1"/>
  <c r="AG37" i="43"/>
  <c r="AG38" i="43" s="1"/>
  <c r="AH37" i="43"/>
  <c r="AH38" i="43" s="1"/>
  <c r="J34" i="43"/>
  <c r="J35" i="43" s="1"/>
  <c r="L34" i="43"/>
  <c r="L35" i="43" s="1"/>
  <c r="M34" i="43"/>
  <c r="M35" i="43" s="1"/>
  <c r="N34" i="43"/>
  <c r="N35" i="43" s="1"/>
  <c r="T34" i="43"/>
  <c r="T35" i="43" s="1"/>
  <c r="V34" i="43"/>
  <c r="V35" i="43" s="1"/>
  <c r="W34" i="43"/>
  <c r="W35" i="43" s="1"/>
  <c r="X34" i="43"/>
  <c r="X35" i="43" s="1"/>
  <c r="Y34" i="43"/>
  <c r="AD34" i="43"/>
  <c r="AD35" i="43" s="1"/>
  <c r="AF34" i="43"/>
  <c r="AF35" i="43" s="1"/>
  <c r="AG34" i="43"/>
  <c r="AG35" i="43" s="1"/>
  <c r="AH34" i="43"/>
  <c r="AH35" i="43" s="1"/>
  <c r="AM37" i="43"/>
  <c r="G75" i="1" s="1"/>
  <c r="AL37" i="43"/>
  <c r="G74" i="1" s="1"/>
  <c r="AK37" i="43"/>
  <c r="G73" i="1" s="1"/>
  <c r="AJ37" i="43"/>
  <c r="G72" i="1" s="1"/>
  <c r="AI37" i="43"/>
  <c r="G71" i="1" s="1"/>
  <c r="AM34" i="43"/>
  <c r="AL34" i="43"/>
  <c r="AK34" i="43"/>
  <c r="AJ34" i="43"/>
  <c r="AI34" i="43"/>
  <c r="AC37" i="43"/>
  <c r="G66" i="1" s="1"/>
  <c r="AB37" i="43"/>
  <c r="G65" i="1" s="1"/>
  <c r="AA37" i="43"/>
  <c r="G64" i="1" s="1"/>
  <c r="Z37" i="43"/>
  <c r="G63" i="1" s="1"/>
  <c r="Y37" i="43"/>
  <c r="G62" i="1" s="1"/>
  <c r="AC34" i="43"/>
  <c r="AB34" i="43"/>
  <c r="AA34" i="43"/>
  <c r="Z34" i="43"/>
  <c r="S37" i="43"/>
  <c r="G57" i="1" s="1"/>
  <c r="R37" i="43"/>
  <c r="G56" i="1" s="1"/>
  <c r="Q37" i="43"/>
  <c r="G55" i="1" s="1"/>
  <c r="P37" i="43"/>
  <c r="G54" i="1" s="1"/>
  <c r="O37" i="43"/>
  <c r="G53" i="1" s="1"/>
  <c r="S34" i="43"/>
  <c r="R34" i="43"/>
  <c r="Q34" i="43"/>
  <c r="P34" i="43"/>
  <c r="O34" i="43"/>
  <c r="F37" i="43"/>
  <c r="G45" i="1" s="1"/>
  <c r="G37" i="43"/>
  <c r="G46" i="1" s="1"/>
  <c r="H37" i="43"/>
  <c r="G47" i="1" s="1"/>
  <c r="I37" i="43"/>
  <c r="G48" i="1" s="1"/>
  <c r="E37" i="43"/>
  <c r="G44" i="1" s="1"/>
  <c r="F45" i="1"/>
  <c r="F46" i="1"/>
  <c r="H34" i="43"/>
  <c r="I34" i="43"/>
  <c r="A30" i="43"/>
  <c r="K29" i="43"/>
  <c r="U29" i="43" s="1"/>
  <c r="AE29" i="43" s="1"/>
  <c r="K28" i="43"/>
  <c r="U28" i="43" s="1"/>
  <c r="AE28" i="43" s="1"/>
  <c r="AG9" i="43"/>
  <c r="W9" i="43"/>
  <c r="M9" i="43"/>
  <c r="A4" i="47" s="1"/>
  <c r="C9" i="43"/>
  <c r="S7" i="43"/>
  <c r="AC7" i="43" s="1"/>
  <c r="AM7" i="43" s="1"/>
  <c r="R7" i="43"/>
  <c r="AB7" i="43" s="1"/>
  <c r="AL7" i="43" s="1"/>
  <c r="Q7" i="43"/>
  <c r="AA7" i="43" s="1"/>
  <c r="AK7" i="43" s="1"/>
  <c r="P7" i="43"/>
  <c r="Z7" i="43" s="1"/>
  <c r="AJ7" i="43" s="1"/>
  <c r="O7" i="43"/>
  <c r="Y7" i="43" s="1"/>
  <c r="AI7" i="43" s="1"/>
  <c r="N7" i="43"/>
  <c r="X7" i="43" s="1"/>
  <c r="AH7" i="43" s="1"/>
  <c r="M7" i="43"/>
  <c r="W7" i="43" s="1"/>
  <c r="AG7" i="43" s="1"/>
  <c r="L7" i="43"/>
  <c r="V7" i="43" s="1"/>
  <c r="AF7" i="43" s="1"/>
  <c r="K5" i="43"/>
  <c r="U5" i="43" s="1"/>
  <c r="AE5" i="43" s="1"/>
  <c r="CA20" i="67" l="1"/>
  <c r="O20" i="67" s="1"/>
  <c r="CG34" i="41"/>
  <c r="CG27" i="41"/>
  <c r="CG20" i="41"/>
  <c r="CI9" i="71"/>
  <c r="CI14" i="69"/>
  <c r="CI14" i="68"/>
  <c r="CI17" i="67"/>
  <c r="CI16" i="71"/>
  <c r="CI20" i="72"/>
  <c r="CI21" i="69"/>
  <c r="CI24" i="67"/>
  <c r="CI23" i="71"/>
  <c r="CI25" i="70"/>
  <c r="CI28" i="68"/>
  <c r="CI27" i="72"/>
  <c r="CI28" i="69"/>
  <c r="CI30" i="71"/>
  <c r="CI32" i="70"/>
  <c r="CI35" i="68"/>
  <c r="CI35" i="69"/>
  <c r="CJ10" i="71"/>
  <c r="CJ15" i="69"/>
  <c r="CJ15" i="68"/>
  <c r="CJ14" i="72"/>
  <c r="CJ18" i="67"/>
  <c r="CJ17" i="71"/>
  <c r="CJ19" i="70"/>
  <c r="CJ22" i="69"/>
  <c r="CJ21" i="72"/>
  <c r="CJ24" i="71"/>
  <c r="CJ25" i="67"/>
  <c r="CJ28" i="72"/>
  <c r="CJ29" i="68"/>
  <c r="CJ29" i="69"/>
  <c r="CJ31" i="71"/>
  <c r="CJ33" i="70"/>
  <c r="CJ36" i="68"/>
  <c r="CJ39" i="67"/>
  <c r="CJ38" i="71"/>
  <c r="CK9" i="68"/>
  <c r="CK9" i="69"/>
  <c r="CK11" i="71"/>
  <c r="CK12" i="67"/>
  <c r="CK16" i="69"/>
  <c r="CK16" i="68"/>
  <c r="CK18" i="71"/>
  <c r="CK19" i="67"/>
  <c r="CK20" i="70"/>
  <c r="CK22" i="72"/>
  <c r="CK23" i="69"/>
  <c r="CK26" i="67"/>
  <c r="CK25" i="71"/>
  <c r="CK30" i="69"/>
  <c r="CK30" i="68"/>
  <c r="CK29" i="72"/>
  <c r="CK32" i="71"/>
  <c r="CK34" i="70"/>
  <c r="CK37" i="69"/>
  <c r="CK39" i="71"/>
  <c r="CL9" i="72"/>
  <c r="CL10" i="68"/>
  <c r="CL10" i="69"/>
  <c r="CL12" i="71"/>
  <c r="CL13" i="67"/>
  <c r="CL17" i="68"/>
  <c r="CL17" i="69"/>
  <c r="CL19" i="71"/>
  <c r="CL20" i="67"/>
  <c r="CL21" i="70"/>
  <c r="CL24" i="69"/>
  <c r="CL23" i="72"/>
  <c r="CL27" i="67"/>
  <c r="CL28" i="70"/>
  <c r="CL30" i="72"/>
  <c r="CL31" i="69"/>
  <c r="CL33" i="71"/>
  <c r="CL35" i="70"/>
  <c r="CL38" i="69"/>
  <c r="CM10" i="72"/>
  <c r="CM11" i="69"/>
  <c r="CM11" i="68"/>
  <c r="CM14" i="67"/>
  <c r="CM18" i="68"/>
  <c r="CM18" i="69"/>
  <c r="CM21" i="67"/>
  <c r="CM20" i="71"/>
  <c r="CM22" i="70"/>
  <c r="CM24" i="72"/>
  <c r="CM25" i="69"/>
  <c r="CM28" i="67"/>
  <c r="CM29" i="70"/>
  <c r="CM32" i="68"/>
  <c r="CM32" i="69"/>
  <c r="CM34" i="71"/>
  <c r="CM36" i="70"/>
  <c r="CM39" i="69"/>
  <c r="CA24" i="72"/>
  <c r="O24" i="72" s="1"/>
  <c r="CA22" i="69"/>
  <c r="O22" i="69" s="1"/>
  <c r="CA38" i="67"/>
  <c r="O38" i="67" s="1"/>
  <c r="CA35" i="70"/>
  <c r="O35" i="70" s="1"/>
  <c r="CA32" i="68"/>
  <c r="O32" i="68" s="1"/>
  <c r="CG10" i="68"/>
  <c r="CX10" i="68" s="1"/>
  <c r="P10" i="68" s="1"/>
  <c r="CG9" i="72"/>
  <c r="CG10" i="69"/>
  <c r="CG9" i="63"/>
  <c r="CG9" i="66"/>
  <c r="CG11" i="65"/>
  <c r="CX11" i="65" s="1"/>
  <c r="P11" i="65" s="1"/>
  <c r="Q11" i="65" s="1"/>
  <c r="CG12" i="71"/>
  <c r="CG13" i="67"/>
  <c r="CX13" i="67" s="1"/>
  <c r="P13" i="67" s="1"/>
  <c r="CG14" i="64"/>
  <c r="CX14" i="64" s="1"/>
  <c r="P14" i="64" s="1"/>
  <c r="Q14" i="64" s="1"/>
  <c r="CG16" i="66"/>
  <c r="CG16" i="63"/>
  <c r="CG16" i="72"/>
  <c r="CG17" i="68"/>
  <c r="CX17" i="68" s="1"/>
  <c r="P17" i="68" s="1"/>
  <c r="CG17" i="69"/>
  <c r="CX17" i="69" s="1"/>
  <c r="P17" i="69" s="1"/>
  <c r="Q17" i="69" s="1"/>
  <c r="CG18" i="65"/>
  <c r="CX18" i="65" s="1"/>
  <c r="P18" i="65" s="1"/>
  <c r="CG20" i="67"/>
  <c r="CX20" i="67" s="1"/>
  <c r="P20" i="67" s="1"/>
  <c r="Q20" i="67" s="1"/>
  <c r="CG19" i="71"/>
  <c r="CG21" i="70"/>
  <c r="CG21" i="64"/>
  <c r="CX21" i="64" s="1"/>
  <c r="P21" i="64" s="1"/>
  <c r="Q21" i="64" s="1"/>
  <c r="CG23" i="66"/>
  <c r="CG23" i="63"/>
  <c r="CX23" i="63" s="1"/>
  <c r="P23" i="63" s="1"/>
  <c r="Q23" i="63" s="1"/>
  <c r="CG24" i="69"/>
  <c r="CG23" i="72"/>
  <c r="CG25" i="65"/>
  <c r="CX25" i="65" s="1"/>
  <c r="P25" i="65" s="1"/>
  <c r="Q25" i="65" s="1"/>
  <c r="CG27" i="67"/>
  <c r="CX27" i="67" s="1"/>
  <c r="P27" i="67" s="1"/>
  <c r="CG28" i="70"/>
  <c r="CG30" i="63"/>
  <c r="CG31" i="68"/>
  <c r="CX31" i="68" s="1"/>
  <c r="P31" i="68" s="1"/>
  <c r="CG30" i="72"/>
  <c r="CG31" i="69"/>
  <c r="CX31" i="69" s="1"/>
  <c r="P31" i="69" s="1"/>
  <c r="CG32" i="65"/>
  <c r="CX32" i="65" s="1"/>
  <c r="P32" i="65" s="1"/>
  <c r="Q32" i="65" s="1"/>
  <c r="CG33" i="71"/>
  <c r="CG34" i="67"/>
  <c r="CX34" i="67" s="1"/>
  <c r="P34" i="67" s="1"/>
  <c r="Q34" i="67" s="1"/>
  <c r="CG35" i="70"/>
  <c r="CG35" i="64"/>
  <c r="CX35" i="64" s="1"/>
  <c r="P35" i="64" s="1"/>
  <c r="Q35" i="64" s="1"/>
  <c r="CG37" i="63"/>
  <c r="CG38" i="69"/>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CA38" i="69"/>
  <c r="O38" i="69" s="1"/>
  <c r="CA39" i="69"/>
  <c r="O39" i="69" s="1"/>
  <c r="CA21" i="69"/>
  <c r="O21" i="69" s="1"/>
  <c r="CA14" i="69"/>
  <c r="O14" i="69" s="1"/>
  <c r="CA31" i="68"/>
  <c r="O31" i="68" s="1"/>
  <c r="CA14" i="67"/>
  <c r="O14" i="67" s="1"/>
  <c r="CA27" i="71"/>
  <c r="O27" i="71" s="1"/>
  <c r="CA9" i="71"/>
  <c r="O9" i="71" s="1"/>
  <c r="CA12" i="71"/>
  <c r="O12" i="71" s="1"/>
  <c r="CN9" i="71"/>
  <c r="CN16" i="71"/>
  <c r="CN23" i="71"/>
  <c r="CN25" i="70"/>
  <c r="CN30" i="71"/>
  <c r="CN32" i="70"/>
  <c r="CO10" i="71"/>
  <c r="CO17" i="71"/>
  <c r="CO19" i="70"/>
  <c r="CO24" i="71"/>
  <c r="CO26" i="70"/>
  <c r="CO31" i="71"/>
  <c r="CO33" i="70"/>
  <c r="CO38" i="71"/>
  <c r="CA29" i="68"/>
  <c r="O29" i="68" s="1"/>
  <c r="CA35" i="69"/>
  <c r="O35" i="69" s="1"/>
  <c r="CA36" i="65"/>
  <c r="O36" i="65" s="1"/>
  <c r="CA26" i="67"/>
  <c r="O26" i="67" s="1"/>
  <c r="CA19" i="67"/>
  <c r="O19" i="67" s="1"/>
  <c r="CA31" i="69"/>
  <c r="O31" i="69" s="1"/>
  <c r="CA38" i="65"/>
  <c r="O38" i="65" s="1"/>
  <c r="CP11" i="71"/>
  <c r="CP18" i="71"/>
  <c r="CP20" i="70"/>
  <c r="CP25" i="71"/>
  <c r="CP27" i="70"/>
  <c r="CP32" i="71"/>
  <c r="CP34" i="70"/>
  <c r="CP39" i="71"/>
  <c r="CA39" i="71"/>
  <c r="O39" i="71" s="1"/>
  <c r="CR20" i="71"/>
  <c r="CR22" i="70"/>
  <c r="CR27" i="71"/>
  <c r="CR29" i="70"/>
  <c r="CR34" i="71"/>
  <c r="CR36" i="70"/>
  <c r="CA9" i="68"/>
  <c r="O9" i="68" s="1"/>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Q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CA36" i="68"/>
  <c r="O36" i="68" s="1"/>
  <c r="CA15" i="69"/>
  <c r="O15" i="69" s="1"/>
  <c r="CA28" i="68"/>
  <c r="O28" i="68" s="1"/>
  <c r="CA30" i="68"/>
  <c r="O30" i="68" s="1"/>
  <c r="CA24" i="69"/>
  <c r="O24" i="69" s="1"/>
  <c r="CA30" i="65"/>
  <c r="O30" i="65" s="1"/>
  <c r="CA24" i="65"/>
  <c r="O24" i="65" s="1"/>
  <c r="CA17" i="67"/>
  <c r="O17" i="67" s="1"/>
  <c r="CA26" i="70"/>
  <c r="O26" i="70" s="1"/>
  <c r="CA17" i="65"/>
  <c r="O17" i="65" s="1"/>
  <c r="CD9" i="71"/>
  <c r="CD13" i="66"/>
  <c r="CD14" i="68"/>
  <c r="CD14" i="69"/>
  <c r="CD15" i="65"/>
  <c r="CX15" i="65" s="1"/>
  <c r="P15" i="65" s="1"/>
  <c r="Q15" i="65" s="1"/>
  <c r="CD17" i="67"/>
  <c r="CD16" i="71"/>
  <c r="CD20" i="66"/>
  <c r="CD20" i="72"/>
  <c r="CD21" i="69"/>
  <c r="CD22" i="65"/>
  <c r="CX22" i="65" s="1"/>
  <c r="P22" i="65" s="1"/>
  <c r="Q22" i="65" s="1"/>
  <c r="CD23" i="71"/>
  <c r="CD24" i="67"/>
  <c r="CD25" i="70"/>
  <c r="CD27" i="66"/>
  <c r="CD27" i="72"/>
  <c r="CD28" i="69"/>
  <c r="CD28" i="68"/>
  <c r="CD29" i="65"/>
  <c r="CX29" i="65" s="1"/>
  <c r="P29" i="65" s="1"/>
  <c r="CD30" i="71"/>
  <c r="CD31" i="67"/>
  <c r="CD32" i="70"/>
  <c r="CD35" i="68"/>
  <c r="CD35" i="69"/>
  <c r="CD36" i="65"/>
  <c r="CX36" i="65" s="1"/>
  <c r="P36" i="65" s="1"/>
  <c r="Q36" i="65" s="1"/>
  <c r="CD38" i="67"/>
  <c r="CH10" i="66"/>
  <c r="CH11" i="68"/>
  <c r="CH11" i="69"/>
  <c r="CH10" i="72"/>
  <c r="CH14" i="67"/>
  <c r="CH17" i="66"/>
  <c r="CH18" i="68"/>
  <c r="CH17" i="72"/>
  <c r="CH18" i="69"/>
  <c r="CH19" i="65"/>
  <c r="CX19" i="65" s="1"/>
  <c r="P19" i="65" s="1"/>
  <c r="Q19" i="65" s="1"/>
  <c r="CH20" i="71"/>
  <c r="CH21" i="67"/>
  <c r="CH22" i="70"/>
  <c r="CH24" i="66"/>
  <c r="CH25" i="69"/>
  <c r="CH24" i="72"/>
  <c r="CH26" i="65"/>
  <c r="CX26" i="65" s="1"/>
  <c r="P26" i="65" s="1"/>
  <c r="Q26" i="65" s="1"/>
  <c r="CH27" i="71"/>
  <c r="CH28" i="67"/>
  <c r="CH29" i="70"/>
  <c r="CH31" i="72"/>
  <c r="CH32" i="69"/>
  <c r="CH32" i="68"/>
  <c r="CH33" i="65"/>
  <c r="CX33" i="65" s="1"/>
  <c r="P33" i="65" s="1"/>
  <c r="Q33" i="65" s="1"/>
  <c r="CH35" i="67"/>
  <c r="CH34" i="71"/>
  <c r="CH36" i="70"/>
  <c r="CH39" i="69"/>
  <c r="CX36" i="72"/>
  <c r="P36" i="72" s="1"/>
  <c r="Q36" i="72" s="1"/>
  <c r="CX26" i="72"/>
  <c r="P26" i="72" s="1"/>
  <c r="Q26" i="72" s="1"/>
  <c r="CX38" i="72"/>
  <c r="P38" i="72" s="1"/>
  <c r="Q38" i="72" s="1"/>
  <c r="CX34" i="72"/>
  <c r="P34" i="72" s="1"/>
  <c r="Q34" i="72" s="1"/>
  <c r="CX25" i="72"/>
  <c r="P25" i="72" s="1"/>
  <c r="Q25" i="72" s="1"/>
  <c r="CX18" i="72"/>
  <c r="P18" i="72" s="1"/>
  <c r="Q18" i="72" s="1"/>
  <c r="CX32" i="72"/>
  <c r="P32" i="72" s="1"/>
  <c r="Q32" i="72" s="1"/>
  <c r="CX19" i="72"/>
  <c r="P19" i="72" s="1"/>
  <c r="Q19" i="72" s="1"/>
  <c r="CX35" i="72"/>
  <c r="P35" i="72" s="1"/>
  <c r="Q35" i="72" s="1"/>
  <c r="CX37" i="72"/>
  <c r="P37" i="72" s="1"/>
  <c r="Q37" i="72" s="1"/>
  <c r="CX11" i="72"/>
  <c r="P11" i="72" s="1"/>
  <c r="Q11" i="72" s="1"/>
  <c r="CX12" i="72"/>
  <c r="P12" i="72" s="1"/>
  <c r="Q12" i="72" s="1"/>
  <c r="CX13" i="72"/>
  <c r="P13" i="72" s="1"/>
  <c r="Q13" i="72" s="1"/>
  <c r="CX33" i="72"/>
  <c r="P33" i="72" s="1"/>
  <c r="Q33" i="72" s="1"/>
  <c r="CX31" i="66"/>
  <c r="P31" i="66" s="1"/>
  <c r="Q31" i="66" s="1"/>
  <c r="CX9" i="66"/>
  <c r="P9" i="66" s="1"/>
  <c r="CX38" i="66"/>
  <c r="P38" i="66" s="1"/>
  <c r="Q38" i="66" s="1"/>
  <c r="CX34" i="66"/>
  <c r="P34" i="66" s="1"/>
  <c r="Q34" i="66" s="1"/>
  <c r="CX11" i="66"/>
  <c r="P11" i="66" s="1"/>
  <c r="Q11" i="66" s="1"/>
  <c r="CX25" i="66"/>
  <c r="P25" i="66" s="1"/>
  <c r="Q25" i="66" s="1"/>
  <c r="CX39" i="66"/>
  <c r="P39" i="66" s="1"/>
  <c r="Q39" i="66" s="1"/>
  <c r="CX36" i="66"/>
  <c r="P36" i="66" s="1"/>
  <c r="Q36" i="66" s="1"/>
  <c r="CX18" i="66"/>
  <c r="P18" i="66" s="1"/>
  <c r="Q18" i="66" s="1"/>
  <c r="CX37" i="66"/>
  <c r="P37" i="66" s="1"/>
  <c r="Q37" i="66" s="1"/>
  <c r="CX35" i="66"/>
  <c r="P35" i="66" s="1"/>
  <c r="Q35" i="66" s="1"/>
  <c r="CX30" i="66"/>
  <c r="P30" i="66" s="1"/>
  <c r="Q30" i="66" s="1"/>
  <c r="CX16" i="66"/>
  <c r="P16" i="66" s="1"/>
  <c r="CX12" i="66"/>
  <c r="P12" i="66" s="1"/>
  <c r="Q12" i="66" s="1"/>
  <c r="CX26" i="66"/>
  <c r="P26" i="66" s="1"/>
  <c r="Q26" i="66" s="1"/>
  <c r="CX23" i="66"/>
  <c r="P23" i="66" s="1"/>
  <c r="CX19" i="66"/>
  <c r="P19" i="66" s="1"/>
  <c r="Q19" i="66" s="1"/>
  <c r="CX32" i="66"/>
  <c r="P32" i="66" s="1"/>
  <c r="Q32" i="66" s="1"/>
  <c r="CX33" i="66"/>
  <c r="P33" i="66" s="1"/>
  <c r="Q33" i="66" s="1"/>
  <c r="CA25" i="71"/>
  <c r="O25" i="71" s="1"/>
  <c r="CA30" i="72"/>
  <c r="O30" i="72" s="1"/>
  <c r="CA35" i="68"/>
  <c r="O35" i="68" s="1"/>
  <c r="CA13" i="67"/>
  <c r="O13" i="67" s="1"/>
  <c r="CF9" i="69"/>
  <c r="CF9" i="68"/>
  <c r="CF11" i="71"/>
  <c r="CF12" i="67"/>
  <c r="CF15" i="66"/>
  <c r="CF16" i="68"/>
  <c r="CF15" i="72"/>
  <c r="CF16" i="69"/>
  <c r="CF17" i="65"/>
  <c r="CX17" i="65" s="1"/>
  <c r="P17" i="65" s="1"/>
  <c r="CF19" i="67"/>
  <c r="CF18" i="71"/>
  <c r="CF20" i="70"/>
  <c r="CF22" i="66"/>
  <c r="CF23" i="69"/>
  <c r="CF22" i="72"/>
  <c r="CF24" i="65"/>
  <c r="CX24" i="65" s="1"/>
  <c r="P24" i="65" s="1"/>
  <c r="CF26" i="67"/>
  <c r="CF25" i="71"/>
  <c r="CF27" i="70"/>
  <c r="CF29" i="66"/>
  <c r="CF30" i="68"/>
  <c r="CF30" i="69"/>
  <c r="CF29" i="72"/>
  <c r="CF31" i="65"/>
  <c r="CX31" i="65" s="1"/>
  <c r="P31" i="65" s="1"/>
  <c r="CF32" i="71"/>
  <c r="CF33" i="67"/>
  <c r="CF34" i="70"/>
  <c r="CF37" i="69"/>
  <c r="CF38" i="65"/>
  <c r="CX38" i="65" s="1"/>
  <c r="P38" i="65" s="1"/>
  <c r="CF39" i="71"/>
  <c r="CA20" i="71"/>
  <c r="O20" i="71" s="1"/>
  <c r="CE10" i="71"/>
  <c r="CE14" i="66"/>
  <c r="CE14" i="72"/>
  <c r="CE15" i="68"/>
  <c r="CE15" i="69"/>
  <c r="CE16" i="65"/>
  <c r="CX16" i="65" s="1"/>
  <c r="P16" i="65" s="1"/>
  <c r="CE17" i="71"/>
  <c r="CE18" i="67"/>
  <c r="CE19" i="70"/>
  <c r="CE21" i="66"/>
  <c r="CE22" i="69"/>
  <c r="CE21" i="72"/>
  <c r="CE23" i="65"/>
  <c r="CX23" i="65" s="1"/>
  <c r="P23" i="65" s="1"/>
  <c r="Q23" i="65" s="1"/>
  <c r="CE25" i="67"/>
  <c r="CE24" i="71"/>
  <c r="CE26" i="70"/>
  <c r="CE28" i="66"/>
  <c r="CE29" i="68"/>
  <c r="CE29" i="69"/>
  <c r="CE28" i="72"/>
  <c r="CE30" i="65"/>
  <c r="CX30" i="65" s="1"/>
  <c r="P30" i="65" s="1"/>
  <c r="CE31" i="71"/>
  <c r="CE32" i="67"/>
  <c r="CE33" i="70"/>
  <c r="CE36" i="68"/>
  <c r="CE36" i="69"/>
  <c r="CE39" i="67"/>
  <c r="CE37" i="65"/>
  <c r="CX37" i="65" s="1"/>
  <c r="P37" i="65" s="1"/>
  <c r="CE38" i="71"/>
  <c r="CA11" i="69"/>
  <c r="O11" i="69" s="1"/>
  <c r="CA33" i="70"/>
  <c r="O33" i="70" s="1"/>
  <c r="CA36" i="70"/>
  <c r="O36" i="70" s="1"/>
  <c r="CA18" i="67"/>
  <c r="O18" i="67" s="1"/>
  <c r="CA33" i="67"/>
  <c r="O33" i="67" s="1"/>
  <c r="CA16" i="71"/>
  <c r="O16" i="71" s="1"/>
  <c r="CA19" i="71"/>
  <c r="O19" i="71" s="1"/>
  <c r="CA27" i="66"/>
  <c r="O27" i="66" s="1"/>
  <c r="CA40" i="64"/>
  <c r="O9" i="65"/>
  <c r="O19" i="70"/>
  <c r="O11" i="64"/>
  <c r="O9" i="69"/>
  <c r="O9" i="63"/>
  <c r="CA39" i="63"/>
  <c r="CR11" i="69"/>
  <c r="CR11" i="68"/>
  <c r="CR14" i="67"/>
  <c r="CX14" i="67" s="1"/>
  <c r="P14" i="67" s="1"/>
  <c r="CR18" i="69"/>
  <c r="CR18" i="68"/>
  <c r="CR21" i="67"/>
  <c r="CR25" i="69"/>
  <c r="CR28" i="67"/>
  <c r="CR32" i="68"/>
  <c r="CR32" i="69"/>
  <c r="CR35" i="67"/>
  <c r="CR39" i="69"/>
  <c r="CU11" i="71"/>
  <c r="CU15" i="72"/>
  <c r="CU18" i="71"/>
  <c r="CU20" i="70"/>
  <c r="CU22" i="72"/>
  <c r="CU25" i="71"/>
  <c r="CU27" i="70"/>
  <c r="CU29" i="72"/>
  <c r="CU32" i="71"/>
  <c r="CU34" i="70"/>
  <c r="CU39" i="71"/>
  <c r="CD11" i="64"/>
  <c r="CX11" i="64" s="1"/>
  <c r="P11" i="64" s="1"/>
  <c r="CD13" i="63"/>
  <c r="CD18" i="64"/>
  <c r="CX18" i="64" s="1"/>
  <c r="P18" i="64" s="1"/>
  <c r="Q18" i="64" s="1"/>
  <c r="CD20" i="63"/>
  <c r="CD27" i="63"/>
  <c r="CD32" i="64"/>
  <c r="CX32" i="64" s="1"/>
  <c r="P32" i="64" s="1"/>
  <c r="Q32" i="64" s="1"/>
  <c r="CD34" i="63"/>
  <c r="CD39" i="64"/>
  <c r="CX39" i="64" s="1"/>
  <c r="P39" i="64" s="1"/>
  <c r="Q39" i="64" s="1"/>
  <c r="CV9" i="72"/>
  <c r="CV12" i="71"/>
  <c r="CV16" i="72"/>
  <c r="CV19" i="71"/>
  <c r="CX19" i="71" s="1"/>
  <c r="P19" i="71" s="1"/>
  <c r="CV21" i="70"/>
  <c r="CX21" i="70" s="1"/>
  <c r="P21" i="70" s="1"/>
  <c r="Q21" i="70" s="1"/>
  <c r="CV23" i="72"/>
  <c r="CV28" i="70"/>
  <c r="CX28" i="70" s="1"/>
  <c r="P28" i="70" s="1"/>
  <c r="CV30" i="72"/>
  <c r="CX30" i="72" s="1"/>
  <c r="P30" i="72" s="1"/>
  <c r="CV33" i="71"/>
  <c r="CX33" i="71" s="1"/>
  <c r="P33" i="71" s="1"/>
  <c r="CV35" i="70"/>
  <c r="CX35" i="70" s="1"/>
  <c r="P35" i="70" s="1"/>
  <c r="Q35" i="70" s="1"/>
  <c r="CH10" i="63"/>
  <c r="CX10" i="63" s="1"/>
  <c r="P10" i="63" s="1"/>
  <c r="Q10" i="63" s="1"/>
  <c r="CH12" i="65"/>
  <c r="CX12" i="65" s="1"/>
  <c r="P12" i="65" s="1"/>
  <c r="Q12" i="65" s="1"/>
  <c r="CH15" i="64"/>
  <c r="CX15" i="64" s="1"/>
  <c r="P15" i="64" s="1"/>
  <c r="Q15" i="64" s="1"/>
  <c r="CH17" i="63"/>
  <c r="CH22" i="64"/>
  <c r="CX22" i="64" s="1"/>
  <c r="P22" i="64" s="1"/>
  <c r="Q22" i="64" s="1"/>
  <c r="CH24" i="63"/>
  <c r="CH31" i="63"/>
  <c r="CH36" i="64"/>
  <c r="CX36" i="64" s="1"/>
  <c r="P36" i="64" s="1"/>
  <c r="Q36" i="64" s="1"/>
  <c r="CH38" i="63"/>
  <c r="CX38" i="63" s="1"/>
  <c r="P38" i="63" s="1"/>
  <c r="Q38" i="63" s="1"/>
  <c r="CW10" i="72"/>
  <c r="CW17" i="72"/>
  <c r="CW20" i="71"/>
  <c r="CW22" i="70"/>
  <c r="CW24" i="72"/>
  <c r="CW29" i="70"/>
  <c r="CW31" i="72"/>
  <c r="CW34" i="71"/>
  <c r="CW36" i="70"/>
  <c r="CX30" i="63"/>
  <c r="P30" i="63" s="1"/>
  <c r="Q30" i="63" s="1"/>
  <c r="CX25" i="63"/>
  <c r="P25" i="63" s="1"/>
  <c r="Q25" i="63" s="1"/>
  <c r="CX18" i="63"/>
  <c r="P18" i="63" s="1"/>
  <c r="Q18" i="63" s="1"/>
  <c r="CX9" i="63"/>
  <c r="P9" i="63" s="1"/>
  <c r="CX37" i="63"/>
  <c r="P37" i="63" s="1"/>
  <c r="Q37" i="63" s="1"/>
  <c r="CX11" i="63"/>
  <c r="P11" i="63" s="1"/>
  <c r="Q11" i="63" s="1"/>
  <c r="CX19" i="63"/>
  <c r="P19" i="63" s="1"/>
  <c r="Q19" i="63" s="1"/>
  <c r="CX26" i="63"/>
  <c r="P26" i="63" s="1"/>
  <c r="Q26" i="63" s="1"/>
  <c r="CX16" i="63"/>
  <c r="P16" i="63" s="1"/>
  <c r="Q16" i="63" s="1"/>
  <c r="CX32" i="63"/>
  <c r="P32" i="63" s="1"/>
  <c r="Q32" i="63" s="1"/>
  <c r="CX12" i="63"/>
  <c r="P12" i="63" s="1"/>
  <c r="Q12" i="63" s="1"/>
  <c r="CX33" i="63"/>
  <c r="P33" i="63" s="1"/>
  <c r="Q33" i="63" s="1"/>
  <c r="CF10" i="65"/>
  <c r="CX10" i="65" s="1"/>
  <c r="P10" i="65" s="1"/>
  <c r="Q10" i="65" s="1"/>
  <c r="CF13" i="64"/>
  <c r="CX13" i="64" s="1"/>
  <c r="P13" i="64" s="1"/>
  <c r="Q13" i="64" s="1"/>
  <c r="CF15" i="63"/>
  <c r="CF20" i="64"/>
  <c r="CX20" i="64" s="1"/>
  <c r="P20" i="64" s="1"/>
  <c r="Q20" i="64" s="1"/>
  <c r="CF22" i="63"/>
  <c r="CF29" i="63"/>
  <c r="CF34" i="64"/>
  <c r="CX34" i="64" s="1"/>
  <c r="P34" i="64" s="1"/>
  <c r="Q34" i="64" s="1"/>
  <c r="CF36" i="63"/>
  <c r="CN14" i="69"/>
  <c r="CN14" i="68"/>
  <c r="CN17" i="67"/>
  <c r="CX17" i="67" s="1"/>
  <c r="P17" i="67" s="1"/>
  <c r="CN21" i="69"/>
  <c r="CN24" i="67"/>
  <c r="CN28" i="69"/>
  <c r="CX28" i="69" s="1"/>
  <c r="P28" i="69" s="1"/>
  <c r="Q28" i="69" s="1"/>
  <c r="CN28" i="68"/>
  <c r="CN31" i="67"/>
  <c r="CN35" i="68"/>
  <c r="CN35" i="69"/>
  <c r="CN38" i="67"/>
  <c r="CE9" i="65"/>
  <c r="CX9" i="65" s="1"/>
  <c r="P9" i="65" s="1"/>
  <c r="CE12" i="64"/>
  <c r="CX12" i="64" s="1"/>
  <c r="P12" i="64" s="1"/>
  <c r="Q12" i="64" s="1"/>
  <c r="CE14" i="63"/>
  <c r="CX14" i="63" s="1"/>
  <c r="P14" i="63" s="1"/>
  <c r="Q14" i="63" s="1"/>
  <c r="CE19" i="64"/>
  <c r="CX19" i="64" s="1"/>
  <c r="P19" i="64" s="1"/>
  <c r="Q19" i="64" s="1"/>
  <c r="CE21" i="63"/>
  <c r="CE28" i="63"/>
  <c r="CE33" i="64"/>
  <c r="CX33" i="64" s="1"/>
  <c r="P33" i="64" s="1"/>
  <c r="Q33" i="64" s="1"/>
  <c r="CE35" i="63"/>
  <c r="CO15" i="69"/>
  <c r="CO15" i="68"/>
  <c r="CO18" i="67"/>
  <c r="CO22" i="69"/>
  <c r="CO25" i="67"/>
  <c r="CO29" i="68"/>
  <c r="CO29" i="69"/>
  <c r="CO32" i="67"/>
  <c r="CO36" i="69"/>
  <c r="CO36" i="68"/>
  <c r="CO39" i="67"/>
  <c r="CP9" i="69"/>
  <c r="CP9" i="68"/>
  <c r="CP12" i="67"/>
  <c r="CP16" i="69"/>
  <c r="CP16" i="68"/>
  <c r="CP19" i="67"/>
  <c r="CP23" i="69"/>
  <c r="CP26" i="67"/>
  <c r="CX26" i="67" s="1"/>
  <c r="P26" i="67" s="1"/>
  <c r="Q26" i="67" s="1"/>
  <c r="CP30" i="69"/>
  <c r="CP30" i="68"/>
  <c r="CP33" i="67"/>
  <c r="CP37" i="69"/>
  <c r="CS9" i="71"/>
  <c r="CS16" i="71"/>
  <c r="CS20" i="72"/>
  <c r="CS23" i="71"/>
  <c r="CS25" i="70"/>
  <c r="CS27" i="72"/>
  <c r="CS30" i="71"/>
  <c r="CS32" i="70"/>
  <c r="CT10" i="71"/>
  <c r="CT14" i="72"/>
  <c r="CT17" i="71"/>
  <c r="CX17" i="71" s="1"/>
  <c r="P17" i="71" s="1"/>
  <c r="CT19" i="70"/>
  <c r="CT21" i="72"/>
  <c r="CT24" i="71"/>
  <c r="CT26" i="70"/>
  <c r="CT28" i="72"/>
  <c r="CT31" i="71"/>
  <c r="CT33" i="70"/>
  <c r="CT38" i="71"/>
  <c r="D9" i="43"/>
  <c r="A4" i="46"/>
  <c r="X9" i="43"/>
  <c r="W10" i="43" s="1"/>
  <c r="A4" i="49"/>
  <c r="N9" i="43"/>
  <c r="B4" i="47" s="1"/>
  <c r="AH9" i="43"/>
  <c r="B4" i="48" s="1"/>
  <c r="A4" i="48"/>
  <c r="F4" i="50"/>
  <c r="F23" i="50" s="1"/>
  <c r="F26" i="50" s="1"/>
  <c r="H26" i="50" s="1"/>
  <c r="H46" i="1"/>
  <c r="H45" i="1"/>
  <c r="F34" i="43"/>
  <c r="F44" i="1"/>
  <c r="F48" i="1"/>
  <c r="F47" i="1"/>
  <c r="AN37" i="43"/>
  <c r="G34" i="43"/>
  <c r="CX24" i="69" l="1"/>
  <c r="P24" i="69" s="1"/>
  <c r="CX38" i="69"/>
  <c r="P38" i="69" s="1"/>
  <c r="CX10" i="69"/>
  <c r="P10" i="69" s="1"/>
  <c r="Q10" i="69" s="1"/>
  <c r="CX12" i="71"/>
  <c r="P12" i="71" s="1"/>
  <c r="Q12" i="71" s="1"/>
  <c r="CX29" i="68"/>
  <c r="P29" i="68" s="1"/>
  <c r="Q29" i="68" s="1"/>
  <c r="Q13" i="67"/>
  <c r="Q31" i="68"/>
  <c r="Q24" i="69"/>
  <c r="Q27" i="67"/>
  <c r="Q38" i="69"/>
  <c r="Q17" i="68"/>
  <c r="Q10" i="68"/>
  <c r="Q23" i="66"/>
  <c r="Q14" i="67"/>
  <c r="Q31" i="69"/>
  <c r="Q16" i="66"/>
  <c r="CX32" i="70"/>
  <c r="P32" i="70" s="1"/>
  <c r="Q32" i="70" s="1"/>
  <c r="Q28" i="70"/>
  <c r="CX16" i="71"/>
  <c r="P16" i="71" s="1"/>
  <c r="Q16" i="71" s="1"/>
  <c r="CX27" i="71"/>
  <c r="P27" i="71" s="1"/>
  <c r="Q27" i="71" s="1"/>
  <c r="CX25" i="70"/>
  <c r="P25" i="70" s="1"/>
  <c r="Q25" i="70" s="1"/>
  <c r="CX32" i="67"/>
  <c r="P32" i="67" s="1"/>
  <c r="Q32" i="67" s="1"/>
  <c r="Q38" i="65"/>
  <c r="Q37" i="65"/>
  <c r="CX9" i="71"/>
  <c r="P9" i="71" s="1"/>
  <c r="Q9" i="71" s="1"/>
  <c r="CX16" i="72"/>
  <c r="P16" i="72" s="1"/>
  <c r="Q16" i="72" s="1"/>
  <c r="CX25" i="69"/>
  <c r="P25" i="69" s="1"/>
  <c r="Q25" i="69" s="1"/>
  <c r="CX18" i="69"/>
  <c r="P18" i="69" s="1"/>
  <c r="Q18" i="69" s="1"/>
  <c r="CX14" i="66"/>
  <c r="P14" i="66" s="1"/>
  <c r="Q14" i="66" s="1"/>
  <c r="CX35" i="67"/>
  <c r="P35" i="67" s="1"/>
  <c r="Q35" i="67" s="1"/>
  <c r="CX10" i="66"/>
  <c r="P10" i="66" s="1"/>
  <c r="Q10" i="66" s="1"/>
  <c r="CX23" i="72"/>
  <c r="P23" i="72" s="1"/>
  <c r="Q23" i="72" s="1"/>
  <c r="CX25" i="67"/>
  <c r="P25" i="67" s="1"/>
  <c r="Q25" i="67" s="1"/>
  <c r="Q17" i="67"/>
  <c r="Q31" i="65"/>
  <c r="CX22" i="72"/>
  <c r="P22" i="72" s="1"/>
  <c r="Q22" i="72" s="1"/>
  <c r="CX29" i="72"/>
  <c r="P29" i="72" s="1"/>
  <c r="Q29" i="72" s="1"/>
  <c r="CX32" i="71"/>
  <c r="P32" i="71" s="1"/>
  <c r="Q32" i="71" s="1"/>
  <c r="CX31" i="71"/>
  <c r="P31" i="71" s="1"/>
  <c r="Q31" i="71" s="1"/>
  <c r="CX24" i="71"/>
  <c r="P24" i="71" s="1"/>
  <c r="Q24" i="71" s="1"/>
  <c r="CX20" i="71"/>
  <c r="P20" i="71" s="1"/>
  <c r="Q20" i="71" s="1"/>
  <c r="CX36" i="69"/>
  <c r="P36" i="69" s="1"/>
  <c r="Q36" i="69" s="1"/>
  <c r="CX9" i="69"/>
  <c r="P9" i="69" s="1"/>
  <c r="Q9" i="69" s="1"/>
  <c r="CX32" i="68"/>
  <c r="P32" i="68" s="1"/>
  <c r="Q32" i="68" s="1"/>
  <c r="CX18" i="68"/>
  <c r="P18" i="68" s="1"/>
  <c r="Q18" i="68" s="1"/>
  <c r="CX21" i="66"/>
  <c r="P21" i="66" s="1"/>
  <c r="Q21" i="66" s="1"/>
  <c r="CX21" i="72"/>
  <c r="P21" i="72" s="1"/>
  <c r="Q21" i="72" s="1"/>
  <c r="CX24" i="72"/>
  <c r="P24" i="72" s="1"/>
  <c r="Q24" i="72" s="1"/>
  <c r="CX27" i="72"/>
  <c r="P27" i="72" s="1"/>
  <c r="Q27" i="72" s="1"/>
  <c r="CX9" i="68"/>
  <c r="P9" i="68" s="1"/>
  <c r="Q9" i="68" s="1"/>
  <c r="CX30" i="69"/>
  <c r="P30" i="69" s="1"/>
  <c r="Q30" i="69" s="1"/>
  <c r="Q17" i="71"/>
  <c r="CX20" i="72"/>
  <c r="P20" i="72" s="1"/>
  <c r="Q20" i="72" s="1"/>
  <c r="CX23" i="69"/>
  <c r="P23" i="69" s="1"/>
  <c r="Q23" i="69" s="1"/>
  <c r="CX16" i="68"/>
  <c r="P16" i="68" s="1"/>
  <c r="Q16" i="68" s="1"/>
  <c r="CX14" i="68"/>
  <c r="P14" i="68" s="1"/>
  <c r="Q14" i="68" s="1"/>
  <c r="Q33" i="71"/>
  <c r="CX24" i="66"/>
  <c r="P24" i="66" s="1"/>
  <c r="Q24" i="66" s="1"/>
  <c r="CX17" i="66"/>
  <c r="P17" i="66" s="1"/>
  <c r="Q17" i="66" s="1"/>
  <c r="CX16" i="69"/>
  <c r="P16" i="69" s="1"/>
  <c r="Q16" i="69" s="1"/>
  <c r="CX32" i="69"/>
  <c r="P32" i="69" s="1"/>
  <c r="Q32" i="69" s="1"/>
  <c r="CX19" i="70"/>
  <c r="P19" i="70" s="1"/>
  <c r="Q19" i="70" s="1"/>
  <c r="CX10" i="71"/>
  <c r="P10" i="71" s="1"/>
  <c r="Q10" i="71" s="1"/>
  <c r="CX35" i="69"/>
  <c r="P35" i="69" s="1"/>
  <c r="Q35" i="69" s="1"/>
  <c r="Q29" i="65"/>
  <c r="CX29" i="70"/>
  <c r="P29" i="70" s="1"/>
  <c r="Q29" i="70" s="1"/>
  <c r="CX21" i="67"/>
  <c r="P21" i="67" s="1"/>
  <c r="Q21" i="67" s="1"/>
  <c r="CX9" i="72"/>
  <c r="P9" i="72" s="1"/>
  <c r="Q9" i="72" s="1"/>
  <c r="CX22" i="69"/>
  <c r="P22" i="69" s="1"/>
  <c r="Q22" i="69" s="1"/>
  <c r="CX39" i="67"/>
  <c r="P39" i="67" s="1"/>
  <c r="Q39" i="67" s="1"/>
  <c r="CX14" i="72"/>
  <c r="P14" i="72" s="1"/>
  <c r="Q14" i="72" s="1"/>
  <c r="CX19" i="67"/>
  <c r="P19" i="67" s="1"/>
  <c r="Q19" i="67" s="1"/>
  <c r="CX29" i="69"/>
  <c r="P29" i="69" s="1"/>
  <c r="Q29" i="69" s="1"/>
  <c r="CX29" i="66"/>
  <c r="P29" i="66" s="1"/>
  <c r="Q29" i="66" s="1"/>
  <c r="CX33" i="67"/>
  <c r="P33" i="67" s="1"/>
  <c r="Q33" i="67" s="1"/>
  <c r="CX25" i="71"/>
  <c r="P25" i="71" s="1"/>
  <c r="Q25" i="71" s="1"/>
  <c r="CX28" i="68"/>
  <c r="P28" i="68" s="1"/>
  <c r="Q28" i="68" s="1"/>
  <c r="CX21" i="69"/>
  <c r="P21" i="69" s="1"/>
  <c r="Q21" i="69" s="1"/>
  <c r="CX38" i="67"/>
  <c r="P38" i="67" s="1"/>
  <c r="Q38" i="67" s="1"/>
  <c r="CA37" i="68"/>
  <c r="CX39" i="71"/>
  <c r="P39" i="71" s="1"/>
  <c r="Q39" i="71" s="1"/>
  <c r="CX36" i="68"/>
  <c r="P36" i="68" s="1"/>
  <c r="Q36" i="68" s="1"/>
  <c r="CX28" i="66"/>
  <c r="P28" i="66" s="1"/>
  <c r="Q28" i="66" s="1"/>
  <c r="CX39" i="69"/>
  <c r="P39" i="69" s="1"/>
  <c r="Q39" i="69" s="1"/>
  <c r="CX15" i="66"/>
  <c r="P15" i="66" s="1"/>
  <c r="Q15" i="66" s="1"/>
  <c r="CX15" i="69"/>
  <c r="P15" i="69" s="1"/>
  <c r="Q15" i="69" s="1"/>
  <c r="CX27" i="70"/>
  <c r="P27" i="70" s="1"/>
  <c r="Q27" i="70" s="1"/>
  <c r="CX23" i="71"/>
  <c r="P23" i="71" s="1"/>
  <c r="Q23" i="71" s="1"/>
  <c r="CX15" i="68"/>
  <c r="P15" i="68" s="1"/>
  <c r="Q15" i="68" s="1"/>
  <c r="CX15" i="72"/>
  <c r="P15" i="72" s="1"/>
  <c r="Q15" i="72" s="1"/>
  <c r="CX17" i="72"/>
  <c r="P17" i="72" s="1"/>
  <c r="CX37" i="69"/>
  <c r="P37" i="69" s="1"/>
  <c r="Q37" i="69" s="1"/>
  <c r="CX10" i="72"/>
  <c r="P10" i="72" s="1"/>
  <c r="Q10" i="72" s="1"/>
  <c r="CX28" i="72"/>
  <c r="P28" i="72" s="1"/>
  <c r="Q28" i="72" s="1"/>
  <c r="CX30" i="71"/>
  <c r="P30" i="71" s="1"/>
  <c r="Q30" i="71" s="1"/>
  <c r="CX12" i="67"/>
  <c r="P12" i="67" s="1"/>
  <c r="Q12" i="67" s="1"/>
  <c r="CX34" i="71"/>
  <c r="P34" i="71" s="1"/>
  <c r="Q34" i="71" s="1"/>
  <c r="CX11" i="68"/>
  <c r="P11" i="68" s="1"/>
  <c r="Q11" i="68" s="1"/>
  <c r="CX20" i="70"/>
  <c r="P20" i="70" s="1"/>
  <c r="Q20" i="70" s="1"/>
  <c r="Q24" i="65"/>
  <c r="Q30" i="65"/>
  <c r="CX36" i="70"/>
  <c r="P36" i="70" s="1"/>
  <c r="Q36" i="70" s="1"/>
  <c r="CX30" i="68"/>
  <c r="P30" i="68" s="1"/>
  <c r="Q30" i="68" s="1"/>
  <c r="CX31" i="67"/>
  <c r="P31" i="67" s="1"/>
  <c r="Q31" i="67" s="1"/>
  <c r="CX11" i="69"/>
  <c r="P11" i="69" s="1"/>
  <c r="Q11" i="69" s="1"/>
  <c r="CX28" i="67"/>
  <c r="P28" i="67" s="1"/>
  <c r="Q28" i="67" s="1"/>
  <c r="CX38" i="71"/>
  <c r="P38" i="71" s="1"/>
  <c r="Q38" i="71" s="1"/>
  <c r="CX24" i="67"/>
  <c r="P24" i="67" s="1"/>
  <c r="Q24" i="67" s="1"/>
  <c r="CA40" i="69"/>
  <c r="CA39" i="65"/>
  <c r="Q16" i="65"/>
  <c r="CX14" i="69"/>
  <c r="P14" i="69" s="1"/>
  <c r="Q14" i="69" s="1"/>
  <c r="CA40" i="67"/>
  <c r="Q30" i="72"/>
  <c r="CA39" i="72"/>
  <c r="CA40" i="66"/>
  <c r="CX27" i="66"/>
  <c r="P27" i="66" s="1"/>
  <c r="Q27" i="66" s="1"/>
  <c r="Q19" i="71"/>
  <c r="CX26" i="70"/>
  <c r="P26" i="70" s="1"/>
  <c r="Q26" i="70" s="1"/>
  <c r="CX31" i="72"/>
  <c r="P31" i="72" s="1"/>
  <c r="Q31" i="72" s="1"/>
  <c r="CA39" i="70"/>
  <c r="Q17" i="65"/>
  <c r="CX35" i="68"/>
  <c r="P35" i="68" s="1"/>
  <c r="Q35" i="68" s="1"/>
  <c r="CX18" i="67"/>
  <c r="P18" i="67" s="1"/>
  <c r="Q18" i="67" s="1"/>
  <c r="CX18" i="71"/>
  <c r="P18" i="71" s="1"/>
  <c r="Q18" i="71" s="1"/>
  <c r="CA40" i="71"/>
  <c r="CX22" i="70"/>
  <c r="P22" i="70" s="1"/>
  <c r="Q22" i="70" s="1"/>
  <c r="CX34" i="70"/>
  <c r="P34" i="70" s="1"/>
  <c r="Q34" i="70" s="1"/>
  <c r="CX13" i="66"/>
  <c r="P13" i="66" s="1"/>
  <c r="Q13" i="66" s="1"/>
  <c r="CX11" i="71"/>
  <c r="P11" i="71" s="1"/>
  <c r="Q11" i="71" s="1"/>
  <c r="CX22" i="66"/>
  <c r="P22" i="66" s="1"/>
  <c r="Q22" i="66" s="1"/>
  <c r="CX33" i="70"/>
  <c r="P33" i="70" s="1"/>
  <c r="Q33" i="70" s="1"/>
  <c r="CX20" i="66"/>
  <c r="P20" i="66" s="1"/>
  <c r="Q20" i="66" s="1"/>
  <c r="CX15" i="63"/>
  <c r="P15" i="63" s="1"/>
  <c r="Q15" i="63" s="1"/>
  <c r="CX24" i="63"/>
  <c r="P24" i="63" s="1"/>
  <c r="Q24" i="63" s="1"/>
  <c r="CX31" i="63"/>
  <c r="P31" i="63" s="1"/>
  <c r="Q31" i="63" s="1"/>
  <c r="CX28" i="63"/>
  <c r="P28" i="63" s="1"/>
  <c r="Q28" i="63" s="1"/>
  <c r="CX29" i="63"/>
  <c r="P29" i="63" s="1"/>
  <c r="Q29" i="63" s="1"/>
  <c r="CX22" i="63"/>
  <c r="P22" i="63" s="1"/>
  <c r="Q22" i="63" s="1"/>
  <c r="CX35" i="63"/>
  <c r="P35" i="63" s="1"/>
  <c r="Q35" i="63" s="1"/>
  <c r="P39" i="65"/>
  <c r="CX17" i="63"/>
  <c r="P17" i="63" s="1"/>
  <c r="Q17" i="63" s="1"/>
  <c r="CX20" i="63"/>
  <c r="P20" i="63" s="1"/>
  <c r="Q20" i="63" s="1"/>
  <c r="CX27" i="63"/>
  <c r="P27" i="63" s="1"/>
  <c r="Q27" i="63" s="1"/>
  <c r="CX21" i="63"/>
  <c r="P21" i="63" s="1"/>
  <c r="Q21" i="63" s="1"/>
  <c r="CX36" i="63"/>
  <c r="P36" i="63" s="1"/>
  <c r="Q36" i="63" s="1"/>
  <c r="CX13" i="63"/>
  <c r="P13" i="63" s="1"/>
  <c r="Q13" i="63" s="1"/>
  <c r="Q11" i="64"/>
  <c r="Q40" i="64" s="1"/>
  <c r="P40" i="64"/>
  <c r="CX34" i="63"/>
  <c r="P34" i="63" s="1"/>
  <c r="Q34" i="63" s="1"/>
  <c r="Q9" i="65"/>
  <c r="M10" i="43"/>
  <c r="N10" i="43" s="1"/>
  <c r="M11" i="43" s="1"/>
  <c r="AG10" i="43"/>
  <c r="A5" i="48" s="1"/>
  <c r="B4" i="49"/>
  <c r="O40" i="69"/>
  <c r="O39" i="65"/>
  <c r="O40" i="71"/>
  <c r="Q9" i="63"/>
  <c r="O39" i="63"/>
  <c r="Q9" i="66"/>
  <c r="O40" i="66"/>
  <c r="O40" i="64"/>
  <c r="O40" i="67"/>
  <c r="O39" i="72"/>
  <c r="O37" i="68"/>
  <c r="O39" i="70"/>
  <c r="H47" i="1"/>
  <c r="H44" i="1"/>
  <c r="H48" i="1"/>
  <c r="C10" i="43"/>
  <c r="B4" i="46"/>
  <c r="G49" i="1"/>
  <c r="X10" i="43"/>
  <c r="A5" i="49"/>
  <c r="AN34" i="43"/>
  <c r="P39" i="72" l="1"/>
  <c r="P40" i="69"/>
  <c r="Q17" i="72"/>
  <c r="Q39" i="72" s="1"/>
  <c r="Q39" i="65"/>
  <c r="P37" i="68"/>
  <c r="Q40" i="67"/>
  <c r="P40" i="67"/>
  <c r="P40" i="71"/>
  <c r="P39" i="70"/>
  <c r="Q40" i="66"/>
  <c r="Q40" i="71"/>
  <c r="Q39" i="70"/>
  <c r="P40" i="66"/>
  <c r="V46" i="69"/>
  <c r="V55" i="69" s="1"/>
  <c r="V44" i="70" s="1"/>
  <c r="V45" i="70" s="1"/>
  <c r="V54" i="70" s="1"/>
  <c r="V45" i="71" s="1"/>
  <c r="A5" i="47"/>
  <c r="Q40" i="69"/>
  <c r="Q37" i="68"/>
  <c r="AH10" i="43"/>
  <c r="AG11" i="43" s="1"/>
  <c r="P39" i="63"/>
  <c r="Q39" i="63"/>
  <c r="B5" i="47"/>
  <c r="H4" i="50"/>
  <c r="H23" i="50" s="1"/>
  <c r="D10" i="43"/>
  <c r="A5" i="46"/>
  <c r="W11" i="43"/>
  <c r="B5" i="49"/>
  <c r="N11" i="43"/>
  <c r="A6" i="47"/>
  <c r="J75" i="1"/>
  <c r="H75" i="1"/>
  <c r="J74" i="1"/>
  <c r="H74" i="1"/>
  <c r="J73" i="1"/>
  <c r="H73" i="1"/>
  <c r="J72" i="1"/>
  <c r="H72" i="1"/>
  <c r="J71" i="1"/>
  <c r="F76" i="1"/>
  <c r="E67" i="1"/>
  <c r="J66" i="1"/>
  <c r="H66" i="1"/>
  <c r="J65" i="1"/>
  <c r="H65" i="1"/>
  <c r="J64" i="1"/>
  <c r="H64" i="1"/>
  <c r="J63" i="1"/>
  <c r="H63" i="1"/>
  <c r="J62" i="1"/>
  <c r="F67" i="1"/>
  <c r="E58" i="1"/>
  <c r="J57" i="1"/>
  <c r="H57" i="1"/>
  <c r="J56" i="1"/>
  <c r="H56" i="1"/>
  <c r="J55" i="1"/>
  <c r="H55" i="1"/>
  <c r="J54" i="1"/>
  <c r="H54" i="1"/>
  <c r="J53" i="1"/>
  <c r="H53" i="1"/>
  <c r="E49" i="1"/>
  <c r="J48" i="1"/>
  <c r="J47" i="1"/>
  <c r="J46" i="1"/>
  <c r="J45" i="1"/>
  <c r="J44" i="1"/>
  <c r="V46" i="71" l="1"/>
  <c r="V55" i="71" s="1"/>
  <c r="V44" i="72" s="1"/>
  <c r="V45" i="72" s="1"/>
  <c r="V54" i="72" s="1"/>
  <c r="V45" i="73" s="1"/>
  <c r="V46" i="73" s="1"/>
  <c r="V55" i="73" s="1"/>
  <c r="H5" i="50"/>
  <c r="B5" i="48"/>
  <c r="F16" i="50"/>
  <c r="C11" i="43"/>
  <c r="B5" i="46"/>
  <c r="AH11" i="43"/>
  <c r="A6" i="48"/>
  <c r="X11" i="43"/>
  <c r="A6" i="49"/>
  <c r="M12" i="43"/>
  <c r="B6" i="47"/>
  <c r="H58" i="1"/>
  <c r="H49" i="1"/>
  <c r="H71" i="1"/>
  <c r="H76" i="1" s="1"/>
  <c r="H62" i="1"/>
  <c r="H67" i="1" s="1"/>
  <c r="F49" i="1"/>
  <c r="F58" i="1"/>
  <c r="H6" i="50" l="1"/>
  <c r="H24" i="50"/>
  <c r="D11" i="43"/>
  <c r="A6" i="46"/>
  <c r="AG12" i="43"/>
  <c r="B6" i="48"/>
  <c r="W12" i="43"/>
  <c r="B6" i="49"/>
  <c r="N12" i="43"/>
  <c r="A7" i="47"/>
  <c r="H7" i="50" l="1"/>
  <c r="H25" i="50"/>
  <c r="C12" i="43"/>
  <c r="B6" i="46"/>
  <c r="AH12" i="43"/>
  <c r="A7" i="48"/>
  <c r="X12" i="43"/>
  <c r="A7" i="49"/>
  <c r="M13" i="43"/>
  <c r="B7" i="47"/>
  <c r="H8" i="50" l="1"/>
  <c r="H32" i="50"/>
  <c r="D12" i="43"/>
  <c r="A7" i="46"/>
  <c r="AG13" i="43"/>
  <c r="B7" i="48"/>
  <c r="W13" i="43"/>
  <c r="B7" i="49"/>
  <c r="N13" i="43"/>
  <c r="A8" i="47"/>
  <c r="H9" i="50" l="1"/>
  <c r="H33" i="50"/>
  <c r="C13" i="43"/>
  <c r="B7" i="46"/>
  <c r="AH13" i="43"/>
  <c r="A8" i="48"/>
  <c r="X13" i="43"/>
  <c r="A8" i="49"/>
  <c r="M14" i="43"/>
  <c r="B8" i="47"/>
  <c r="H10" i="50" l="1"/>
  <c r="H34" i="50"/>
  <c r="H35" i="50" s="1"/>
  <c r="D13" i="43"/>
  <c r="A8" i="46"/>
  <c r="AG14" i="43"/>
  <c r="B8" i="48"/>
  <c r="W14" i="43"/>
  <c r="B8" i="49"/>
  <c r="N14" i="43"/>
  <c r="A9" i="47"/>
  <c r="H11" i="50" l="1"/>
  <c r="H41" i="50"/>
  <c r="C14" i="43"/>
  <c r="B8" i="46"/>
  <c r="AH14" i="43"/>
  <c r="A9" i="48"/>
  <c r="X14" i="43"/>
  <c r="A9" i="49"/>
  <c r="M15" i="43"/>
  <c r="B9" i="47"/>
  <c r="H12" i="50" l="1"/>
  <c r="H42" i="50"/>
  <c r="D14" i="43"/>
  <c r="A9" i="46"/>
  <c r="AG15" i="43"/>
  <c r="B9" i="48"/>
  <c r="W15" i="43"/>
  <c r="B9" i="49"/>
  <c r="N15" i="43"/>
  <c r="A10" i="47"/>
  <c r="H13" i="50" l="1"/>
  <c r="H43" i="50"/>
  <c r="H44" i="50" s="1"/>
  <c r="C15" i="43"/>
  <c r="B9" i="46"/>
  <c r="AH15" i="43"/>
  <c r="A10" i="48"/>
  <c r="X15" i="43"/>
  <c r="A10" i="49"/>
  <c r="M16" i="43"/>
  <c r="B10" i="47"/>
  <c r="H14" i="50" l="1"/>
  <c r="H50" i="50"/>
  <c r="D15" i="43"/>
  <c r="A10" i="46"/>
  <c r="AG16" i="43"/>
  <c r="B10" i="48"/>
  <c r="W16" i="43"/>
  <c r="B10" i="49"/>
  <c r="N16" i="43"/>
  <c r="A11" i="47"/>
  <c r="H15" i="50" l="1"/>
  <c r="H51" i="50"/>
  <c r="C16" i="43"/>
  <c r="B10" i="46"/>
  <c r="AH16" i="43"/>
  <c r="A11" i="48"/>
  <c r="X16" i="43"/>
  <c r="A11" i="49"/>
  <c r="M17" i="43"/>
  <c r="B11" i="47"/>
  <c r="H16" i="50" l="1"/>
  <c r="H52" i="50"/>
  <c r="H53" i="50" s="1"/>
  <c r="D16" i="43"/>
  <c r="A11" i="46"/>
  <c r="AG17" i="43"/>
  <c r="B11" i="48"/>
  <c r="W17" i="43"/>
  <c r="B11" i="49"/>
  <c r="N17" i="43"/>
  <c r="A12" i="47"/>
  <c r="H19" i="50" l="1"/>
  <c r="E58" i="50"/>
  <c r="C17" i="43"/>
  <c r="B11" i="46"/>
  <c r="AH17" i="43"/>
  <c r="A12" i="48"/>
  <c r="X17" i="43"/>
  <c r="A12" i="49"/>
  <c r="M18" i="43"/>
  <c r="B12" i="47"/>
  <c r="D17" i="43" l="1"/>
  <c r="A12" i="46"/>
  <c r="AG18" i="43"/>
  <c r="B12" i="48"/>
  <c r="W18" i="43"/>
  <c r="B12" i="49"/>
  <c r="N18" i="43"/>
  <c r="A13" i="47"/>
  <c r="C18" i="43" l="1"/>
  <c r="B12" i="46"/>
  <c r="AH18" i="43"/>
  <c r="A13" i="48"/>
  <c r="X18" i="43"/>
  <c r="A13" i="49"/>
  <c r="M19" i="43"/>
  <c r="B13" i="47"/>
  <c r="D18" i="43" l="1"/>
  <c r="A13" i="46"/>
  <c r="AG19" i="43"/>
  <c r="B13" i="48"/>
  <c r="W19" i="43"/>
  <c r="B13" i="49"/>
  <c r="N19" i="43"/>
  <c r="A14" i="47"/>
  <c r="C19" i="43" l="1"/>
  <c r="B13" i="46"/>
  <c r="AH19" i="43"/>
  <c r="A14" i="48"/>
  <c r="X19" i="43"/>
  <c r="A14" i="49"/>
  <c r="M20" i="43"/>
  <c r="B14" i="47"/>
  <c r="D19" i="43" l="1"/>
  <c r="A14" i="46"/>
  <c r="AG20" i="43"/>
  <c r="B14" i="48"/>
  <c r="W20" i="43"/>
  <c r="B14" i="49"/>
  <c r="N20" i="43"/>
  <c r="A15" i="47"/>
  <c r="C20" i="43" l="1"/>
  <c r="B14" i="46"/>
  <c r="AH20" i="43"/>
  <c r="A15" i="48"/>
  <c r="X20" i="43"/>
  <c r="A15" i="49"/>
  <c r="M21" i="43"/>
  <c r="B15" i="47"/>
  <c r="D20" i="43" l="1"/>
  <c r="A15" i="46"/>
  <c r="AG21" i="43"/>
  <c r="B15" i="48"/>
  <c r="W21" i="43"/>
  <c r="B15" i="49"/>
  <c r="N21" i="43"/>
  <c r="A16" i="47"/>
  <c r="C21" i="43" l="1"/>
  <c r="B15" i="46"/>
  <c r="AH21" i="43"/>
  <c r="A16" i="48"/>
  <c r="X21" i="43"/>
  <c r="A16" i="49"/>
  <c r="M22" i="43"/>
  <c r="N22" i="43" s="1"/>
  <c r="B16" i="47"/>
  <c r="M23" i="43" l="1"/>
  <c r="N23" i="43" s="1"/>
  <c r="B17" i="47"/>
  <c r="D21" i="43"/>
  <c r="A16" i="46"/>
  <c r="AG22" i="43"/>
  <c r="AH22" i="43" s="1"/>
  <c r="AG23" i="43" s="1"/>
  <c r="AH23" i="43" s="1"/>
  <c r="AG24" i="43" s="1"/>
  <c r="AH24" i="43" s="1"/>
  <c r="AG25" i="43" s="1"/>
  <c r="AH25" i="43" s="1"/>
  <c r="AG26" i="43" s="1"/>
  <c r="AH26" i="43" s="1"/>
  <c r="AG27" i="43" s="1"/>
  <c r="AH27" i="43" s="1"/>
  <c r="B16" i="48"/>
  <c r="W22" i="43"/>
  <c r="X22" i="43" s="1"/>
  <c r="W23" i="43" s="1"/>
  <c r="X23" i="43" s="1"/>
  <c r="W24" i="43" s="1"/>
  <c r="X24" i="43" s="1"/>
  <c r="W25" i="43" s="1"/>
  <c r="X25" i="43" s="1"/>
  <c r="W26" i="43" s="1"/>
  <c r="X26" i="43" s="1"/>
  <c r="W27" i="43" s="1"/>
  <c r="X27" i="43" s="1"/>
  <c r="B16" i="49"/>
  <c r="M24" i="43" l="1"/>
  <c r="N24" i="43" s="1"/>
  <c r="M25" i="43" s="1"/>
  <c r="N25" i="43" s="1"/>
  <c r="M26" i="43" s="1"/>
  <c r="N26" i="43" s="1"/>
  <c r="M27" i="43" s="1"/>
  <c r="N27" i="43" s="1"/>
  <c r="B18" i="47"/>
  <c r="C22" i="43"/>
  <c r="D22" i="43" s="1"/>
  <c r="C23" i="43" s="1"/>
  <c r="D23" i="43" s="1"/>
  <c r="C24" i="43" s="1"/>
  <c r="D24" i="43" s="1"/>
  <c r="C25" i="43" s="1"/>
  <c r="D25" i="43" s="1"/>
  <c r="C26" i="43" s="1"/>
  <c r="D26" i="43" s="1"/>
  <c r="C27" i="43" s="1"/>
  <c r="D27" i="43" s="1"/>
  <c r="B16" i="46"/>
  <c r="CI71" i="22" l="1"/>
  <c r="CI77" i="22"/>
  <c r="CI83" i="22"/>
  <c r="CI89" i="22"/>
  <c r="CI95" i="22"/>
  <c r="CI101" i="22"/>
  <c r="CI107" i="22"/>
  <c r="CI113" i="22"/>
  <c r="CA118" i="22"/>
  <c r="CA112" i="22"/>
  <c r="CA106" i="22"/>
  <c r="CA100" i="22"/>
  <c r="CA94" i="22"/>
  <c r="CA88" i="22"/>
  <c r="CA82" i="22"/>
  <c r="CA76" i="22"/>
  <c r="CA70" i="22"/>
  <c r="CA117" i="22"/>
  <c r="CA111" i="22"/>
  <c r="CA105" i="22"/>
  <c r="CA99" i="22"/>
  <c r="CA93" i="22"/>
  <c r="CA87" i="22"/>
  <c r="CA81" i="22"/>
  <c r="CA75" i="22"/>
  <c r="CA69" i="22"/>
  <c r="CA116" i="22"/>
  <c r="CA110" i="22"/>
  <c r="CA104" i="22"/>
  <c r="CA98" i="22"/>
  <c r="CA92" i="22"/>
  <c r="CA86" i="22"/>
  <c r="CA80" i="22"/>
  <c r="CA74" i="22"/>
  <c r="CA68" i="22"/>
  <c r="CA115" i="22"/>
  <c r="CA109" i="22"/>
  <c r="CA103" i="22"/>
  <c r="CA97" i="22"/>
  <c r="CA91" i="22"/>
  <c r="CA85" i="22"/>
  <c r="CA79" i="22"/>
  <c r="CA73" i="22"/>
  <c r="CA67" i="22"/>
  <c r="CA66" i="22"/>
  <c r="CA114" i="22"/>
  <c r="CA108" i="22"/>
  <c r="CA102" i="22"/>
  <c r="CA96" i="22"/>
  <c r="CA90" i="22"/>
  <c r="CA84" i="22"/>
  <c r="CA78" i="22"/>
  <c r="CA72" i="22"/>
  <c r="BT117" i="22"/>
  <c r="BT111" i="22"/>
  <c r="BT105" i="22"/>
  <c r="BT99" i="22"/>
  <c r="BT93" i="22"/>
  <c r="BT87" i="22"/>
  <c r="BT81" i="22"/>
  <c r="BT75" i="22"/>
  <c r="BT69" i="22"/>
  <c r="BT116" i="22"/>
  <c r="BT110" i="22"/>
  <c r="BT104" i="22"/>
  <c r="BT98" i="22"/>
  <c r="BT92" i="22"/>
  <c r="BT86" i="22"/>
  <c r="BT80" i="22"/>
  <c r="BT74" i="22"/>
  <c r="BT68" i="22"/>
  <c r="BT115" i="22"/>
  <c r="BT109" i="22"/>
  <c r="BT103" i="22"/>
  <c r="BT97" i="22"/>
  <c r="BT91" i="22"/>
  <c r="BT85" i="22"/>
  <c r="BT79" i="22"/>
  <c r="BT73" i="22"/>
  <c r="BT67" i="22"/>
  <c r="BT66" i="22"/>
  <c r="BT114" i="22"/>
  <c r="BT108" i="22"/>
  <c r="BT102" i="22"/>
  <c r="BT96" i="22"/>
  <c r="BT90" i="22"/>
  <c r="BT84" i="22"/>
  <c r="BT78" i="22"/>
  <c r="BT72" i="22"/>
  <c r="BM117" i="22"/>
  <c r="BM111" i="22"/>
  <c r="BM105" i="22"/>
  <c r="BM99" i="22"/>
  <c r="BM93" i="22"/>
  <c r="BM87" i="22"/>
  <c r="BM81" i="22"/>
  <c r="BM75" i="22"/>
  <c r="BM69" i="22"/>
  <c r="BM116" i="22"/>
  <c r="BM110" i="22"/>
  <c r="BM104" i="22"/>
  <c r="BM98" i="22"/>
  <c r="BM92" i="22"/>
  <c r="BM86" i="22"/>
  <c r="BM80" i="22"/>
  <c r="BM74" i="22"/>
  <c r="BM68" i="22"/>
  <c r="BM115" i="22"/>
  <c r="BM109" i="22"/>
  <c r="BM103" i="22"/>
  <c r="BM97" i="22"/>
  <c r="BM91" i="22"/>
  <c r="BM85" i="22"/>
  <c r="BM79" i="22"/>
  <c r="BM73" i="22"/>
  <c r="BM67" i="22"/>
  <c r="BM66" i="22"/>
  <c r="BM114" i="22"/>
  <c r="BM108" i="22"/>
  <c r="BM102" i="22"/>
  <c r="BM96" i="22"/>
  <c r="BM90" i="22"/>
  <c r="BM84" i="22"/>
  <c r="BM78" i="22"/>
  <c r="BM72" i="22"/>
  <c r="BF118" i="22"/>
  <c r="BF112" i="22"/>
  <c r="BF106" i="22"/>
  <c r="BF100" i="22"/>
  <c r="BF94" i="22"/>
  <c r="BF88" i="22"/>
  <c r="BF82" i="22"/>
  <c r="BF76" i="22"/>
  <c r="BF70" i="22"/>
  <c r="BF117" i="22"/>
  <c r="BF111" i="22"/>
  <c r="BF105" i="22"/>
  <c r="BF99" i="22"/>
  <c r="BF93" i="22"/>
  <c r="BF87" i="22"/>
  <c r="BF81" i="22"/>
  <c r="BF75" i="22"/>
  <c r="BF69" i="22"/>
  <c r="BF116" i="22"/>
  <c r="BF110" i="22"/>
  <c r="BF104" i="22"/>
  <c r="BF98" i="22"/>
  <c r="BF92" i="22"/>
  <c r="BF86" i="22"/>
  <c r="BF80" i="22"/>
  <c r="BF74" i="22"/>
  <c r="BF68" i="22"/>
  <c r="BF115" i="22"/>
  <c r="BF109" i="22"/>
  <c r="BF103" i="22"/>
  <c r="BF97" i="22"/>
  <c r="BF91" i="22"/>
  <c r="BF85" i="22"/>
  <c r="BF79" i="22"/>
  <c r="BF73" i="22"/>
  <c r="BF67" i="22"/>
  <c r="BF66" i="22"/>
  <c r="BF114" i="22"/>
  <c r="BF108" i="22"/>
  <c r="BF102" i="22"/>
  <c r="BF96" i="22"/>
  <c r="BF90" i="22"/>
  <c r="BF84" i="22"/>
  <c r="BF78" i="22"/>
  <c r="BF72" i="22"/>
  <c r="AY66" i="22"/>
  <c r="AR72" i="22"/>
  <c r="AR69" i="22"/>
  <c r="AR68" i="22"/>
  <c r="AR67" i="22"/>
  <c r="AR66" i="22"/>
  <c r="CA119" i="22" l="1"/>
  <c r="BT119" i="22"/>
  <c r="BM119" i="22"/>
  <c r="BF119" i="22"/>
  <c r="AK66" i="22"/>
  <c r="AK114" i="22"/>
  <c r="AK108" i="22"/>
  <c r="AK102" i="22"/>
  <c r="AK96" i="22"/>
  <c r="AK90" i="22"/>
  <c r="AK84" i="22"/>
  <c r="AK78" i="22"/>
  <c r="AK72" i="22"/>
  <c r="AK118" i="22"/>
  <c r="AK112" i="22"/>
  <c r="AK106" i="22"/>
  <c r="AK100" i="22"/>
  <c r="AK94" i="22"/>
  <c r="AK88" i="22"/>
  <c r="AK82" i="22"/>
  <c r="AK76" i="22"/>
  <c r="AK70" i="22"/>
  <c r="AK117" i="22"/>
  <c r="AK111" i="22"/>
  <c r="AK105" i="22"/>
  <c r="AK99" i="22"/>
  <c r="AK93" i="22"/>
  <c r="AK87" i="22"/>
  <c r="AK81" i="22"/>
  <c r="AK75" i="22"/>
  <c r="AK69" i="22"/>
  <c r="AK116" i="22"/>
  <c r="AK110" i="22"/>
  <c r="AK104" i="22"/>
  <c r="AK98" i="22"/>
  <c r="AK92" i="22"/>
  <c r="AK86" i="22"/>
  <c r="AK80" i="22"/>
  <c r="AK74" i="22"/>
  <c r="AK68" i="22"/>
  <c r="AK115" i="22"/>
  <c r="AK109" i="22"/>
  <c r="AK103" i="22"/>
  <c r="AK97" i="22"/>
  <c r="AK91" i="22"/>
  <c r="AK85" i="22"/>
  <c r="AK79" i="22"/>
  <c r="AK73" i="22"/>
  <c r="AK67" i="22"/>
  <c r="AD118" i="22"/>
  <c r="CI118" i="22" s="1"/>
  <c r="AD112" i="22"/>
  <c r="AD106" i="22"/>
  <c r="AD100" i="22"/>
  <c r="CI100" i="22" s="1"/>
  <c r="AD94" i="22"/>
  <c r="AD88" i="22"/>
  <c r="AD82" i="22"/>
  <c r="AD76" i="22"/>
  <c r="AD70" i="22"/>
  <c r="AD117" i="22"/>
  <c r="AD111" i="22"/>
  <c r="AD105" i="22"/>
  <c r="AD99" i="22"/>
  <c r="AD93" i="22"/>
  <c r="AD87" i="22"/>
  <c r="AD81" i="22"/>
  <c r="AD75" i="22"/>
  <c r="AD69" i="22"/>
  <c r="AD116" i="22"/>
  <c r="AD110" i="22"/>
  <c r="AD104" i="22"/>
  <c r="AD98" i="22"/>
  <c r="AD92" i="22"/>
  <c r="AD86" i="22"/>
  <c r="AD80" i="22"/>
  <c r="AD74" i="22"/>
  <c r="AD68" i="22"/>
  <c r="AD115" i="22"/>
  <c r="AD109" i="22"/>
  <c r="AD103" i="22"/>
  <c r="AD97" i="22"/>
  <c r="AD91" i="22"/>
  <c r="AD85" i="22"/>
  <c r="AD79" i="22"/>
  <c r="AD73" i="22"/>
  <c r="AD67" i="22"/>
  <c r="AD66" i="22"/>
  <c r="AD114" i="22"/>
  <c r="AD108" i="22"/>
  <c r="AD102" i="22"/>
  <c r="AD96" i="22"/>
  <c r="AD90" i="22"/>
  <c r="AD84" i="22"/>
  <c r="AD78" i="22"/>
  <c r="AD72" i="22"/>
  <c r="W117" i="22"/>
  <c r="W111" i="22"/>
  <c r="W105" i="22"/>
  <c r="W99" i="22"/>
  <c r="W93" i="22"/>
  <c r="W87" i="22"/>
  <c r="W81" i="22"/>
  <c r="W75" i="22"/>
  <c r="W69" i="22"/>
  <c r="W116" i="22"/>
  <c r="W110" i="22"/>
  <c r="W104" i="22"/>
  <c r="W98" i="22"/>
  <c r="W92" i="22"/>
  <c r="W86" i="22"/>
  <c r="W80" i="22"/>
  <c r="W74" i="22"/>
  <c r="W68" i="22"/>
  <c r="W115" i="22"/>
  <c r="W109" i="22"/>
  <c r="W103" i="22"/>
  <c r="W97" i="22"/>
  <c r="W91" i="22"/>
  <c r="W85" i="22"/>
  <c r="W79" i="22"/>
  <c r="W73" i="22"/>
  <c r="W67" i="22"/>
  <c r="W66" i="22"/>
  <c r="W114" i="22"/>
  <c r="W108" i="22"/>
  <c r="W102" i="22"/>
  <c r="W96" i="22"/>
  <c r="W90" i="22"/>
  <c r="W84" i="22"/>
  <c r="W78" i="22"/>
  <c r="W72" i="22"/>
  <c r="P70" i="22"/>
  <c r="P117" i="22"/>
  <c r="P111" i="22"/>
  <c r="P105" i="22"/>
  <c r="P99" i="22"/>
  <c r="P93" i="22"/>
  <c r="P87" i="22"/>
  <c r="P81" i="22"/>
  <c r="P75" i="22"/>
  <c r="P69" i="22"/>
  <c r="P116" i="22"/>
  <c r="P110" i="22"/>
  <c r="P104" i="22"/>
  <c r="P98" i="22"/>
  <c r="P92" i="22"/>
  <c r="P86" i="22"/>
  <c r="P80" i="22"/>
  <c r="P74" i="22"/>
  <c r="P68" i="22"/>
  <c r="P115" i="22"/>
  <c r="P109" i="22"/>
  <c r="P103" i="22"/>
  <c r="P97" i="22"/>
  <c r="P91" i="22"/>
  <c r="P85" i="22"/>
  <c r="P79" i="22"/>
  <c r="P73" i="22"/>
  <c r="P67" i="22"/>
  <c r="P66" i="22"/>
  <c r="P114" i="22"/>
  <c r="P108" i="22"/>
  <c r="P102" i="22"/>
  <c r="P96" i="22"/>
  <c r="P90" i="22"/>
  <c r="P84" i="22"/>
  <c r="P78" i="22"/>
  <c r="P72" i="22"/>
  <c r="I117" i="22"/>
  <c r="I111" i="22"/>
  <c r="I105" i="22"/>
  <c r="I99" i="22"/>
  <c r="I93" i="22"/>
  <c r="I87" i="22"/>
  <c r="I81" i="22"/>
  <c r="I75" i="22"/>
  <c r="I69" i="22"/>
  <c r="I68" i="22"/>
  <c r="I116" i="22"/>
  <c r="I110" i="22"/>
  <c r="I104" i="22"/>
  <c r="I98" i="22"/>
  <c r="I92" i="22"/>
  <c r="I86" i="22"/>
  <c r="I80" i="22"/>
  <c r="I74" i="22"/>
  <c r="I67" i="22"/>
  <c r="I115" i="22"/>
  <c r="I109" i="22"/>
  <c r="I103" i="22"/>
  <c r="I97" i="22"/>
  <c r="I91" i="22"/>
  <c r="I85" i="22"/>
  <c r="I79" i="22"/>
  <c r="I73" i="22"/>
  <c r="I66" i="22"/>
  <c r="I114" i="22"/>
  <c r="I108" i="22"/>
  <c r="I102" i="22"/>
  <c r="I96" i="22"/>
  <c r="I90" i="22"/>
  <c r="I84" i="22"/>
  <c r="I78" i="22"/>
  <c r="I72" i="22"/>
  <c r="B66" i="22"/>
  <c r="E38" i="22"/>
  <c r="E37" i="22"/>
  <c r="AG37" i="22"/>
  <c r="AN37" i="22"/>
  <c r="AU37" i="22"/>
  <c r="BB37" i="22"/>
  <c r="BI37" i="22"/>
  <c r="BP37" i="22"/>
  <c r="BW37" i="22"/>
  <c r="CD37" i="22"/>
  <c r="CD49" i="22"/>
  <c r="CD48" i="22"/>
  <c r="CD47" i="22"/>
  <c r="CD46" i="22"/>
  <c r="CD45" i="22"/>
  <c r="CD44" i="22"/>
  <c r="CD42" i="22"/>
  <c r="CD41" i="22"/>
  <c r="CD40" i="22"/>
  <c r="CD39" i="22"/>
  <c r="CD38" i="22"/>
  <c r="BW49" i="22"/>
  <c r="BW48" i="22"/>
  <c r="BW47" i="22"/>
  <c r="BW46" i="22"/>
  <c r="BW45" i="22"/>
  <c r="BW44" i="22"/>
  <c r="BW42" i="22"/>
  <c r="BW41" i="22"/>
  <c r="BW40" i="22"/>
  <c r="BW39" i="22"/>
  <c r="BW38" i="22"/>
  <c r="BP38" i="22"/>
  <c r="BP49" i="22"/>
  <c r="BP48" i="22"/>
  <c r="BP47" i="22"/>
  <c r="BP46" i="22"/>
  <c r="BP45" i="22"/>
  <c r="BP44" i="22"/>
  <c r="BP42" i="22"/>
  <c r="BP41" i="22"/>
  <c r="BP40" i="22"/>
  <c r="BP39" i="22"/>
  <c r="BI49" i="22"/>
  <c r="BI48" i="22"/>
  <c r="BI47" i="22"/>
  <c r="BI46" i="22"/>
  <c r="BI45" i="22"/>
  <c r="BI44" i="22"/>
  <c r="BI42" i="22"/>
  <c r="BI41" i="22"/>
  <c r="BI40" i="22"/>
  <c r="BI39" i="22"/>
  <c r="BI38" i="22"/>
  <c r="BB49" i="22"/>
  <c r="BB48" i="22"/>
  <c r="BB47" i="22"/>
  <c r="BB46" i="22"/>
  <c r="BB45" i="22"/>
  <c r="BB44" i="22"/>
  <c r="BB42" i="22"/>
  <c r="BB41" i="22"/>
  <c r="BB40" i="22"/>
  <c r="BB39" i="22"/>
  <c r="BB38" i="22"/>
  <c r="AU49" i="22"/>
  <c r="AU48" i="22"/>
  <c r="AU47" i="22"/>
  <c r="AU46" i="22"/>
  <c r="AU45" i="22"/>
  <c r="AU44" i="22"/>
  <c r="AU42" i="22"/>
  <c r="AU41" i="22"/>
  <c r="AU40" i="22"/>
  <c r="AU39" i="22"/>
  <c r="AU38" i="22"/>
  <c r="AN49" i="22"/>
  <c r="AN48" i="22"/>
  <c r="AN47" i="22"/>
  <c r="AN46" i="22"/>
  <c r="AN45" i="22"/>
  <c r="AN44" i="22"/>
  <c r="AN42" i="22"/>
  <c r="AN41" i="22"/>
  <c r="AN40" i="22"/>
  <c r="AN39" i="22"/>
  <c r="AN38" i="22"/>
  <c r="AG38" i="22"/>
  <c r="AG49" i="22"/>
  <c r="AG48" i="22"/>
  <c r="AG47" i="22"/>
  <c r="AG46" i="22"/>
  <c r="AG45" i="22"/>
  <c r="AG44" i="22"/>
  <c r="AG42" i="22"/>
  <c r="AG41" i="22"/>
  <c r="AG40" i="22"/>
  <c r="AG39" i="22"/>
  <c r="Z37" i="22"/>
  <c r="Z49" i="22"/>
  <c r="Z48" i="22"/>
  <c r="Z47" i="22"/>
  <c r="Z46" i="22"/>
  <c r="Z45" i="22"/>
  <c r="Z44" i="22"/>
  <c r="Z42" i="22"/>
  <c r="Z41" i="22"/>
  <c r="Z40" i="22"/>
  <c r="Z39" i="22"/>
  <c r="Z38" i="22"/>
  <c r="AD119" i="22" l="1"/>
  <c r="P119" i="22"/>
  <c r="I120" i="22"/>
  <c r="CI70" i="22"/>
  <c r="CI76" i="22"/>
  <c r="CI66" i="22"/>
  <c r="CI106" i="22"/>
  <c r="CI112" i="22"/>
  <c r="W119" i="22"/>
  <c r="AK119" i="22"/>
  <c r="CI82" i="22"/>
  <c r="CI88" i="22"/>
  <c r="CI94" i="22"/>
  <c r="CD50" i="22"/>
  <c r="CD51" i="22" s="1"/>
  <c r="AG50" i="22"/>
  <c r="AG51" i="22" s="1"/>
  <c r="AN50" i="22"/>
  <c r="AN51" i="22" s="1"/>
  <c r="AU50" i="22"/>
  <c r="BI50" i="22"/>
  <c r="BI51" i="22" s="1"/>
  <c r="BP50" i="22"/>
  <c r="BP51" i="22" s="1"/>
  <c r="BW50" i="22"/>
  <c r="BW51" i="22" s="1"/>
  <c r="Z50" i="22"/>
  <c r="BB50" i="22"/>
  <c r="S49" i="22"/>
  <c r="S48" i="22"/>
  <c r="S47" i="22"/>
  <c r="S46" i="22"/>
  <c r="S45" i="22"/>
  <c r="S44" i="22"/>
  <c r="S42" i="22"/>
  <c r="S41" i="22"/>
  <c r="S40" i="22"/>
  <c r="S39" i="22"/>
  <c r="S38" i="22"/>
  <c r="S37" i="22"/>
  <c r="L49" i="22"/>
  <c r="L48" i="22"/>
  <c r="L47" i="22"/>
  <c r="L46" i="22"/>
  <c r="L45" i="22"/>
  <c r="L44" i="22"/>
  <c r="L42" i="22"/>
  <c r="L41" i="22"/>
  <c r="L40" i="22"/>
  <c r="L39" i="22"/>
  <c r="L38" i="22"/>
  <c r="L37" i="22"/>
  <c r="I56" i="22"/>
  <c r="I55" i="22"/>
  <c r="I54" i="22"/>
  <c r="I53" i="22"/>
  <c r="AY117" i="22"/>
  <c r="AY116" i="22"/>
  <c r="AY115" i="22"/>
  <c r="AY114" i="22"/>
  <c r="AY111" i="22"/>
  <c r="AY110" i="22"/>
  <c r="AY109" i="22"/>
  <c r="AY108" i="22"/>
  <c r="AY105" i="22"/>
  <c r="AY104" i="22"/>
  <c r="AY103" i="22"/>
  <c r="AY102" i="22"/>
  <c r="AY99" i="22"/>
  <c r="AY98" i="22"/>
  <c r="AY97" i="22"/>
  <c r="AY96" i="22"/>
  <c r="AY93" i="22"/>
  <c r="AY92" i="22"/>
  <c r="AY91" i="22"/>
  <c r="AY90" i="22"/>
  <c r="AY87" i="22"/>
  <c r="AY86" i="22"/>
  <c r="AY85" i="22"/>
  <c r="AY84" i="22"/>
  <c r="AY81" i="22"/>
  <c r="AY80" i="22"/>
  <c r="AY79" i="22"/>
  <c r="AY78" i="22"/>
  <c r="AY75" i="22"/>
  <c r="AY74" i="22"/>
  <c r="AY73" i="22"/>
  <c r="AY72" i="22"/>
  <c r="AY69" i="22"/>
  <c r="AY68" i="22"/>
  <c r="AY67" i="22"/>
  <c r="AR117" i="22"/>
  <c r="AR116" i="22"/>
  <c r="AR115" i="22"/>
  <c r="AR114" i="22"/>
  <c r="AR111" i="22"/>
  <c r="AR110" i="22"/>
  <c r="AR109" i="22"/>
  <c r="AR108" i="22"/>
  <c r="AR105" i="22"/>
  <c r="AR104" i="22"/>
  <c r="AR103" i="22"/>
  <c r="AR102" i="22"/>
  <c r="AR99" i="22"/>
  <c r="AR98" i="22"/>
  <c r="AR97" i="22"/>
  <c r="AR96" i="22"/>
  <c r="AR93" i="22"/>
  <c r="AR92" i="22"/>
  <c r="AR91" i="22"/>
  <c r="AR90" i="22"/>
  <c r="AR87" i="22"/>
  <c r="AR86" i="22"/>
  <c r="AR85" i="22"/>
  <c r="AR84" i="22"/>
  <c r="AR81" i="22"/>
  <c r="AR80" i="22"/>
  <c r="AR79" i="22"/>
  <c r="AR78" i="22"/>
  <c r="AR75" i="22"/>
  <c r="AR74" i="22"/>
  <c r="AR73" i="22"/>
  <c r="B117" i="22"/>
  <c r="B116" i="22"/>
  <c r="B115" i="22"/>
  <c r="B114" i="22"/>
  <c r="B111" i="22"/>
  <c r="B110" i="22"/>
  <c r="B109" i="22"/>
  <c r="B108" i="22"/>
  <c r="B105" i="22"/>
  <c r="B104" i="22"/>
  <c r="B103" i="22"/>
  <c r="B102" i="22"/>
  <c r="B99" i="22"/>
  <c r="B98" i="22"/>
  <c r="B97" i="22"/>
  <c r="B96" i="22"/>
  <c r="B93" i="22"/>
  <c r="B92" i="22"/>
  <c r="B91" i="22"/>
  <c r="B90" i="22"/>
  <c r="B87" i="22"/>
  <c r="B86" i="22"/>
  <c r="B85" i="22"/>
  <c r="B84" i="22"/>
  <c r="B81" i="22"/>
  <c r="B80" i="22"/>
  <c r="B79" i="22"/>
  <c r="B78" i="22"/>
  <c r="B75" i="22"/>
  <c r="B74" i="22"/>
  <c r="B73" i="22"/>
  <c r="B72" i="22"/>
  <c r="B69" i="22"/>
  <c r="B68" i="22"/>
  <c r="B67" i="22"/>
  <c r="B56" i="22"/>
  <c r="B55" i="22"/>
  <c r="B54" i="22"/>
  <c r="B53" i="22"/>
  <c r="E40" i="22"/>
  <c r="E39" i="22"/>
  <c r="CI103" i="22" l="1"/>
  <c r="CI115" i="22"/>
  <c r="CI91" i="22"/>
  <c r="CI116" i="22"/>
  <c r="CI117" i="22"/>
  <c r="CI79" i="22"/>
  <c r="AY119" i="22"/>
  <c r="BB51" i="22" s="1"/>
  <c r="AR119" i="22"/>
  <c r="AU51" i="22" s="1"/>
  <c r="B120" i="22"/>
  <c r="CI87" i="22"/>
  <c r="CI75" i="22"/>
  <c r="CI99" i="22"/>
  <c r="CI111" i="22"/>
  <c r="CI68" i="22"/>
  <c r="CI73" i="22"/>
  <c r="CI85" i="22"/>
  <c r="CI97" i="22"/>
  <c r="CI109" i="22"/>
  <c r="CI74" i="22"/>
  <c r="CI86" i="22"/>
  <c r="CI98" i="22"/>
  <c r="CI110" i="22"/>
  <c r="CI67" i="22"/>
  <c r="CI69" i="22"/>
  <c r="CI81" i="22"/>
  <c r="CI93" i="22"/>
  <c r="CI105" i="22"/>
  <c r="Z51" i="22"/>
  <c r="CI78" i="22"/>
  <c r="CI90" i="22"/>
  <c r="CI102" i="22"/>
  <c r="CI114" i="22"/>
  <c r="CI80" i="22"/>
  <c r="CI92" i="22"/>
  <c r="CI104" i="22"/>
  <c r="CI72" i="22"/>
  <c r="CI84" i="22"/>
  <c r="CI96" i="22"/>
  <c r="CI108" i="22"/>
  <c r="S50" i="22"/>
  <c r="S51" i="22" s="1"/>
  <c r="L50" i="22"/>
  <c r="L51" i="22" s="1"/>
  <c r="A1" i="41"/>
  <c r="E47" i="22"/>
  <c r="AO76" i="41"/>
  <c r="BL76" i="41" s="1"/>
  <c r="AO77" i="41"/>
  <c r="BL77" i="41" s="1"/>
  <c r="AO78" i="41"/>
  <c r="BL78" i="41" s="1"/>
  <c r="AO79" i="41"/>
  <c r="BL79" i="41" s="1"/>
  <c r="A10" i="41"/>
  <c r="B10" i="41" l="1"/>
  <c r="CK120" i="22"/>
  <c r="CI119" i="22"/>
  <c r="CJ30" i="22" s="1"/>
  <c r="A11" i="41"/>
  <c r="B11" i="41" s="1"/>
  <c r="CJ32" i="22"/>
  <c r="CI11" i="41" l="1"/>
  <c r="CJ11" i="41"/>
  <c r="CK11" i="41"/>
  <c r="CL11" i="41"/>
  <c r="CM11" i="41"/>
  <c r="CQ11" i="41"/>
  <c r="CI10" i="41"/>
  <c r="CK10" i="41"/>
  <c r="CM10" i="41"/>
  <c r="CL10" i="41"/>
  <c r="CJ10" i="41"/>
  <c r="CQ10" i="41"/>
  <c r="AZ10" i="41"/>
  <c r="AY10" i="41"/>
  <c r="AX10" i="41"/>
  <c r="AW10" i="41"/>
  <c r="AV10" i="41"/>
  <c r="CO10" i="41"/>
  <c r="CN10" i="41"/>
  <c r="CW10" i="41"/>
  <c r="CV10" i="41"/>
  <c r="CU10" i="41"/>
  <c r="CT10" i="41"/>
  <c r="CR10" i="41"/>
  <c r="CS10" i="41"/>
  <c r="CD10" i="41"/>
  <c r="CH10" i="41"/>
  <c r="CE10" i="41"/>
  <c r="CF10" i="41"/>
  <c r="CP10" i="41"/>
  <c r="CV11" i="41"/>
  <c r="CN11" i="41"/>
  <c r="CW11" i="41"/>
  <c r="CO11" i="41"/>
  <c r="CP11" i="41"/>
  <c r="CD11" i="41"/>
  <c r="CR11" i="41"/>
  <c r="CE11" i="41"/>
  <c r="CS11" i="41"/>
  <c r="CF11" i="41"/>
  <c r="CT11" i="41"/>
  <c r="CU11" i="41"/>
  <c r="CH11" i="41"/>
  <c r="AJ10" i="41"/>
  <c r="AH10" i="41"/>
  <c r="AG10" i="41"/>
  <c r="AK10" i="41"/>
  <c r="AI10" i="41"/>
  <c r="AI11" i="41"/>
  <c r="AJ11" i="41"/>
  <c r="AH11" i="41"/>
  <c r="AG11" i="41"/>
  <c r="AK11" i="41"/>
  <c r="A12" i="41"/>
  <c r="BZ11" i="41"/>
  <c r="BT11" i="41"/>
  <c r="BQ11" i="41"/>
  <c r="BM11" i="41"/>
  <c r="BU11" i="41"/>
  <c r="BN11" i="41"/>
  <c r="BH11" i="41"/>
  <c r="BG11" i="41"/>
  <c r="BV11" i="41"/>
  <c r="BR11" i="41"/>
  <c r="BI11" i="41"/>
  <c r="BL11" i="41"/>
  <c r="BW11" i="41"/>
  <c r="BO11" i="41"/>
  <c r="BJ11" i="41"/>
  <c r="BX11" i="41"/>
  <c r="BS11" i="41"/>
  <c r="BK11" i="41"/>
  <c r="BY11" i="41"/>
  <c r="BP11" i="41"/>
  <c r="BW10" i="41"/>
  <c r="BR10" i="41"/>
  <c r="BV10" i="41"/>
  <c r="BH10" i="41"/>
  <c r="BN10" i="41"/>
  <c r="BO10" i="41"/>
  <c r="BI10" i="41"/>
  <c r="BG10" i="41"/>
  <c r="BS10" i="41"/>
  <c r="BJ10" i="41"/>
  <c r="BP10" i="41"/>
  <c r="BK10" i="41"/>
  <c r="BZ10" i="41"/>
  <c r="BT10" i="41"/>
  <c r="BY10" i="41"/>
  <c r="BQ10" i="41"/>
  <c r="BM10" i="41"/>
  <c r="BX10" i="41"/>
  <c r="BU10" i="41"/>
  <c r="BL10" i="4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10" i="41"/>
  <c r="BA10" i="41" l="1"/>
  <c r="CX11" i="41"/>
  <c r="P11" i="41" s="1"/>
  <c r="CX10" i="41"/>
  <c r="P10" i="41" s="1"/>
  <c r="CA10" i="41"/>
  <c r="O10" i="41" s="1"/>
  <c r="Z10" i="41" s="1"/>
  <c r="CA11" i="41"/>
  <c r="O11" i="41" s="1"/>
  <c r="BA11" i="41"/>
  <c r="A13" i="41"/>
  <c r="B12" i="41"/>
  <c r="BB11" i="41"/>
  <c r="BB10" i="41"/>
  <c r="CI12" i="41" l="1"/>
  <c r="CK12" i="41"/>
  <c r="CL12" i="41"/>
  <c r="CM12" i="41"/>
  <c r="CJ12" i="41"/>
  <c r="CQ12" i="41"/>
  <c r="CR12" i="41"/>
  <c r="CS12" i="41"/>
  <c r="CT12" i="41"/>
  <c r="CU12" i="41"/>
  <c r="CV12" i="41"/>
  <c r="CN12" i="41"/>
  <c r="CD12" i="41"/>
  <c r="CW12" i="41"/>
  <c r="CO12" i="41"/>
  <c r="CE12" i="41"/>
  <c r="CP12" i="41"/>
  <c r="CF12" i="41"/>
  <c r="CH12" i="41"/>
  <c r="N11" i="41"/>
  <c r="Q11" i="41" s="1"/>
  <c r="AJ12" i="41"/>
  <c r="AH12" i="41"/>
  <c r="AG12" i="41"/>
  <c r="AK12" i="41"/>
  <c r="N10" i="41"/>
  <c r="BM12" i="41"/>
  <c r="BR12" i="41"/>
  <c r="BX12" i="41"/>
  <c r="BI12" i="41"/>
  <c r="AU12" i="41"/>
  <c r="AY12" i="41"/>
  <c r="BP12" i="41"/>
  <c r="BU12" i="41"/>
  <c r="BO12" i="41"/>
  <c r="AM12" i="41"/>
  <c r="AQ12" i="41"/>
  <c r="BV12" i="41"/>
  <c r="BY12" i="41"/>
  <c r="BJ12" i="41"/>
  <c r="AW12" i="41"/>
  <c r="AT12" i="41"/>
  <c r="AI12" i="41"/>
  <c r="BT12" i="41"/>
  <c r="BN12" i="41"/>
  <c r="BS12" i="41"/>
  <c r="AO12" i="41"/>
  <c r="AL12" i="41"/>
  <c r="AX12" i="41"/>
  <c r="BL12" i="41"/>
  <c r="BH12" i="41"/>
  <c r="BK12" i="41"/>
  <c r="AS12" i="41"/>
  <c r="AP12" i="41"/>
  <c r="BW12" i="41"/>
  <c r="BG12" i="41"/>
  <c r="AV12" i="41"/>
  <c r="AZ12" i="41"/>
  <c r="D12" i="41"/>
  <c r="BQ12" i="41"/>
  <c r="BZ12" i="41"/>
  <c r="AN12" i="41"/>
  <c r="AR12" i="41"/>
  <c r="A14" i="41"/>
  <c r="B13" i="41"/>
  <c r="CI13" i="41" l="1"/>
  <c r="CJ13" i="41"/>
  <c r="CK13" i="41"/>
  <c r="CL13" i="41"/>
  <c r="CM13" i="41"/>
  <c r="CQ13" i="41"/>
  <c r="CX12" i="41"/>
  <c r="P12" i="41" s="1"/>
  <c r="Y10" i="41"/>
  <c r="Q10" i="41"/>
  <c r="CA12" i="41"/>
  <c r="O12" i="41" s="1"/>
  <c r="CT13" i="41"/>
  <c r="CE13" i="41"/>
  <c r="CU13" i="41"/>
  <c r="CV13" i="41"/>
  <c r="CN13" i="41"/>
  <c r="CW13" i="41"/>
  <c r="CO13" i="41"/>
  <c r="CH13" i="41"/>
  <c r="CP13" i="41"/>
  <c r="CR13" i="41"/>
  <c r="CS13" i="41"/>
  <c r="CD13" i="41"/>
  <c r="CF13" i="41"/>
  <c r="BA12" i="41"/>
  <c r="N12" i="41" s="1"/>
  <c r="Y12" i="41" s="1"/>
  <c r="AJ13" i="41"/>
  <c r="AH13" i="41"/>
  <c r="AG13" i="41"/>
  <c r="AK13" i="41"/>
  <c r="BY13" i="41"/>
  <c r="BN13" i="41"/>
  <c r="BO13" i="41"/>
  <c r="AY13" i="41"/>
  <c r="AO13" i="41"/>
  <c r="BP13" i="41"/>
  <c r="BH13" i="41"/>
  <c r="BJ13" i="41"/>
  <c r="AQ13" i="41"/>
  <c r="AW13" i="41"/>
  <c r="BZ13" i="41"/>
  <c r="BG13" i="41"/>
  <c r="AI13" i="41"/>
  <c r="AN13" i="41"/>
  <c r="D13" i="41"/>
  <c r="BT13" i="41"/>
  <c r="BK13" i="41"/>
  <c r="AV13" i="41"/>
  <c r="AU13" i="41"/>
  <c r="BL13" i="41"/>
  <c r="BV13" i="41"/>
  <c r="AX13" i="41"/>
  <c r="AM13" i="41"/>
  <c r="BQ13" i="41"/>
  <c r="BR13" i="41"/>
  <c r="AZ13" i="41"/>
  <c r="AP13" i="41"/>
  <c r="AT13" i="41"/>
  <c r="AS13" i="41"/>
  <c r="BX13" i="41"/>
  <c r="BM13" i="41"/>
  <c r="BI13" i="41"/>
  <c r="AR13" i="41"/>
  <c r="AL13" i="41"/>
  <c r="BS13" i="41"/>
  <c r="BU13" i="41"/>
  <c r="BW13" i="41"/>
  <c r="A15" i="41"/>
  <c r="B14" i="41"/>
  <c r="BB12" i="41"/>
  <c r="CI14" i="41" l="1"/>
  <c r="CK14" i="41"/>
  <c r="CL14" i="41"/>
  <c r="CM14" i="41"/>
  <c r="CJ14" i="41"/>
  <c r="CQ14" i="41"/>
  <c r="CX13" i="41"/>
  <c r="P13" i="41" s="1"/>
  <c r="Q12" i="41"/>
  <c r="CW14" i="41"/>
  <c r="CO14" i="41"/>
  <c r="CP14" i="41"/>
  <c r="CE14" i="41"/>
  <c r="CR14" i="41"/>
  <c r="CF14" i="41"/>
  <c r="CS14" i="41"/>
  <c r="CT14" i="41"/>
  <c r="CH14" i="41"/>
  <c r="CU14" i="41"/>
  <c r="CV14" i="41"/>
  <c r="CN14" i="41"/>
  <c r="CD14" i="41"/>
  <c r="CA13" i="41"/>
  <c r="O13" i="41" s="1"/>
  <c r="BA13" i="41"/>
  <c r="AJ14" i="41"/>
  <c r="AH14" i="41"/>
  <c r="AG14" i="41"/>
  <c r="BT14" i="41"/>
  <c r="BN14" i="41"/>
  <c r="AZ14" i="41"/>
  <c r="AW14" i="41"/>
  <c r="D14" i="41"/>
  <c r="BL14" i="41"/>
  <c r="BH14" i="41"/>
  <c r="AU14" i="41"/>
  <c r="AR14" i="41"/>
  <c r="AO14" i="41"/>
  <c r="BW14" i="41"/>
  <c r="BG14" i="41"/>
  <c r="AM14" i="41"/>
  <c r="BO14" i="41"/>
  <c r="BQ14" i="41"/>
  <c r="BZ14" i="41"/>
  <c r="AY14" i="41"/>
  <c r="AQ14" i="41"/>
  <c r="AV14" i="41"/>
  <c r="BS14" i="41"/>
  <c r="BM14" i="41"/>
  <c r="BR14" i="41"/>
  <c r="AT14" i="41"/>
  <c r="AI14" i="41"/>
  <c r="AN14" i="41"/>
  <c r="BK14" i="41"/>
  <c r="BX14" i="41"/>
  <c r="BI14" i="41"/>
  <c r="AL14" i="41"/>
  <c r="AX14" i="41"/>
  <c r="BP14" i="41"/>
  <c r="BU14" i="41"/>
  <c r="BJ14" i="41"/>
  <c r="AS14" i="41"/>
  <c r="AP14" i="41"/>
  <c r="BV14" i="41"/>
  <c r="BY14" i="41"/>
  <c r="AK14" i="41"/>
  <c r="A16" i="41"/>
  <c r="B15" i="41"/>
  <c r="BB13" i="41"/>
  <c r="CI15" i="41" l="1"/>
  <c r="CJ15" i="41"/>
  <c r="CK15" i="41"/>
  <c r="CL15" i="41"/>
  <c r="CM15" i="41"/>
  <c r="CQ15" i="41"/>
  <c r="CX14" i="41"/>
  <c r="P14" i="41" s="1"/>
  <c r="CR15" i="41"/>
  <c r="CS15" i="41"/>
  <c r="CT15" i="41"/>
  <c r="CU15" i="41"/>
  <c r="CD15" i="41"/>
  <c r="CV15" i="41"/>
  <c r="CN15" i="41"/>
  <c r="CE15" i="41"/>
  <c r="CW15" i="41"/>
  <c r="CO15" i="41"/>
  <c r="CF15" i="41"/>
  <c r="CP15" i="41"/>
  <c r="CH15" i="41"/>
  <c r="N13" i="41"/>
  <c r="Q13" i="41" s="1"/>
  <c r="CA14" i="41"/>
  <c r="O14" i="41" s="1"/>
  <c r="BA14" i="41"/>
  <c r="N14" i="41" s="1"/>
  <c r="AJ15" i="41"/>
  <c r="AH15" i="41"/>
  <c r="AG15" i="41"/>
  <c r="BR15" i="41"/>
  <c r="BY15" i="41"/>
  <c r="BN15" i="41"/>
  <c r="AS15" i="41"/>
  <c r="AQ15" i="41"/>
  <c r="BW15" i="41"/>
  <c r="BP15" i="41"/>
  <c r="BH15" i="41"/>
  <c r="AW15" i="41"/>
  <c r="AT15" i="41"/>
  <c r="AI15" i="41"/>
  <c r="AP15" i="41"/>
  <c r="BO15" i="41"/>
  <c r="BZ15" i="41"/>
  <c r="BG15" i="41"/>
  <c r="AO15" i="41"/>
  <c r="AL15" i="41"/>
  <c r="AX15" i="41"/>
  <c r="BJ15" i="41"/>
  <c r="BT15" i="41"/>
  <c r="AK15" i="41"/>
  <c r="BI15" i="41"/>
  <c r="BL15" i="41"/>
  <c r="AV15" i="41"/>
  <c r="AZ15" i="41"/>
  <c r="BX15" i="41"/>
  <c r="BQ15" i="41"/>
  <c r="AN15" i="41"/>
  <c r="AR15" i="41"/>
  <c r="D15" i="41"/>
  <c r="BS15" i="41"/>
  <c r="BM15" i="41"/>
  <c r="AU15" i="41"/>
  <c r="BV15" i="41"/>
  <c r="BK15" i="41"/>
  <c r="BU15" i="41"/>
  <c r="AM15" i="41"/>
  <c r="AY15" i="41"/>
  <c r="BB14" i="41"/>
  <c r="B16" i="41"/>
  <c r="A17" i="41"/>
  <c r="CI16" i="41" l="1"/>
  <c r="CK16" i="41"/>
  <c r="CL16" i="41"/>
  <c r="CM16" i="41"/>
  <c r="CJ16" i="41"/>
  <c r="CQ16" i="41"/>
  <c r="CX15" i="41"/>
  <c r="P15" i="41" s="1"/>
  <c r="Q14" i="41"/>
  <c r="CU16" i="41"/>
  <c r="CV16" i="41"/>
  <c r="CN16" i="41"/>
  <c r="CW16" i="41"/>
  <c r="CO16" i="41"/>
  <c r="CP16" i="41"/>
  <c r="CR16" i="41"/>
  <c r="CD16" i="41"/>
  <c r="CS16" i="41"/>
  <c r="CE16" i="41"/>
  <c r="CT16" i="41"/>
  <c r="CF16" i="41"/>
  <c r="CH16" i="41"/>
  <c r="CA15" i="41"/>
  <c r="O15" i="41" s="1"/>
  <c r="Z15" i="41" s="1"/>
  <c r="BA15" i="41"/>
  <c r="N15" i="41" s="1"/>
  <c r="AJ16" i="41"/>
  <c r="AH16" i="41"/>
  <c r="AG16" i="41"/>
  <c r="A18" i="41"/>
  <c r="B17" i="41"/>
  <c r="BY16" i="41"/>
  <c r="BK16" i="41"/>
  <c r="BQ16" i="41"/>
  <c r="AR16" i="41"/>
  <c r="AK16" i="41"/>
  <c r="AN16" i="41"/>
  <c r="D16" i="41"/>
  <c r="AL16" i="41"/>
  <c r="BZ16" i="41"/>
  <c r="BH16" i="41"/>
  <c r="BM16" i="41"/>
  <c r="AY16" i="41"/>
  <c r="AX16" i="41"/>
  <c r="AT16" i="41"/>
  <c r="BR16" i="41"/>
  <c r="BP16" i="41"/>
  <c r="BX16" i="41"/>
  <c r="AQ16" i="41"/>
  <c r="BI16" i="41"/>
  <c r="BV16" i="41"/>
  <c r="BU16" i="41"/>
  <c r="AS16" i="41"/>
  <c r="AW16" i="41"/>
  <c r="AO16" i="41"/>
  <c r="BO16" i="41"/>
  <c r="BT16" i="41"/>
  <c r="AI16" i="41"/>
  <c r="AM16" i="41"/>
  <c r="BL16" i="41"/>
  <c r="AV16" i="41"/>
  <c r="AU16" i="41"/>
  <c r="BJ16" i="41"/>
  <c r="AP16" i="41"/>
  <c r="BN16" i="41"/>
  <c r="BG16" i="41"/>
  <c r="BS16" i="41"/>
  <c r="BW16" i="41"/>
  <c r="AZ16" i="41"/>
  <c r="BB15" i="41"/>
  <c r="CI17" i="41" l="1"/>
  <c r="CJ17" i="41"/>
  <c r="CK17" i="41"/>
  <c r="CL17" i="41"/>
  <c r="CM17" i="41"/>
  <c r="CQ17" i="41"/>
  <c r="CX16" i="41"/>
  <c r="P16" i="41" s="1"/>
  <c r="Q15" i="41"/>
  <c r="CA16" i="41"/>
  <c r="O16" i="41" s="1"/>
  <c r="Z16" i="41" s="1"/>
  <c r="CP17" i="41"/>
  <c r="CE17" i="41"/>
  <c r="CR17" i="41"/>
  <c r="CS17" i="41"/>
  <c r="CH17" i="41"/>
  <c r="CT17" i="41"/>
  <c r="CU17" i="41"/>
  <c r="CV17" i="41"/>
  <c r="CN17" i="41"/>
  <c r="CW17" i="41"/>
  <c r="CO17" i="41"/>
  <c r="CD17" i="41"/>
  <c r="CF17" i="41"/>
  <c r="BA16" i="41"/>
  <c r="N16" i="41" s="1"/>
  <c r="AG17" i="41"/>
  <c r="AH17" i="41"/>
  <c r="AJ17" i="41"/>
  <c r="BI17" i="41"/>
  <c r="BP17" i="41"/>
  <c r="AY17" i="41"/>
  <c r="AU17" i="41"/>
  <c r="AP17" i="41"/>
  <c r="D17" i="41"/>
  <c r="AM17" i="41"/>
  <c r="BW17" i="41"/>
  <c r="BZ17" i="41"/>
  <c r="AO17" i="41"/>
  <c r="AI17" i="41"/>
  <c r="AQ17" i="41"/>
  <c r="AZ17" i="41"/>
  <c r="BU17" i="41"/>
  <c r="BO17" i="41"/>
  <c r="BT17" i="41"/>
  <c r="AX17" i="41"/>
  <c r="BN17" i="41"/>
  <c r="BJ17" i="41"/>
  <c r="BL17" i="41"/>
  <c r="AN17" i="41"/>
  <c r="AR17" i="41"/>
  <c r="AL17" i="41"/>
  <c r="BH17" i="41"/>
  <c r="BX17" i="41"/>
  <c r="BQ17" i="41"/>
  <c r="AT17" i="41"/>
  <c r="AW17" i="41"/>
  <c r="BG17" i="41"/>
  <c r="BS17" i="41"/>
  <c r="BM17" i="41"/>
  <c r="BV17" i="41"/>
  <c r="BK17" i="41"/>
  <c r="AS17" i="41"/>
  <c r="AV17" i="41"/>
  <c r="BR17" i="41"/>
  <c r="BY17" i="41"/>
  <c r="AK17" i="41"/>
  <c r="A19" i="41"/>
  <c r="B18" i="41"/>
  <c r="BB16" i="41"/>
  <c r="CI18" i="41" l="1"/>
  <c r="CK18" i="41"/>
  <c r="CL18" i="41"/>
  <c r="CM18" i="41"/>
  <c r="CJ18" i="41"/>
  <c r="CQ18" i="41"/>
  <c r="CX17" i="41"/>
  <c r="P17" i="41" s="1"/>
  <c r="Q16" i="41"/>
  <c r="Y16" i="41"/>
  <c r="CS18" i="41"/>
  <c r="CT18" i="41"/>
  <c r="CU18" i="41"/>
  <c r="CE18" i="41"/>
  <c r="CV18" i="41"/>
  <c r="CN18" i="41"/>
  <c r="CF18" i="41"/>
  <c r="CW18" i="41"/>
  <c r="CO18" i="41"/>
  <c r="CP18" i="41"/>
  <c r="CH18" i="41"/>
  <c r="CR18" i="41"/>
  <c r="CD18" i="41"/>
  <c r="CA17" i="41"/>
  <c r="O17" i="41" s="1"/>
  <c r="BA17" i="41"/>
  <c r="AJ18" i="41"/>
  <c r="AG18" i="41"/>
  <c r="BB17" i="41"/>
  <c r="BY18" i="41"/>
  <c r="BJ18" i="41"/>
  <c r="AS18" i="41"/>
  <c r="AY18" i="41"/>
  <c r="BN18" i="41"/>
  <c r="BS18" i="41"/>
  <c r="AI18" i="41"/>
  <c r="AO18" i="41"/>
  <c r="BH18" i="41"/>
  <c r="BK18" i="41"/>
  <c r="AU18" i="41"/>
  <c r="AR18" i="41"/>
  <c r="AX18" i="41"/>
  <c r="BG18" i="41"/>
  <c r="BM18" i="41"/>
  <c r="AM18" i="41"/>
  <c r="AH18" i="41"/>
  <c r="AN18" i="41"/>
  <c r="D18" i="41"/>
  <c r="AZ18" i="41"/>
  <c r="BW18" i="41"/>
  <c r="BZ18" i="41"/>
  <c r="BP18" i="41"/>
  <c r="AT18" i="41"/>
  <c r="AQ18" i="41"/>
  <c r="AW18" i="41"/>
  <c r="AL18" i="41"/>
  <c r="BQ18" i="41"/>
  <c r="BR18" i="41"/>
  <c r="BV18" i="41"/>
  <c r="AK18" i="41"/>
  <c r="BX18" i="41"/>
  <c r="BI18" i="41"/>
  <c r="BT18" i="41"/>
  <c r="AV18" i="41"/>
  <c r="BU18" i="41"/>
  <c r="BO18" i="41"/>
  <c r="BL18" i="41"/>
  <c r="AP18" i="41"/>
  <c r="B19" i="41"/>
  <c r="A20" i="41"/>
  <c r="CI19" i="41" l="1"/>
  <c r="CJ19" i="41"/>
  <c r="CK19" i="41"/>
  <c r="CL19" i="41"/>
  <c r="CM19" i="41"/>
  <c r="CQ19" i="41"/>
  <c r="CX18" i="41"/>
  <c r="P18" i="41" s="1"/>
  <c r="CV19" i="41"/>
  <c r="CN19" i="41"/>
  <c r="CW19" i="41"/>
  <c r="CO19" i="41"/>
  <c r="CP19" i="41"/>
  <c r="CD19" i="41"/>
  <c r="CR19" i="41"/>
  <c r="CE19" i="41"/>
  <c r="CS19" i="41"/>
  <c r="CF19" i="41"/>
  <c r="CT19" i="41"/>
  <c r="CU19" i="41"/>
  <c r="CH19" i="41"/>
  <c r="N17" i="41"/>
  <c r="Q17" i="41" s="1"/>
  <c r="CA18" i="41"/>
  <c r="O18" i="41" s="1"/>
  <c r="BA18" i="41"/>
  <c r="AJ19" i="41"/>
  <c r="AG19" i="41"/>
  <c r="BB18" i="41"/>
  <c r="B20" i="41"/>
  <c r="A21" i="41"/>
  <c r="BU19" i="41"/>
  <c r="BO19" i="41"/>
  <c r="AH19" i="41"/>
  <c r="AU19" i="41"/>
  <c r="BX19" i="41"/>
  <c r="AZ19" i="41"/>
  <c r="BN19" i="41"/>
  <c r="BJ19" i="41"/>
  <c r="AQ19" i="41"/>
  <c r="AK19" i="41"/>
  <c r="AT19" i="41"/>
  <c r="AY19" i="41"/>
  <c r="BH19" i="41"/>
  <c r="AW19" i="41"/>
  <c r="BG19" i="41"/>
  <c r="BS19" i="41"/>
  <c r="AO19" i="41"/>
  <c r="AP19" i="41"/>
  <c r="BZ19" i="41"/>
  <c r="BV19" i="41"/>
  <c r="BK19" i="41"/>
  <c r="AS19" i="41"/>
  <c r="BT19" i="41"/>
  <c r="BR19" i="41"/>
  <c r="BL19" i="41"/>
  <c r="AV19" i="41"/>
  <c r="AM19" i="41"/>
  <c r="AI19" i="41"/>
  <c r="AX19" i="41"/>
  <c r="BQ19" i="41"/>
  <c r="BI19" i="41"/>
  <c r="BY19" i="41"/>
  <c r="AN19" i="41"/>
  <c r="BM19" i="41"/>
  <c r="BW19" i="41"/>
  <c r="BP19" i="41"/>
  <c r="AR19" i="41"/>
  <c r="AL19" i="41"/>
  <c r="D19" i="41"/>
  <c r="CI20" i="41" l="1"/>
  <c r="CK20" i="41"/>
  <c r="CL20" i="41"/>
  <c r="CM20" i="41"/>
  <c r="CJ20" i="41"/>
  <c r="CQ20" i="41"/>
  <c r="CX19" i="41"/>
  <c r="P19" i="41" s="1"/>
  <c r="Y17" i="41"/>
  <c r="N18" i="41"/>
  <c r="Q18" i="41" s="1"/>
  <c r="CR20" i="41"/>
  <c r="CS20" i="41"/>
  <c r="CT20" i="41"/>
  <c r="CU20" i="41"/>
  <c r="CV20" i="41"/>
  <c r="CN20" i="41"/>
  <c r="CD20" i="41"/>
  <c r="CW20" i="41"/>
  <c r="CO20" i="41"/>
  <c r="CE20" i="41"/>
  <c r="CP20" i="41"/>
  <c r="CF20" i="41"/>
  <c r="CH20" i="41"/>
  <c r="CA19" i="41"/>
  <c r="BA19" i="41"/>
  <c r="AG20" i="41"/>
  <c r="A22" i="41"/>
  <c r="B21" i="41"/>
  <c r="BL20" i="41"/>
  <c r="BH20" i="41"/>
  <c r="BK20" i="41"/>
  <c r="AH20" i="41"/>
  <c r="AK20" i="41"/>
  <c r="AV20" i="41"/>
  <c r="AO20" i="41"/>
  <c r="BW20" i="41"/>
  <c r="BG20" i="41"/>
  <c r="AZ20" i="41"/>
  <c r="AT20" i="41"/>
  <c r="AJ20" i="41"/>
  <c r="AI20" i="41"/>
  <c r="AL20" i="41"/>
  <c r="BQ20" i="41"/>
  <c r="BZ20" i="41"/>
  <c r="AN20" i="41"/>
  <c r="BM20" i="41"/>
  <c r="BR20" i="41"/>
  <c r="AY20" i="41"/>
  <c r="AW20" i="41"/>
  <c r="AS20" i="41"/>
  <c r="AM20" i="41"/>
  <c r="AR20" i="41"/>
  <c r="BX20" i="41"/>
  <c r="BI20" i="41"/>
  <c r="AQ20" i="41"/>
  <c r="AX20" i="41"/>
  <c r="BP20" i="41"/>
  <c r="BU20" i="41"/>
  <c r="BO20" i="41"/>
  <c r="D20" i="41"/>
  <c r="BV20" i="41"/>
  <c r="BY20" i="41"/>
  <c r="BJ20" i="41"/>
  <c r="BT20" i="41"/>
  <c r="BN20" i="41"/>
  <c r="BS20" i="41"/>
  <c r="AP20" i="41"/>
  <c r="AU20" i="41"/>
  <c r="BB19" i="41"/>
  <c r="CI57" i="22"/>
  <c r="CI58" i="22" s="1"/>
  <c r="CI59" i="22" s="1"/>
  <c r="CI60" i="22" s="1"/>
  <c r="CI51" i="22"/>
  <c r="CI52" i="22" s="1"/>
  <c r="CI53" i="22" s="1"/>
  <c r="CI54" i="22" s="1"/>
  <c r="CI45" i="22"/>
  <c r="CI46" i="22" s="1"/>
  <c r="CI47" i="22" s="1"/>
  <c r="CI48" i="22" s="1"/>
  <c r="CI38" i="22"/>
  <c r="CI39" i="22" s="1"/>
  <c r="CI21" i="41" l="1"/>
  <c r="CJ21" i="41"/>
  <c r="CK21" i="41"/>
  <c r="CL21" i="41"/>
  <c r="CM21" i="41"/>
  <c r="CQ21" i="41"/>
  <c r="CX20" i="41"/>
  <c r="P20" i="41" s="1"/>
  <c r="Y18" i="41"/>
  <c r="N19" i="41"/>
  <c r="CT21" i="41"/>
  <c r="CE21" i="41"/>
  <c r="CU21" i="41"/>
  <c r="CV21" i="41"/>
  <c r="CN21" i="41"/>
  <c r="CW21" i="41"/>
  <c r="CO21" i="41"/>
  <c r="CH21" i="41"/>
  <c r="CP21" i="41"/>
  <c r="CR21" i="41"/>
  <c r="CS21" i="41"/>
  <c r="CD21" i="41"/>
  <c r="CF21" i="41"/>
  <c r="CA20" i="41"/>
  <c r="O20" i="41" s="1"/>
  <c r="O19" i="41"/>
  <c r="BA20" i="41"/>
  <c r="N20" i="41" s="1"/>
  <c r="AG21" i="41"/>
  <c r="BB20" i="41"/>
  <c r="BP21" i="41"/>
  <c r="BN21" i="41"/>
  <c r="BJ21" i="41"/>
  <c r="AK21" i="41"/>
  <c r="AM21" i="41"/>
  <c r="AO21" i="41"/>
  <c r="AX21" i="41"/>
  <c r="AH21" i="41"/>
  <c r="BI21" i="41"/>
  <c r="BW21" i="41"/>
  <c r="BK21" i="41"/>
  <c r="BH21" i="41"/>
  <c r="AZ21" i="41"/>
  <c r="AT21" i="41"/>
  <c r="AU21" i="41"/>
  <c r="BZ21" i="41"/>
  <c r="BG21" i="41"/>
  <c r="AR21" i="41"/>
  <c r="AL21" i="41"/>
  <c r="D21" i="41"/>
  <c r="BT21" i="41"/>
  <c r="BV21" i="41"/>
  <c r="AJ21" i="41"/>
  <c r="AW21" i="41"/>
  <c r="AQ21" i="41"/>
  <c r="BL21" i="41"/>
  <c r="BR21" i="41"/>
  <c r="AY21" i="41"/>
  <c r="AP21" i="41"/>
  <c r="BX21" i="41"/>
  <c r="BQ21" i="41"/>
  <c r="AV21" i="41"/>
  <c r="AN21" i="41"/>
  <c r="BS21" i="41"/>
  <c r="BM21" i="41"/>
  <c r="AI21" i="41"/>
  <c r="BY21" i="41"/>
  <c r="BU21" i="41"/>
  <c r="BO21" i="41"/>
  <c r="AS21" i="41"/>
  <c r="A23" i="41"/>
  <c r="B22" i="41"/>
  <c r="CI40" i="22"/>
  <c r="CI22" i="41" l="1"/>
  <c r="CK22" i="41"/>
  <c r="CL22" i="41"/>
  <c r="CM22" i="41"/>
  <c r="CJ22" i="41"/>
  <c r="CQ22" i="41"/>
  <c r="CX21" i="41"/>
  <c r="P21" i="41" s="1"/>
  <c r="Q20" i="41"/>
  <c r="Q19" i="41"/>
  <c r="CW22" i="41"/>
  <c r="CO22" i="41"/>
  <c r="CP22" i="41"/>
  <c r="CE22" i="41"/>
  <c r="CR22" i="41"/>
  <c r="CF22" i="41"/>
  <c r="CS22" i="41"/>
  <c r="CT22" i="41"/>
  <c r="CH22" i="41"/>
  <c r="CU22" i="41"/>
  <c r="CV22" i="41"/>
  <c r="CN22" i="41"/>
  <c r="CD22" i="41"/>
  <c r="CA21" i="41"/>
  <c r="BA21" i="41"/>
  <c r="AG22" i="41"/>
  <c r="BT22" i="41"/>
  <c r="BY22" i="41"/>
  <c r="AL22" i="41"/>
  <c r="AI22" i="41"/>
  <c r="AW22" i="41"/>
  <c r="D22" i="41"/>
  <c r="BL22" i="41"/>
  <c r="BN22" i="41"/>
  <c r="AS22" i="41"/>
  <c r="AX22" i="41"/>
  <c r="AH22" i="41"/>
  <c r="AP22" i="41"/>
  <c r="AM22" i="41"/>
  <c r="BJ22" i="41"/>
  <c r="BH22" i="41"/>
  <c r="AK22" i="41"/>
  <c r="BO22" i="41"/>
  <c r="BW22" i="41"/>
  <c r="BG22" i="41"/>
  <c r="AV22" i="41"/>
  <c r="AJ22" i="41"/>
  <c r="BS22" i="41"/>
  <c r="BQ22" i="41"/>
  <c r="BZ22" i="41"/>
  <c r="AN22" i="41"/>
  <c r="AO22" i="41"/>
  <c r="AQ22" i="41"/>
  <c r="BK22" i="41"/>
  <c r="BM22" i="41"/>
  <c r="BR22" i="41"/>
  <c r="AU22" i="41"/>
  <c r="AZ22" i="41"/>
  <c r="AR22" i="41"/>
  <c r="BP22" i="41"/>
  <c r="BX22" i="41"/>
  <c r="BI22" i="41"/>
  <c r="BV22" i="41"/>
  <c r="BU22" i="41"/>
  <c r="AT22" i="41"/>
  <c r="AY22" i="41"/>
  <c r="BB21" i="41"/>
  <c r="A24" i="41"/>
  <c r="B23" i="41"/>
  <c r="CI41" i="22"/>
  <c r="CI23" i="41" l="1"/>
  <c r="CJ23" i="41"/>
  <c r="CK23" i="41"/>
  <c r="CL23" i="41"/>
  <c r="CM23" i="41"/>
  <c r="CQ23" i="41"/>
  <c r="CX22" i="41"/>
  <c r="P22" i="41" s="1"/>
  <c r="CR23" i="41"/>
  <c r="CS23" i="41"/>
  <c r="CT23" i="41"/>
  <c r="CU23" i="41"/>
  <c r="CD23" i="41"/>
  <c r="CV23" i="41"/>
  <c r="CN23" i="41"/>
  <c r="CE23" i="41"/>
  <c r="CW23" i="41"/>
  <c r="CO23" i="41"/>
  <c r="CF23" i="41"/>
  <c r="CP23" i="41"/>
  <c r="CH23" i="41"/>
  <c r="N21" i="41"/>
  <c r="CA22" i="41"/>
  <c r="O22" i="41" s="1"/>
  <c r="O21" i="41"/>
  <c r="BA22" i="41"/>
  <c r="N22" i="41" s="1"/>
  <c r="Y22" i="41" s="1"/>
  <c r="AG23" i="41"/>
  <c r="A25" i="41"/>
  <c r="B24" i="41"/>
  <c r="BB22" i="41"/>
  <c r="BX23" i="41"/>
  <c r="BL23" i="41"/>
  <c r="AN23" i="41"/>
  <c r="AJ23" i="41"/>
  <c r="AI23" i="41"/>
  <c r="BS23" i="41"/>
  <c r="BQ23" i="41"/>
  <c r="AX23" i="41"/>
  <c r="AU23" i="41"/>
  <c r="AY23" i="41"/>
  <c r="AM23" i="41"/>
  <c r="D23" i="41"/>
  <c r="AV23" i="41"/>
  <c r="BK23" i="41"/>
  <c r="BM23" i="41"/>
  <c r="AP23" i="41"/>
  <c r="AK23" i="41"/>
  <c r="BV23" i="41"/>
  <c r="BI23" i="41"/>
  <c r="BU23" i="41"/>
  <c r="AH23" i="41"/>
  <c r="AR23" i="41"/>
  <c r="AT23" i="41"/>
  <c r="AQ23" i="41"/>
  <c r="BR23" i="41"/>
  <c r="BY23" i="41"/>
  <c r="BN23" i="41"/>
  <c r="AW23" i="41"/>
  <c r="AS23" i="41"/>
  <c r="AO23" i="41"/>
  <c r="AZ23" i="41"/>
  <c r="BW23" i="41"/>
  <c r="BP23" i="41"/>
  <c r="BH23" i="41"/>
  <c r="AL23" i="41"/>
  <c r="BO23" i="41"/>
  <c r="BZ23" i="41"/>
  <c r="BG23" i="41"/>
  <c r="BJ23" i="41"/>
  <c r="BT23" i="41"/>
  <c r="CI24" i="41" l="1"/>
  <c r="CK24" i="41"/>
  <c r="CL24" i="41"/>
  <c r="CM24" i="41"/>
  <c r="CJ24" i="41"/>
  <c r="CQ24" i="41"/>
  <c r="CX23" i="41"/>
  <c r="P23" i="41" s="1"/>
  <c r="Q22" i="41"/>
  <c r="Q21" i="41"/>
  <c r="CU24" i="41"/>
  <c r="CV24" i="41"/>
  <c r="CN24" i="41"/>
  <c r="CW24" i="41"/>
  <c r="CO24" i="41"/>
  <c r="CP24" i="41"/>
  <c r="CR24" i="41"/>
  <c r="CD24" i="41"/>
  <c r="CS24" i="41"/>
  <c r="CT24" i="41"/>
  <c r="CH24" i="41"/>
  <c r="CE24" i="41"/>
  <c r="CF24" i="41"/>
  <c r="CA23" i="41"/>
  <c r="BA23" i="41"/>
  <c r="N23" i="41" s="1"/>
  <c r="Y23" i="41" s="1"/>
  <c r="BB23" i="41"/>
  <c r="BO24" i="41"/>
  <c r="BW24" i="41"/>
  <c r="AZ24" i="41"/>
  <c r="AP24" i="41"/>
  <c r="BJ24" i="41"/>
  <c r="BQ24" i="41"/>
  <c r="AR24" i="41"/>
  <c r="AO24" i="41"/>
  <c r="BS24" i="41"/>
  <c r="BM24" i="41"/>
  <c r="AJ24" i="41"/>
  <c r="AN24" i="41"/>
  <c r="AH24" i="41"/>
  <c r="BK24" i="41"/>
  <c r="BN24" i="41"/>
  <c r="AY24" i="41"/>
  <c r="AM24" i="41"/>
  <c r="BY24" i="41"/>
  <c r="BP24" i="41"/>
  <c r="BH24" i="41"/>
  <c r="AT24" i="41"/>
  <c r="AQ24" i="41"/>
  <c r="AX24" i="41"/>
  <c r="BZ24" i="41"/>
  <c r="BV24" i="41"/>
  <c r="BX24" i="41"/>
  <c r="AL24" i="41"/>
  <c r="AI24" i="41"/>
  <c r="D24" i="41"/>
  <c r="BR24" i="41"/>
  <c r="BT24" i="41"/>
  <c r="BU24" i="41"/>
  <c r="AS24" i="41"/>
  <c r="AV24" i="41"/>
  <c r="AW24" i="41"/>
  <c r="BI24" i="41"/>
  <c r="BL24" i="41"/>
  <c r="BG24" i="41"/>
  <c r="AK24" i="41"/>
  <c r="AU24" i="41"/>
  <c r="AG24" i="41"/>
  <c r="B25" i="41"/>
  <c r="A26" i="41"/>
  <c r="CI25" i="41" l="1"/>
  <c r="CJ25" i="41"/>
  <c r="CK25" i="41"/>
  <c r="CL25" i="41"/>
  <c r="CM25" i="41"/>
  <c r="CQ25" i="41"/>
  <c r="CX24" i="41"/>
  <c r="P24" i="41" s="1"/>
  <c r="CP25" i="41"/>
  <c r="CE25" i="41"/>
  <c r="CR25" i="41"/>
  <c r="CS25" i="41"/>
  <c r="CH25" i="41"/>
  <c r="CT25" i="41"/>
  <c r="CU25" i="41"/>
  <c r="CV25" i="41"/>
  <c r="CN25" i="41"/>
  <c r="CW25" i="41"/>
  <c r="CO25" i="41"/>
  <c r="CD25" i="41"/>
  <c r="CF25" i="41"/>
  <c r="CA24" i="41"/>
  <c r="O24" i="41" s="1"/>
  <c r="O23" i="41"/>
  <c r="Q23" i="41" s="1"/>
  <c r="BA24" i="41"/>
  <c r="BB24" i="41"/>
  <c r="B26" i="41"/>
  <c r="A27" i="41"/>
  <c r="BR25" i="41"/>
  <c r="BY25" i="41"/>
  <c r="AL25" i="41"/>
  <c r="AR25" i="41"/>
  <c r="AO25" i="41"/>
  <c r="BI25" i="41"/>
  <c r="BP25" i="41"/>
  <c r="AS25" i="41"/>
  <c r="AQ25" i="41"/>
  <c r="D25" i="41"/>
  <c r="AY25" i="41"/>
  <c r="AW25" i="41"/>
  <c r="AT25" i="41"/>
  <c r="BW25" i="41"/>
  <c r="BZ25" i="41"/>
  <c r="AK25" i="41"/>
  <c r="AP25" i="41"/>
  <c r="AJ25" i="41"/>
  <c r="AI25" i="41"/>
  <c r="BU25" i="41"/>
  <c r="BO25" i="41"/>
  <c r="BT25" i="41"/>
  <c r="AV25" i="41"/>
  <c r="AX25" i="41"/>
  <c r="BK25" i="41"/>
  <c r="BN25" i="41"/>
  <c r="BJ25" i="41"/>
  <c r="BL25" i="41"/>
  <c r="AN25" i="41"/>
  <c r="BH25" i="41"/>
  <c r="BX25" i="41"/>
  <c r="BQ25" i="41"/>
  <c r="AU25" i="41"/>
  <c r="AH25" i="41"/>
  <c r="AZ25" i="41"/>
  <c r="BV25" i="41"/>
  <c r="BG25" i="41"/>
  <c r="BS25" i="41"/>
  <c r="BM25" i="41"/>
  <c r="AM25" i="41"/>
  <c r="AG25" i="41"/>
  <c r="CI26" i="41" l="1"/>
  <c r="CK26" i="41"/>
  <c r="CL26" i="41"/>
  <c r="CM26" i="41"/>
  <c r="CJ26" i="41"/>
  <c r="CQ26" i="41"/>
  <c r="CX25" i="41"/>
  <c r="P25" i="41" s="1"/>
  <c r="CS26" i="41"/>
  <c r="CT26" i="41"/>
  <c r="CU26" i="41"/>
  <c r="CE26" i="41"/>
  <c r="CV26" i="41"/>
  <c r="CN26" i="41"/>
  <c r="CF26" i="41"/>
  <c r="CW26" i="41"/>
  <c r="CO26" i="41"/>
  <c r="CP26" i="41"/>
  <c r="CH26" i="41"/>
  <c r="CR26" i="41"/>
  <c r="CD26" i="41"/>
  <c r="N24" i="41"/>
  <c r="Q24" i="41" s="1"/>
  <c r="CA25" i="41"/>
  <c r="BA25" i="41"/>
  <c r="N25" i="41" s="1"/>
  <c r="A28" i="41"/>
  <c r="B27" i="41"/>
  <c r="BH26" i="41"/>
  <c r="BS26" i="41"/>
  <c r="AY26" i="41"/>
  <c r="AW26" i="41"/>
  <c r="AR26" i="41"/>
  <c r="BG26" i="41"/>
  <c r="BK26" i="41"/>
  <c r="AQ26" i="41"/>
  <c r="AN26" i="41"/>
  <c r="AI26" i="41"/>
  <c r="AU26" i="41"/>
  <c r="BW26" i="41"/>
  <c r="BM26" i="41"/>
  <c r="BP26" i="41"/>
  <c r="AX26" i="41"/>
  <c r="AV26" i="41"/>
  <c r="AT26" i="41"/>
  <c r="D26" i="41"/>
  <c r="BR26" i="41"/>
  <c r="BQ26" i="41"/>
  <c r="BZ26" i="41"/>
  <c r="BV26" i="41"/>
  <c r="AP26" i="41"/>
  <c r="AM26" i="41"/>
  <c r="AK26" i="41"/>
  <c r="BT26" i="41"/>
  <c r="BX26" i="41"/>
  <c r="AH26" i="41"/>
  <c r="BU26" i="41"/>
  <c r="BI26" i="41"/>
  <c r="BL26" i="41"/>
  <c r="AZ26" i="41"/>
  <c r="AL26" i="41"/>
  <c r="BY26" i="41"/>
  <c r="BO26" i="41"/>
  <c r="AO26" i="41"/>
  <c r="AS26" i="41"/>
  <c r="BN26" i="41"/>
  <c r="BJ26" i="41"/>
  <c r="AG26" i="41"/>
  <c r="AJ26" i="41"/>
  <c r="BB25" i="41"/>
  <c r="CI27" i="41" l="1"/>
  <c r="CJ27" i="41"/>
  <c r="CK27" i="41"/>
  <c r="CL27" i="41"/>
  <c r="CM27" i="41"/>
  <c r="CQ27" i="41"/>
  <c r="CX26" i="41"/>
  <c r="P26" i="41" s="1"/>
  <c r="Y25" i="41"/>
  <c r="CV27" i="41"/>
  <c r="CN27" i="41"/>
  <c r="CW27" i="41"/>
  <c r="CO27" i="41"/>
  <c r="CP27" i="41"/>
  <c r="CD27" i="41"/>
  <c r="CR27" i="41"/>
  <c r="CE27" i="41"/>
  <c r="CS27" i="41"/>
  <c r="CF27" i="41"/>
  <c r="CT27" i="41"/>
  <c r="CU27" i="41"/>
  <c r="CH27" i="41"/>
  <c r="CA26" i="41"/>
  <c r="O26" i="41" s="1"/>
  <c r="O25" i="41"/>
  <c r="Z25" i="41" s="1"/>
  <c r="Z41" i="41" s="1"/>
  <c r="BA26" i="41"/>
  <c r="BB26" i="41"/>
  <c r="BH27" i="41"/>
  <c r="BJ27" i="41"/>
  <c r="AM27" i="41"/>
  <c r="AV27" i="41"/>
  <c r="AH27" i="41"/>
  <c r="AP27" i="41"/>
  <c r="AR27" i="41"/>
  <c r="BG27" i="41"/>
  <c r="BX27" i="41"/>
  <c r="AT27" i="41"/>
  <c r="AQ27" i="41"/>
  <c r="AW27" i="41"/>
  <c r="BZ27" i="41"/>
  <c r="BL27" i="41"/>
  <c r="BS27" i="41"/>
  <c r="AL27" i="41"/>
  <c r="AG27" i="41"/>
  <c r="BT27" i="41"/>
  <c r="BV27" i="41"/>
  <c r="BK27" i="41"/>
  <c r="AS27" i="41"/>
  <c r="AO27" i="41"/>
  <c r="D27" i="41"/>
  <c r="AN27" i="41"/>
  <c r="BP27" i="41"/>
  <c r="AJ27" i="41"/>
  <c r="BQ27" i="41"/>
  <c r="BR27" i="41"/>
  <c r="BY27" i="41"/>
  <c r="AK27" i="41"/>
  <c r="AZ27" i="41"/>
  <c r="BM27" i="41"/>
  <c r="BI27" i="41"/>
  <c r="AY27" i="41"/>
  <c r="AX27" i="41"/>
  <c r="BU27" i="41"/>
  <c r="BW27" i="41"/>
  <c r="AI27" i="41"/>
  <c r="BN27" i="41"/>
  <c r="BO27" i="41"/>
  <c r="AU27" i="41"/>
  <c r="B28" i="41"/>
  <c r="A29" i="41"/>
  <c r="CI28" i="41" l="1"/>
  <c r="CK28" i="41"/>
  <c r="CL28" i="41"/>
  <c r="CM28" i="41"/>
  <c r="CJ28" i="41"/>
  <c r="CQ28" i="41"/>
  <c r="CX27" i="41"/>
  <c r="P27" i="41" s="1"/>
  <c r="Q25" i="41"/>
  <c r="CR28" i="41"/>
  <c r="CS28" i="41"/>
  <c r="CT28" i="41"/>
  <c r="CU28" i="41"/>
  <c r="CV28" i="41"/>
  <c r="CN28" i="41"/>
  <c r="CD28" i="41"/>
  <c r="CW28" i="41"/>
  <c r="CO28" i="41"/>
  <c r="CP28" i="41"/>
  <c r="CE28" i="41"/>
  <c r="CF28" i="41"/>
  <c r="CH28" i="41"/>
  <c r="N26" i="41"/>
  <c r="Q26" i="41" s="1"/>
  <c r="CA27" i="41"/>
  <c r="BA27" i="41"/>
  <c r="BB27" i="41"/>
  <c r="B29" i="41"/>
  <c r="A30" i="41"/>
  <c r="BM28" i="41"/>
  <c r="BR28" i="41"/>
  <c r="AW28" i="41"/>
  <c r="AL28" i="41"/>
  <c r="AZ28" i="41"/>
  <c r="BX28" i="41"/>
  <c r="BI28" i="41"/>
  <c r="AO28" i="41"/>
  <c r="AX28" i="41"/>
  <c r="AJ28" i="41"/>
  <c r="AI28" i="41"/>
  <c r="BP28" i="41"/>
  <c r="BU28" i="41"/>
  <c r="BO28" i="41"/>
  <c r="AG28" i="41"/>
  <c r="AH28" i="41"/>
  <c r="AY28" i="41"/>
  <c r="AS28" i="41"/>
  <c r="BT28" i="41"/>
  <c r="BN28" i="41"/>
  <c r="BS28" i="41"/>
  <c r="AN28" i="41"/>
  <c r="AR28" i="41"/>
  <c r="D28" i="41"/>
  <c r="AQ28" i="41"/>
  <c r="AP28" i="41"/>
  <c r="AV28" i="41"/>
  <c r="BL28" i="41"/>
  <c r="BH28" i="41"/>
  <c r="BK28" i="41"/>
  <c r="AU28" i="41"/>
  <c r="BJ28" i="41"/>
  <c r="BW28" i="41"/>
  <c r="BG28" i="41"/>
  <c r="AM28" i="41"/>
  <c r="BY28" i="41"/>
  <c r="BQ28" i="41"/>
  <c r="BZ28" i="41"/>
  <c r="AT28" i="41"/>
  <c r="AK28" i="41"/>
  <c r="BV28" i="41"/>
  <c r="CI29" i="41" l="1"/>
  <c r="CJ29" i="41"/>
  <c r="CK29" i="41"/>
  <c r="CL29" i="41"/>
  <c r="CM29" i="41"/>
  <c r="CQ29" i="41"/>
  <c r="CX28" i="41"/>
  <c r="P28" i="41" s="1"/>
  <c r="CT29" i="41"/>
  <c r="CE29" i="41"/>
  <c r="CU29" i="41"/>
  <c r="CV29" i="41"/>
  <c r="CN29" i="41"/>
  <c r="CW29" i="41"/>
  <c r="CO29" i="41"/>
  <c r="CH29" i="41"/>
  <c r="CP29" i="41"/>
  <c r="CR29" i="41"/>
  <c r="CS29" i="41"/>
  <c r="CD29" i="41"/>
  <c r="CF29" i="41"/>
  <c r="N27" i="41"/>
  <c r="Y27" i="41" s="1"/>
  <c r="CA28" i="41"/>
  <c r="O28" i="41" s="1"/>
  <c r="O27" i="41"/>
  <c r="BA28" i="41"/>
  <c r="N28" i="41" s="1"/>
  <c r="BB28" i="41"/>
  <c r="A31" i="41"/>
  <c r="B30" i="41"/>
  <c r="BL29" i="41"/>
  <c r="BV29" i="41"/>
  <c r="AQ29" i="41"/>
  <c r="AV29" i="41"/>
  <c r="AM29" i="41"/>
  <c r="BK29" i="41"/>
  <c r="BR29" i="41"/>
  <c r="AI29" i="41"/>
  <c r="AN29" i="41"/>
  <c r="AL29" i="41"/>
  <c r="AX29" i="41"/>
  <c r="AK29" i="41"/>
  <c r="BX29" i="41"/>
  <c r="BQ29" i="41"/>
  <c r="BI29" i="41"/>
  <c r="AZ29" i="41"/>
  <c r="AJ29" i="41"/>
  <c r="BY29" i="41"/>
  <c r="BU29" i="41"/>
  <c r="BO29" i="41"/>
  <c r="AH29" i="41"/>
  <c r="AU29" i="41"/>
  <c r="D29" i="41"/>
  <c r="BJ29" i="41"/>
  <c r="AT29" i="41"/>
  <c r="AS29" i="41"/>
  <c r="BM29" i="41"/>
  <c r="BP29" i="41"/>
  <c r="BN29" i="41"/>
  <c r="AW29" i="41"/>
  <c r="BS29" i="41"/>
  <c r="BZ29" i="41"/>
  <c r="BH29" i="41"/>
  <c r="AO29" i="41"/>
  <c r="AP29" i="41"/>
  <c r="BT29" i="41"/>
  <c r="BG29" i="41"/>
  <c r="AY29" i="41"/>
  <c r="AG29" i="41"/>
  <c r="AR29" i="41"/>
  <c r="BW29" i="41"/>
  <c r="CI30" i="41" l="1"/>
  <c r="CK30" i="41"/>
  <c r="CL30" i="41"/>
  <c r="CM30" i="41"/>
  <c r="CJ30" i="41"/>
  <c r="CQ30" i="41"/>
  <c r="CX29" i="41"/>
  <c r="P29" i="41" s="1"/>
  <c r="Q28" i="41"/>
  <c r="Q27" i="41"/>
  <c r="CW30" i="41"/>
  <c r="CO30" i="41"/>
  <c r="CP30" i="41"/>
  <c r="CE30" i="41"/>
  <c r="CR30" i="41"/>
  <c r="CF30" i="41"/>
  <c r="CS30" i="41"/>
  <c r="CT30" i="41"/>
  <c r="CU30" i="41"/>
  <c r="CV30" i="41"/>
  <c r="CN30" i="41"/>
  <c r="CD30" i="41"/>
  <c r="CH30" i="41"/>
  <c r="CA29" i="41"/>
  <c r="O29" i="41" s="1"/>
  <c r="BA29" i="41"/>
  <c r="N29" i="41" s="1"/>
  <c r="Y29" i="41" s="1"/>
  <c r="BB29" i="41"/>
  <c r="BW30" i="41"/>
  <c r="BH30" i="41"/>
  <c r="AZ30" i="41"/>
  <c r="AH30" i="41"/>
  <c r="AN30" i="41"/>
  <c r="AW30" i="41"/>
  <c r="BS30" i="41"/>
  <c r="BQ30" i="41"/>
  <c r="BJ30" i="41"/>
  <c r="AR30" i="41"/>
  <c r="AL30" i="41"/>
  <c r="AM30" i="41"/>
  <c r="AJ30" i="41"/>
  <c r="AQ30" i="41"/>
  <c r="BK30" i="41"/>
  <c r="BM30" i="41"/>
  <c r="BZ30" i="41"/>
  <c r="AV30" i="41"/>
  <c r="AT30" i="41"/>
  <c r="BP30" i="41"/>
  <c r="BO30" i="41"/>
  <c r="BR30" i="41"/>
  <c r="AY30" i="41"/>
  <c r="AG30" i="41"/>
  <c r="D30" i="41"/>
  <c r="BV30" i="41"/>
  <c r="BI30" i="41"/>
  <c r="BX30" i="41"/>
  <c r="BT30" i="41"/>
  <c r="BU30" i="41"/>
  <c r="AI30" i="41"/>
  <c r="AU30" i="41"/>
  <c r="BL30" i="41"/>
  <c r="BY30" i="41"/>
  <c r="AS30" i="41"/>
  <c r="AX30" i="41"/>
  <c r="BG30" i="41"/>
  <c r="BN30" i="41"/>
  <c r="AK30" i="41"/>
  <c r="AP30" i="41"/>
  <c r="AO30" i="41"/>
  <c r="A32" i="41"/>
  <c r="B31" i="41"/>
  <c r="CI31" i="41" l="1"/>
  <c r="CJ31" i="41"/>
  <c r="CK31" i="41"/>
  <c r="CL31" i="41"/>
  <c r="CM31" i="41"/>
  <c r="CQ31" i="41"/>
  <c r="CX30" i="41"/>
  <c r="P30" i="41" s="1"/>
  <c r="Q29" i="41"/>
  <c r="CR31" i="41"/>
  <c r="CS31" i="41"/>
  <c r="CT31" i="41"/>
  <c r="CU31" i="41"/>
  <c r="CD31" i="41"/>
  <c r="CV31" i="41"/>
  <c r="CN31" i="41"/>
  <c r="CE31" i="41"/>
  <c r="CW31" i="41"/>
  <c r="CO31" i="41"/>
  <c r="CP31" i="41"/>
  <c r="CF31" i="41"/>
  <c r="CH31" i="41"/>
  <c r="CA30" i="41"/>
  <c r="O30" i="41" s="1"/>
  <c r="BA30" i="41"/>
  <c r="BS31" i="41"/>
  <c r="BM31" i="41"/>
  <c r="AM31" i="41"/>
  <c r="AN31" i="41"/>
  <c r="AQ31" i="41"/>
  <c r="BI31" i="41"/>
  <c r="BK31" i="41"/>
  <c r="BU31" i="41"/>
  <c r="AT31" i="41"/>
  <c r="AY31" i="41"/>
  <c r="AP31" i="41"/>
  <c r="BV31" i="41"/>
  <c r="BY31" i="41"/>
  <c r="BN31" i="41"/>
  <c r="AL31" i="41"/>
  <c r="AI31" i="41"/>
  <c r="AO31" i="41"/>
  <c r="D31" i="41"/>
  <c r="AW31" i="41"/>
  <c r="BR31" i="41"/>
  <c r="BP31" i="41"/>
  <c r="BH31" i="41"/>
  <c r="AS31" i="41"/>
  <c r="AX31" i="41"/>
  <c r="AK31" i="41"/>
  <c r="AZ31" i="41"/>
  <c r="BW31" i="41"/>
  <c r="BZ31" i="41"/>
  <c r="BG31" i="41"/>
  <c r="AH31" i="41"/>
  <c r="AR31" i="41"/>
  <c r="BO31" i="41"/>
  <c r="BT31" i="41"/>
  <c r="BJ31" i="41"/>
  <c r="BL31" i="41"/>
  <c r="AG31" i="41"/>
  <c r="BX31" i="41"/>
  <c r="BQ31" i="41"/>
  <c r="AU31" i="41"/>
  <c r="AJ31" i="41"/>
  <c r="AV31" i="41"/>
  <c r="A33" i="41"/>
  <c r="B32" i="41"/>
  <c r="BB30" i="41"/>
  <c r="CI32" i="41" l="1"/>
  <c r="CK32" i="41"/>
  <c r="CL32" i="41"/>
  <c r="CM32" i="41"/>
  <c r="CJ32" i="41"/>
  <c r="CQ32" i="41"/>
  <c r="CX31" i="41"/>
  <c r="P31" i="41" s="1"/>
  <c r="N30" i="41"/>
  <c r="Q30" i="41" s="1"/>
  <c r="CU32" i="41"/>
  <c r="CV32" i="41"/>
  <c r="CW32" i="41"/>
  <c r="CO32" i="41"/>
  <c r="CP32" i="41"/>
  <c r="CR32" i="41"/>
  <c r="CS32" i="41"/>
  <c r="CT32" i="41"/>
  <c r="CN32" i="41"/>
  <c r="CF32" i="41"/>
  <c r="CH32" i="41"/>
  <c r="CD32" i="41"/>
  <c r="CE32" i="41"/>
  <c r="BA31" i="41"/>
  <c r="N31" i="41" s="1"/>
  <c r="CA31" i="41"/>
  <c r="O31" i="41" s="1"/>
  <c r="BB31" i="41"/>
  <c r="BJ32" i="41"/>
  <c r="BL32" i="41"/>
  <c r="AN32" i="41"/>
  <c r="AK32" i="41"/>
  <c r="AT32" i="41"/>
  <c r="BH32" i="41"/>
  <c r="BW32" i="41"/>
  <c r="AX32" i="41"/>
  <c r="AU32" i="41"/>
  <c r="AJ32" i="41"/>
  <c r="AM32" i="41"/>
  <c r="AH32" i="41"/>
  <c r="AG32" i="41"/>
  <c r="BS32" i="41"/>
  <c r="BQ32" i="41"/>
  <c r="AP32" i="41"/>
  <c r="AI32" i="41"/>
  <c r="AZ32" i="41"/>
  <c r="BY32" i="41"/>
  <c r="BK32" i="41"/>
  <c r="BM32" i="41"/>
  <c r="BZ32" i="41"/>
  <c r="BP32" i="41"/>
  <c r="BX32" i="41"/>
  <c r="AW32" i="41"/>
  <c r="AL32" i="41"/>
  <c r="AY32" i="41"/>
  <c r="D32" i="41"/>
  <c r="AO32" i="41"/>
  <c r="AR32" i="41"/>
  <c r="BR32" i="41"/>
  <c r="BG32" i="41"/>
  <c r="BU32" i="41"/>
  <c r="AS32" i="41"/>
  <c r="BI32" i="41"/>
  <c r="BV32" i="41"/>
  <c r="BN32" i="41"/>
  <c r="BO32" i="41"/>
  <c r="BT32" i="41"/>
  <c r="AV32" i="41"/>
  <c r="AQ32" i="41"/>
  <c r="B33" i="41"/>
  <c r="A34" i="41"/>
  <c r="CI33" i="41" l="1"/>
  <c r="CJ33" i="41"/>
  <c r="CK33" i="41"/>
  <c r="CL33" i="41"/>
  <c r="CM33" i="41"/>
  <c r="CQ33" i="41"/>
  <c r="CX32" i="41"/>
  <c r="P32" i="41" s="1"/>
  <c r="Q31" i="41"/>
  <c r="CP33" i="41"/>
  <c r="CE33" i="41"/>
  <c r="CR33" i="41"/>
  <c r="CS33" i="41"/>
  <c r="CH33" i="41"/>
  <c r="CT33" i="41"/>
  <c r="CU33" i="41"/>
  <c r="CV33" i="41"/>
  <c r="CN33" i="41"/>
  <c r="CW33" i="41"/>
  <c r="CO33" i="41"/>
  <c r="CD33" i="41"/>
  <c r="CF33" i="41"/>
  <c r="CA32" i="41"/>
  <c r="O32" i="41" s="1"/>
  <c r="BA32" i="41"/>
  <c r="BI33" i="41"/>
  <c r="BP33" i="41"/>
  <c r="AI33" i="41"/>
  <c r="AN33" i="41"/>
  <c r="AH33" i="41"/>
  <c r="AT33" i="41"/>
  <c r="BW33" i="41"/>
  <c r="BZ33" i="41"/>
  <c r="AX33" i="41"/>
  <c r="AS33" i="41"/>
  <c r="AZ33" i="41"/>
  <c r="AY33" i="41"/>
  <c r="BU33" i="41"/>
  <c r="BO33" i="41"/>
  <c r="BT33" i="41"/>
  <c r="AP33" i="41"/>
  <c r="AM33" i="41"/>
  <c r="AG33" i="41"/>
  <c r="BN33" i="41"/>
  <c r="BJ33" i="41"/>
  <c r="BL33" i="41"/>
  <c r="AL33" i="41"/>
  <c r="BH33" i="41"/>
  <c r="BX33" i="41"/>
  <c r="BQ33" i="41"/>
  <c r="AR33" i="41"/>
  <c r="AW33" i="41"/>
  <c r="AK33" i="41"/>
  <c r="D33" i="41"/>
  <c r="BG33" i="41"/>
  <c r="BS33" i="41"/>
  <c r="BM33" i="41"/>
  <c r="AJ33" i="41"/>
  <c r="AO33" i="41"/>
  <c r="AU33" i="41"/>
  <c r="BV33" i="41"/>
  <c r="BK33" i="41"/>
  <c r="BR33" i="41"/>
  <c r="BY33" i="41"/>
  <c r="AQ33" i="41"/>
  <c r="AV33" i="41"/>
  <c r="A35" i="41"/>
  <c r="B34" i="41"/>
  <c r="BB32" i="41"/>
  <c r="CI34" i="41" l="1"/>
  <c r="CK34" i="41"/>
  <c r="CL34" i="41"/>
  <c r="CM34" i="41"/>
  <c r="CJ34" i="41"/>
  <c r="CQ34" i="41"/>
  <c r="CX33" i="41"/>
  <c r="P33" i="41" s="1"/>
  <c r="N32" i="41"/>
  <c r="Q32" i="41" s="1"/>
  <c r="CS34" i="41"/>
  <c r="CT34" i="41"/>
  <c r="CU34" i="41"/>
  <c r="CE34" i="41"/>
  <c r="CV34" i="41"/>
  <c r="CN34" i="41"/>
  <c r="CF34" i="41"/>
  <c r="CW34" i="41"/>
  <c r="CO34" i="41"/>
  <c r="CP34" i="41"/>
  <c r="CR34" i="41"/>
  <c r="CD34" i="41"/>
  <c r="CH34" i="41"/>
  <c r="CA33" i="41"/>
  <c r="O33" i="41" s="1"/>
  <c r="J36" i="61" s="1"/>
  <c r="BA33" i="41"/>
  <c r="N33" i="41" s="1"/>
  <c r="BY34" i="41"/>
  <c r="BJ34" i="41"/>
  <c r="AZ34" i="41"/>
  <c r="AH34" i="41"/>
  <c r="AM34" i="41"/>
  <c r="BP34" i="41"/>
  <c r="AG34" i="41"/>
  <c r="BN34" i="41"/>
  <c r="BS34" i="41"/>
  <c r="AR34" i="41"/>
  <c r="AN34" i="41"/>
  <c r="BW34" i="41"/>
  <c r="AY34" i="41"/>
  <c r="BH34" i="41"/>
  <c r="BK34" i="41"/>
  <c r="AJ34" i="41"/>
  <c r="BG34" i="41"/>
  <c r="BQ34" i="41"/>
  <c r="BZ34" i="41"/>
  <c r="BV34" i="41"/>
  <c r="AT34" i="41"/>
  <c r="AQ34" i="41"/>
  <c r="AW34" i="41"/>
  <c r="D34" i="41"/>
  <c r="BX34" i="41"/>
  <c r="BR34" i="41"/>
  <c r="BT34" i="41"/>
  <c r="AL34" i="41"/>
  <c r="AI34" i="41"/>
  <c r="AV34" i="41"/>
  <c r="BU34" i="41"/>
  <c r="BI34" i="41"/>
  <c r="BL34" i="41"/>
  <c r="AS34" i="41"/>
  <c r="AX34" i="41"/>
  <c r="AU34" i="41"/>
  <c r="BM34" i="41"/>
  <c r="BO34" i="41"/>
  <c r="AK34" i="41"/>
  <c r="AP34" i="41"/>
  <c r="AO34" i="41"/>
  <c r="BB33" i="41"/>
  <c r="B35" i="41"/>
  <c r="A36" i="41"/>
  <c r="CI35" i="41" l="1"/>
  <c r="CJ35" i="41"/>
  <c r="CK35" i="41"/>
  <c r="CL35" i="41"/>
  <c r="CM35" i="41"/>
  <c r="CQ35" i="41"/>
  <c r="CX34" i="41"/>
  <c r="P34" i="41" s="1"/>
  <c r="Q33" i="41"/>
  <c r="Y33" i="41"/>
  <c r="Y41" i="41" s="1"/>
  <c r="CV35" i="41"/>
  <c r="CN35" i="41"/>
  <c r="CW35" i="41"/>
  <c r="CP35" i="41"/>
  <c r="CD35" i="41"/>
  <c r="CR35" i="41"/>
  <c r="CE35" i="41"/>
  <c r="CS35" i="41"/>
  <c r="CT35" i="41"/>
  <c r="CU35" i="41"/>
  <c r="CH35" i="41"/>
  <c r="CO35" i="41"/>
  <c r="CF35" i="41"/>
  <c r="CA34" i="41"/>
  <c r="O34" i="41" s="1"/>
  <c r="BA34" i="41"/>
  <c r="N34" i="41" s="1"/>
  <c r="B36" i="41"/>
  <c r="A37" i="41"/>
  <c r="BN35" i="41"/>
  <c r="BJ35" i="41"/>
  <c r="AT35" i="41"/>
  <c r="AQ35" i="41"/>
  <c r="AH35" i="41"/>
  <c r="BK35" i="41"/>
  <c r="AP35" i="41"/>
  <c r="BH35" i="41"/>
  <c r="BX35" i="41"/>
  <c r="AL35" i="41"/>
  <c r="AI35" i="41"/>
  <c r="AG35" i="41"/>
  <c r="AJ35" i="41"/>
  <c r="BG35" i="41"/>
  <c r="BS35" i="41"/>
  <c r="AS35" i="41"/>
  <c r="BZ35" i="41"/>
  <c r="BV35" i="41"/>
  <c r="AK35" i="41"/>
  <c r="BT35" i="41"/>
  <c r="BR35" i="41"/>
  <c r="BY35" i="41"/>
  <c r="AV35" i="41"/>
  <c r="AZ35" i="41"/>
  <c r="AX35" i="41"/>
  <c r="D35" i="41"/>
  <c r="BQ35" i="41"/>
  <c r="BI35" i="41"/>
  <c r="BP35" i="41"/>
  <c r="AN35" i="41"/>
  <c r="AR35" i="41"/>
  <c r="AW35" i="41"/>
  <c r="AO35" i="41"/>
  <c r="BM35" i="41"/>
  <c r="BW35" i="41"/>
  <c r="BL35" i="41"/>
  <c r="AU35" i="41"/>
  <c r="BU35" i="41"/>
  <c r="BO35" i="41"/>
  <c r="AM35" i="41"/>
  <c r="AY35" i="41"/>
  <c r="BB34" i="41"/>
  <c r="CI36" i="41" l="1"/>
  <c r="CK36" i="41"/>
  <c r="CL36" i="41"/>
  <c r="CM36" i="41"/>
  <c r="CJ36" i="41"/>
  <c r="CQ36" i="41"/>
  <c r="CX35" i="41"/>
  <c r="P35" i="41" s="1"/>
  <c r="Q34" i="41"/>
  <c r="CS36" i="41"/>
  <c r="CT36" i="41"/>
  <c r="CU36" i="41"/>
  <c r="CV36" i="41"/>
  <c r="CN36" i="41"/>
  <c r="CW36" i="41"/>
  <c r="CO36" i="41"/>
  <c r="CP36" i="41"/>
  <c r="CH36" i="41"/>
  <c r="CF36" i="41"/>
  <c r="CD36" i="41"/>
  <c r="CR36" i="41"/>
  <c r="CE36" i="41"/>
  <c r="CA35" i="41"/>
  <c r="O35" i="41" s="1"/>
  <c r="BA35" i="41"/>
  <c r="N35" i="41" s="1"/>
  <c r="BB35" i="41"/>
  <c r="A38" i="41"/>
  <c r="B37" i="41"/>
  <c r="BM36" i="41"/>
  <c r="BR36" i="41"/>
  <c r="AV36" i="41"/>
  <c r="AZ36" i="41"/>
  <c r="AU36" i="41"/>
  <c r="AM36" i="41"/>
  <c r="D36" i="41"/>
  <c r="BX36" i="41"/>
  <c r="BI36" i="41"/>
  <c r="AN36" i="41"/>
  <c r="AY36" i="41"/>
  <c r="AR36" i="41"/>
  <c r="AQ36" i="41"/>
  <c r="AI36" i="41"/>
  <c r="BP36" i="41"/>
  <c r="BU36" i="41"/>
  <c r="BO36" i="41"/>
  <c r="AX36" i="41"/>
  <c r="AS36" i="41"/>
  <c r="BV36" i="41"/>
  <c r="BY36" i="41"/>
  <c r="BJ36" i="41"/>
  <c r="AP36" i="41"/>
  <c r="BT36" i="41"/>
  <c r="BN36" i="41"/>
  <c r="BS36" i="41"/>
  <c r="AH36" i="41"/>
  <c r="AT36" i="41"/>
  <c r="AJ36" i="41"/>
  <c r="BL36" i="41"/>
  <c r="BH36" i="41"/>
  <c r="BK36" i="41"/>
  <c r="AW36" i="41"/>
  <c r="AL36" i="41"/>
  <c r="BW36" i="41"/>
  <c r="BG36" i="41"/>
  <c r="AO36" i="41"/>
  <c r="BQ36" i="41"/>
  <c r="BZ36" i="41"/>
  <c r="AG36" i="41"/>
  <c r="AK36" i="41"/>
  <c r="CI37" i="41" l="1"/>
  <c r="CJ37" i="41"/>
  <c r="CK37" i="41"/>
  <c r="CL37" i="41"/>
  <c r="CM37" i="41"/>
  <c r="CQ37" i="41"/>
  <c r="CX36" i="41"/>
  <c r="P36" i="41" s="1"/>
  <c r="Q35" i="41"/>
  <c r="CT37" i="41"/>
  <c r="CE37" i="41"/>
  <c r="CU37" i="41"/>
  <c r="CV37" i="41"/>
  <c r="CN37" i="41"/>
  <c r="CW37" i="41"/>
  <c r="CO37" i="41"/>
  <c r="CH37" i="41"/>
  <c r="CP37" i="41"/>
  <c r="CR37" i="41"/>
  <c r="CS37" i="41"/>
  <c r="CD37" i="41"/>
  <c r="CF37" i="41"/>
  <c r="CA36" i="41"/>
  <c r="O36" i="41" s="1"/>
  <c r="BA36" i="41"/>
  <c r="N36" i="41" s="1"/>
  <c r="BB36" i="41"/>
  <c r="BL37" i="41"/>
  <c r="BV37" i="41"/>
  <c r="AX37" i="41"/>
  <c r="AU37" i="41"/>
  <c r="AT37" i="41"/>
  <c r="AW37" i="41"/>
  <c r="BQ37" i="41"/>
  <c r="BR37" i="41"/>
  <c r="AP37" i="41"/>
  <c r="AM37" i="41"/>
  <c r="BX37" i="41"/>
  <c r="BM37" i="41"/>
  <c r="BI37" i="41"/>
  <c r="AZ37" i="41"/>
  <c r="AH37" i="41"/>
  <c r="BS37" i="41"/>
  <c r="BU37" i="41"/>
  <c r="BW37" i="41"/>
  <c r="AR37" i="41"/>
  <c r="AL37" i="41"/>
  <c r="BY37" i="41"/>
  <c r="BK37" i="41"/>
  <c r="BO37" i="41"/>
  <c r="AJ37" i="41"/>
  <c r="AO37" i="41"/>
  <c r="AS37" i="41"/>
  <c r="D37" i="41"/>
  <c r="AG37" i="41"/>
  <c r="AV37" i="41"/>
  <c r="BP37" i="41"/>
  <c r="BN37" i="41"/>
  <c r="BJ37" i="41"/>
  <c r="AY37" i="41"/>
  <c r="AK37" i="41"/>
  <c r="BZ37" i="41"/>
  <c r="BH37" i="41"/>
  <c r="AQ37" i="41"/>
  <c r="BT37" i="41"/>
  <c r="BG37" i="41"/>
  <c r="AI37" i="41"/>
  <c r="AN37" i="41"/>
  <c r="A39" i="41"/>
  <c r="B38" i="41"/>
  <c r="CI38" i="41" l="1"/>
  <c r="CK38" i="41"/>
  <c r="CL38" i="41"/>
  <c r="CM38" i="41"/>
  <c r="CJ38" i="41"/>
  <c r="CQ38" i="41"/>
  <c r="CX37" i="41"/>
  <c r="P37" i="41" s="1"/>
  <c r="Q36" i="41"/>
  <c r="CW38" i="41"/>
  <c r="CO38" i="41"/>
  <c r="CE38" i="41"/>
  <c r="CR38" i="41"/>
  <c r="CF38" i="41"/>
  <c r="CS38" i="41"/>
  <c r="CT38" i="41"/>
  <c r="CU38" i="41"/>
  <c r="CV38" i="41"/>
  <c r="CN38" i="41"/>
  <c r="CH38" i="41"/>
  <c r="CD38" i="41"/>
  <c r="CP38" i="41"/>
  <c r="CA37" i="41"/>
  <c r="O37" i="41" s="1"/>
  <c r="BA37" i="41"/>
  <c r="N37" i="41" s="1"/>
  <c r="BB37" i="41"/>
  <c r="A40" i="41"/>
  <c r="B40" i="41" s="1"/>
  <c r="B39" i="41"/>
  <c r="BV38" i="41"/>
  <c r="BU38" i="41"/>
  <c r="AZ38" i="41"/>
  <c r="AH38" i="41"/>
  <c r="AJ38" i="41"/>
  <c r="AQ38" i="41"/>
  <c r="BT38" i="41"/>
  <c r="BJ38" i="41"/>
  <c r="AR38" i="41"/>
  <c r="AW38" i="41"/>
  <c r="AU38" i="41"/>
  <c r="BL38" i="41"/>
  <c r="BY38" i="41"/>
  <c r="AO38" i="41"/>
  <c r="D38" i="41"/>
  <c r="BO38" i="41"/>
  <c r="BN38" i="41"/>
  <c r="AY38" i="41"/>
  <c r="AG38" i="41"/>
  <c r="AV38" i="41"/>
  <c r="BS38" i="41"/>
  <c r="BW38" i="41"/>
  <c r="BH38" i="41"/>
  <c r="AT38" i="41"/>
  <c r="BK38" i="41"/>
  <c r="BQ38" i="41"/>
  <c r="BZ38" i="41"/>
  <c r="AL38" i="41"/>
  <c r="AI38" i="41"/>
  <c r="AN38" i="41"/>
  <c r="BG38" i="41"/>
  <c r="BM38" i="41"/>
  <c r="BR38" i="41"/>
  <c r="AS38" i="41"/>
  <c r="AX38" i="41"/>
  <c r="BP38" i="41"/>
  <c r="BX38" i="41"/>
  <c r="BI38" i="41"/>
  <c r="AK38" i="41"/>
  <c r="AP38" i="41"/>
  <c r="AM38" i="41"/>
  <c r="CI39" i="41" l="1"/>
  <c r="CJ39" i="41"/>
  <c r="CK39" i="41"/>
  <c r="CL39" i="41"/>
  <c r="CM39" i="41"/>
  <c r="CQ39" i="41"/>
  <c r="CI40" i="41"/>
  <c r="CK40" i="41"/>
  <c r="CL40" i="41"/>
  <c r="CM40" i="41"/>
  <c r="CJ40" i="41"/>
  <c r="CQ40" i="41"/>
  <c r="CX38" i="41"/>
  <c r="P38" i="41" s="1"/>
  <c r="BM40" i="41"/>
  <c r="BU40" i="41"/>
  <c r="BN40" i="41"/>
  <c r="BV40" i="41"/>
  <c r="BO40" i="41"/>
  <c r="BW40" i="41"/>
  <c r="BP40" i="41"/>
  <c r="BX40" i="41"/>
  <c r="BQ40" i="41"/>
  <c r="BY40" i="41"/>
  <c r="BR40" i="41"/>
  <c r="BZ40" i="41"/>
  <c r="BS40" i="41"/>
  <c r="BT40" i="41"/>
  <c r="Q37" i="41"/>
  <c r="G61" i="41"/>
  <c r="G72" i="41"/>
  <c r="AI30" i="43" s="1"/>
  <c r="G63" i="41"/>
  <c r="G56" i="41"/>
  <c r="G74" i="41"/>
  <c r="AK30" i="43" s="1"/>
  <c r="G64" i="41"/>
  <c r="G73" i="41"/>
  <c r="AJ30" i="43" s="1"/>
  <c r="G67" i="41"/>
  <c r="G55" i="41"/>
  <c r="G76" i="41"/>
  <c r="AM30" i="43" s="1"/>
  <c r="G57" i="41"/>
  <c r="G62" i="41"/>
  <c r="G60" i="41"/>
  <c r="G54" i="41"/>
  <c r="G68" i="41"/>
  <c r="G66" i="41"/>
  <c r="G75" i="41"/>
  <c r="AL30" i="43" s="1"/>
  <c r="G58" i="41"/>
  <c r="G69" i="41"/>
  <c r="G70" i="41"/>
  <c r="CR39" i="41"/>
  <c r="CS39" i="41"/>
  <c r="CT39" i="41"/>
  <c r="CU39" i="41"/>
  <c r="CV39" i="41"/>
  <c r="CN39" i="41"/>
  <c r="CW39" i="41"/>
  <c r="CO39" i="41"/>
  <c r="CP39" i="41"/>
  <c r="CD39" i="41"/>
  <c r="CE39" i="41"/>
  <c r="CF39" i="41"/>
  <c r="CH39" i="41"/>
  <c r="CU40" i="41"/>
  <c r="CV40" i="41"/>
  <c r="CW40" i="41"/>
  <c r="CO40" i="41"/>
  <c r="CP40" i="41"/>
  <c r="CR40" i="41"/>
  <c r="CS40" i="41"/>
  <c r="CT40" i="41"/>
  <c r="CH40" i="41"/>
  <c r="CD40" i="41"/>
  <c r="CE40" i="41"/>
  <c r="CF40" i="41"/>
  <c r="CN40" i="41"/>
  <c r="CA38" i="41"/>
  <c r="O38" i="41" s="1"/>
  <c r="BA38" i="41"/>
  <c r="AB41" i="41"/>
  <c r="I39" i="1" s="1"/>
  <c r="BS39" i="41"/>
  <c r="BQ39" i="41"/>
  <c r="AV39" i="41"/>
  <c r="AZ39" i="41"/>
  <c r="AP39" i="41"/>
  <c r="D39" i="41"/>
  <c r="BK39" i="41"/>
  <c r="BM39" i="41"/>
  <c r="AN39" i="41"/>
  <c r="AR39" i="41"/>
  <c r="AH39" i="41"/>
  <c r="BY39" i="41"/>
  <c r="BU39" i="41"/>
  <c r="AU39" i="41"/>
  <c r="AJ39" i="41"/>
  <c r="AW39" i="41"/>
  <c r="BV39" i="41"/>
  <c r="BP39" i="41"/>
  <c r="BN39" i="41"/>
  <c r="AM39" i="41"/>
  <c r="AY39" i="41"/>
  <c r="AO39" i="41"/>
  <c r="BW39" i="41"/>
  <c r="BZ39" i="41"/>
  <c r="BH39" i="41"/>
  <c r="AT39" i="41"/>
  <c r="AQ39" i="41"/>
  <c r="AG39" i="41"/>
  <c r="BO39" i="41"/>
  <c r="BT39" i="41"/>
  <c r="BG39" i="41"/>
  <c r="AL39" i="41"/>
  <c r="AI39" i="41"/>
  <c r="BJ39" i="41"/>
  <c r="BL39" i="41"/>
  <c r="AS39" i="41"/>
  <c r="BR39" i="41"/>
  <c r="BX39" i="41"/>
  <c r="BI39" i="41"/>
  <c r="AK39" i="41"/>
  <c r="AX39" i="41"/>
  <c r="BJ40" i="41"/>
  <c r="AX40" i="41"/>
  <c r="AR40" i="41"/>
  <c r="BK40" i="41"/>
  <c r="AP40" i="41"/>
  <c r="AZ40" i="41"/>
  <c r="BL40" i="41"/>
  <c r="AH40" i="41"/>
  <c r="AV40" i="41"/>
  <c r="AT40" i="41"/>
  <c r="BG40" i="41"/>
  <c r="AN40" i="41"/>
  <c r="AL40" i="41"/>
  <c r="AJ40" i="41"/>
  <c r="D40" i="41"/>
  <c r="AF41" i="41" s="1"/>
  <c r="J24" i="1" s="1"/>
  <c r="AY40" i="41"/>
  <c r="AW40" i="41"/>
  <c r="BI40" i="41"/>
  <c r="AO40" i="41"/>
  <c r="AU40" i="41"/>
  <c r="AS40" i="41"/>
  <c r="AQ40" i="41"/>
  <c r="BH40" i="41"/>
  <c r="AG40" i="41"/>
  <c r="AM40" i="41"/>
  <c r="AK40" i="41"/>
  <c r="AI40" i="41"/>
  <c r="BB38" i="41"/>
  <c r="G77" i="41" l="1"/>
  <c r="G37" i="23" s="1"/>
  <c r="CX40" i="41"/>
  <c r="P40" i="41" s="1"/>
  <c r="CX39" i="41"/>
  <c r="P39" i="41" s="1"/>
  <c r="E30" i="43"/>
  <c r="D44" i="1" s="1"/>
  <c r="F30" i="43"/>
  <c r="D45" i="1" s="1"/>
  <c r="Y30" i="43"/>
  <c r="D62" i="1" s="1"/>
  <c r="Z30" i="43"/>
  <c r="D63" i="1" s="1"/>
  <c r="D75" i="1"/>
  <c r="AA30" i="43"/>
  <c r="D64" i="1" s="1"/>
  <c r="D73" i="1"/>
  <c r="D71" i="1"/>
  <c r="S30" i="43"/>
  <c r="D57" i="1" s="1"/>
  <c r="P30" i="43"/>
  <c r="D54" i="1" s="1"/>
  <c r="O30" i="43"/>
  <c r="D53" i="1" s="1"/>
  <c r="D74" i="1"/>
  <c r="AC30" i="43"/>
  <c r="D66" i="1" s="1"/>
  <c r="Q30" i="43"/>
  <c r="D55" i="1" s="1"/>
  <c r="G30" i="43"/>
  <c r="D46" i="1" s="1"/>
  <c r="AB30" i="43"/>
  <c r="D65" i="1" s="1"/>
  <c r="H30" i="43"/>
  <c r="D47" i="1" s="1"/>
  <c r="R30" i="43"/>
  <c r="D56" i="1" s="1"/>
  <c r="I30" i="43"/>
  <c r="D48" i="1" s="1"/>
  <c r="D72" i="1"/>
  <c r="N38" i="41"/>
  <c r="Q38" i="41" s="1"/>
  <c r="CA40" i="41"/>
  <c r="CA39" i="41"/>
  <c r="O39" i="41" s="1"/>
  <c r="BA40" i="41"/>
  <c r="BA39" i="41"/>
  <c r="BB40" i="41"/>
  <c r="BB39" i="41"/>
  <c r="AM37" i="23" l="1"/>
  <c r="H36" i="24"/>
  <c r="H39" i="24" s="1"/>
  <c r="D68" i="41"/>
  <c r="G12" i="1" s="1"/>
  <c r="I12" i="1" s="1"/>
  <c r="G35" i="23"/>
  <c r="AN30" i="43"/>
  <c r="I36" i="1" s="1"/>
  <c r="I38" i="1" s="1"/>
  <c r="D78" i="1"/>
  <c r="CC41" i="41"/>
  <c r="CB41" i="41"/>
  <c r="N40" i="41"/>
  <c r="O40" i="41"/>
  <c r="O41" i="41" s="1"/>
  <c r="CA41" i="41"/>
  <c r="BA41" i="41"/>
  <c r="N39" i="41"/>
  <c r="Q39" i="41" s="1"/>
  <c r="H44" i="41" l="1"/>
  <c r="I44" i="41" s="1"/>
  <c r="I47" i="41" s="1"/>
  <c r="C4" i="50" s="1"/>
  <c r="AN39" i="43"/>
  <c r="Q40" i="41"/>
  <c r="Q41" i="41" s="1"/>
  <c r="H47" i="41"/>
  <c r="N41" i="41"/>
  <c r="I48" i="41" s="1"/>
  <c r="A1" i="38"/>
  <c r="C16" i="50" l="1"/>
  <c r="C23" i="50"/>
  <c r="C26" i="50" s="1"/>
  <c r="I52" i="41" l="1"/>
  <c r="E4" i="50" s="1"/>
  <c r="E16" i="50" s="1"/>
  <c r="E18" i="50" s="1"/>
  <c r="D4" i="50"/>
  <c r="D16" i="50" s="1"/>
  <c r="D23" i="50" l="1"/>
  <c r="D26" i="50" s="1"/>
  <c r="E23" i="50"/>
  <c r="E26" i="50" s="1"/>
  <c r="E28" i="50" s="1"/>
  <c r="E17" i="50"/>
  <c r="E27" i="50"/>
  <c r="E57" i="50" s="1"/>
  <c r="E49" i="22"/>
  <c r="CJ34" i="22" s="1"/>
  <c r="E44" i="22"/>
  <c r="CJ28" i="22" s="1"/>
  <c r="E42" i="22"/>
  <c r="CJ27" i="22" s="1"/>
  <c r="E41" i="22"/>
  <c r="E45" i="22"/>
  <c r="CJ29" i="22" s="1"/>
  <c r="E46" i="22"/>
  <c r="E48" i="22"/>
  <c r="CJ33" i="22" s="1"/>
  <c r="B3" i="22"/>
  <c r="CA5" i="22"/>
  <c r="CA6" i="22" s="1"/>
  <c r="CA7" i="22" s="1"/>
  <c r="CA8" i="22" s="1"/>
  <c r="Z6" i="25" s="1"/>
  <c r="BM5" i="22"/>
  <c r="BM6" i="22" s="1"/>
  <c r="BM7" i="22" s="1"/>
  <c r="BM8" i="22" s="1"/>
  <c r="BM9" i="22" s="1"/>
  <c r="BM10" i="22" s="1"/>
  <c r="BM11" i="22" s="1"/>
  <c r="BM12" i="22" s="1"/>
  <c r="BM13" i="22" s="1"/>
  <c r="BM14" i="22" s="1"/>
  <c r="BM15" i="22" s="1"/>
  <c r="AY5" i="22"/>
  <c r="AC3" i="23" s="1"/>
  <c r="BT5" i="22"/>
  <c r="BT6" i="22" s="1"/>
  <c r="BT7" i="22" s="1"/>
  <c r="BT8" i="22" s="1"/>
  <c r="BT9" i="22" s="1"/>
  <c r="BT10" i="22" s="1"/>
  <c r="BT11" i="22" s="1"/>
  <c r="BT12" i="22" s="1"/>
  <c r="BT13" i="22" s="1"/>
  <c r="BT14" i="22" s="1"/>
  <c r="AO12" i="23" s="1"/>
  <c r="BF5" i="22"/>
  <c r="BF6" i="22" s="1"/>
  <c r="BF7" i="22" s="1"/>
  <c r="BF8" i="22" s="1"/>
  <c r="BF9" i="22" s="1"/>
  <c r="BF10" i="22" s="1"/>
  <c r="BF11" i="22" s="1"/>
  <c r="AR5" i="22"/>
  <c r="AR6" i="22" s="1"/>
  <c r="AR7" i="22" s="1"/>
  <c r="A5" i="25" s="1"/>
  <c r="AD5" i="22"/>
  <c r="AD6" i="22" s="1"/>
  <c r="Q4" i="23" s="1"/>
  <c r="AK5" i="22"/>
  <c r="U3" i="23" s="1"/>
  <c r="W5" i="22"/>
  <c r="W6" i="22" s="1"/>
  <c r="P5" i="22"/>
  <c r="I3" i="23" s="1"/>
  <c r="I5" i="22"/>
  <c r="I6" i="22" s="1"/>
  <c r="F4" i="24" s="1"/>
  <c r="B5" i="22"/>
  <c r="B6" i="22" s="1"/>
  <c r="A4" i="23" s="1"/>
  <c r="A35" i="24"/>
  <c r="T32" i="23"/>
  <c r="A1" i="25"/>
  <c r="A1" i="24"/>
  <c r="AR33" i="23"/>
  <c r="AQ33" i="23"/>
  <c r="AP33" i="23"/>
  <c r="AO33" i="23"/>
  <c r="AJ33" i="23"/>
  <c r="AI33" i="23"/>
  <c r="AH33" i="23"/>
  <c r="AG33" i="23"/>
  <c r="AB33" i="23"/>
  <c r="AA33" i="23"/>
  <c r="Z33" i="23"/>
  <c r="Y33" i="23"/>
  <c r="P33" i="23"/>
  <c r="O33" i="23"/>
  <c r="N33" i="23"/>
  <c r="M33" i="23"/>
  <c r="H33" i="23"/>
  <c r="G33" i="23"/>
  <c r="F33" i="23"/>
  <c r="E33" i="23"/>
  <c r="AA32" i="23"/>
  <c r="Z32" i="23"/>
  <c r="Y32" i="23"/>
  <c r="AS2" i="23"/>
  <c r="AO2" i="23"/>
  <c r="AK2" i="23"/>
  <c r="AG2" i="23"/>
  <c r="AC2" i="23"/>
  <c r="Y2" i="23"/>
  <c r="U2" i="23"/>
  <c r="Q2" i="23"/>
  <c r="M2" i="23"/>
  <c r="I2" i="23"/>
  <c r="E2" i="23"/>
  <c r="A2" i="23"/>
  <c r="B1" i="22"/>
  <c r="AD1" i="22" s="1"/>
  <c r="D20" i="2"/>
  <c r="H21" i="2" s="1"/>
  <c r="H25" i="2" s="1"/>
  <c r="H20" i="2"/>
  <c r="G20" i="2"/>
  <c r="F20" i="2"/>
  <c r="E20" i="2"/>
  <c r="E33" i="2" s="1"/>
  <c r="C4" i="2"/>
  <c r="C2" i="2"/>
  <c r="C3" i="2"/>
  <c r="E31" i="2"/>
  <c r="E32" i="2"/>
  <c r="E30" i="2"/>
  <c r="E26" i="2"/>
  <c r="CJ26" i="22" l="1"/>
  <c r="CJ31" i="22"/>
  <c r="U4" i="24"/>
  <c r="P3" i="25"/>
  <c r="K3" i="25"/>
  <c r="K3" i="24"/>
  <c r="I3" i="22"/>
  <c r="J5" i="22" s="1"/>
  <c r="K6" i="25"/>
  <c r="BM16" i="22"/>
  <c r="BM17" i="22" s="1"/>
  <c r="BM18" i="22" s="1"/>
  <c r="BM19" i="22" s="1"/>
  <c r="BM20" i="22" s="1"/>
  <c r="A3" i="23"/>
  <c r="AO8" i="23"/>
  <c r="AO3" i="23"/>
  <c r="U4" i="25"/>
  <c r="U7" i="25"/>
  <c r="F3" i="24"/>
  <c r="AG8" i="23"/>
  <c r="AG3" i="23"/>
  <c r="Z3" i="24"/>
  <c r="P6" i="22"/>
  <c r="I4" i="23" s="1"/>
  <c r="AD7" i="22"/>
  <c r="U5" i="24" s="1"/>
  <c r="E3" i="23"/>
  <c r="AG4" i="23"/>
  <c r="AS5" i="23"/>
  <c r="AG6" i="23"/>
  <c r="AS3" i="23"/>
  <c r="K5" i="25"/>
  <c r="Z5" i="25"/>
  <c r="Q3" i="23"/>
  <c r="AK9" i="23"/>
  <c r="AO6" i="23"/>
  <c r="P7" i="25"/>
  <c r="AO4" i="23"/>
  <c r="U3" i="25"/>
  <c r="K8" i="25"/>
  <c r="K4" i="25"/>
  <c r="U9" i="25"/>
  <c r="AG7" i="23"/>
  <c r="AG5" i="23"/>
  <c r="AO10" i="23"/>
  <c r="AS6" i="23"/>
  <c r="AS4" i="23"/>
  <c r="Z3" i="25"/>
  <c r="K7" i="25"/>
  <c r="U11" i="25"/>
  <c r="U8" i="25"/>
  <c r="U5" i="25"/>
  <c r="E4" i="23"/>
  <c r="AK11" i="23"/>
  <c r="AO11" i="23"/>
  <c r="AO9" i="23"/>
  <c r="AO7" i="23"/>
  <c r="AO5" i="23"/>
  <c r="Y4" i="23"/>
  <c r="AK13" i="23"/>
  <c r="AK5" i="23"/>
  <c r="AK7" i="23"/>
  <c r="P11" i="25"/>
  <c r="W7" i="22"/>
  <c r="M4" i="23"/>
  <c r="P4" i="24"/>
  <c r="AK3" i="23"/>
  <c r="A3" i="24"/>
  <c r="U3" i="24"/>
  <c r="P12" i="25"/>
  <c r="P8" i="25"/>
  <c r="P4" i="25"/>
  <c r="U10" i="25"/>
  <c r="U6" i="25"/>
  <c r="Z4" i="25"/>
  <c r="CA9" i="22"/>
  <c r="M3" i="23"/>
  <c r="AK12" i="23"/>
  <c r="AK10" i="23"/>
  <c r="AK8" i="23"/>
  <c r="AK6" i="23"/>
  <c r="AK4" i="23"/>
  <c r="P3" i="24"/>
  <c r="A4" i="25"/>
  <c r="P13" i="25"/>
  <c r="P9" i="25"/>
  <c r="P5" i="25"/>
  <c r="C5" i="22"/>
  <c r="E50" i="22"/>
  <c r="E51" i="22" s="1"/>
  <c r="Y3" i="23"/>
  <c r="A3" i="25"/>
  <c r="P10" i="25"/>
  <c r="P6" i="25"/>
  <c r="BF12" i="22"/>
  <c r="AG9" i="23"/>
  <c r="K9" i="25"/>
  <c r="C6" i="22"/>
  <c r="A4" i="24"/>
  <c r="AR8" i="22"/>
  <c r="Y5" i="23"/>
  <c r="BT15" i="22"/>
  <c r="BT16" i="22" s="1"/>
  <c r="BT17" i="22" s="1"/>
  <c r="BT18" i="22" s="1"/>
  <c r="BT19" i="22" s="1"/>
  <c r="U12" i="25"/>
  <c r="AY6" i="22"/>
  <c r="F3" i="25"/>
  <c r="CA1" i="22"/>
  <c r="AY1" i="22"/>
  <c r="W1" i="22"/>
  <c r="BT1" i="22"/>
  <c r="AR1" i="22"/>
  <c r="P1" i="22"/>
  <c r="BM1" i="22"/>
  <c r="AK1" i="22"/>
  <c r="I1" i="22"/>
  <c r="BF1" i="22"/>
  <c r="I7" i="22"/>
  <c r="B7" i="22"/>
  <c r="AK6" i="22"/>
  <c r="CJ35" i="22" l="1"/>
  <c r="J6" i="22"/>
  <c r="G4" i="24" s="1"/>
  <c r="Q5" i="23"/>
  <c r="BM21" i="22"/>
  <c r="AK18" i="23"/>
  <c r="P18" i="25"/>
  <c r="AD8" i="22"/>
  <c r="AD9" i="22" s="1"/>
  <c r="P17" i="25"/>
  <c r="P15" i="25"/>
  <c r="AK17" i="23"/>
  <c r="AK15" i="23"/>
  <c r="P16" i="25"/>
  <c r="P14" i="25"/>
  <c r="AK14" i="23"/>
  <c r="AK16" i="23"/>
  <c r="P3" i="22"/>
  <c r="Q6" i="22" s="1"/>
  <c r="L4" i="24" s="1"/>
  <c r="P7" i="22"/>
  <c r="K5" i="24" s="1"/>
  <c r="K4" i="24"/>
  <c r="CA10" i="22"/>
  <c r="AS7" i="23"/>
  <c r="Z7" i="25"/>
  <c r="E5" i="22"/>
  <c r="B3" i="24"/>
  <c r="B3" i="23"/>
  <c r="L5" i="22"/>
  <c r="F3" i="23"/>
  <c r="G3" i="24"/>
  <c r="M5" i="23"/>
  <c r="P5" i="24"/>
  <c r="W8" i="22"/>
  <c r="AR9" i="22"/>
  <c r="Y6" i="23"/>
  <c r="A6" i="25"/>
  <c r="E6" i="22"/>
  <c r="B4" i="23"/>
  <c r="B4" i="24"/>
  <c r="BF13" i="22"/>
  <c r="K10" i="25"/>
  <c r="AG10" i="23"/>
  <c r="AY7" i="22"/>
  <c r="AC4" i="23"/>
  <c r="F4" i="25"/>
  <c r="U13" i="25"/>
  <c r="AO13" i="23"/>
  <c r="B8" i="22"/>
  <c r="A5" i="24"/>
  <c r="C7" i="22"/>
  <c r="A5" i="23"/>
  <c r="AK7" i="22"/>
  <c r="Z4" i="24"/>
  <c r="U4" i="23"/>
  <c r="J7" i="22"/>
  <c r="F5" i="24"/>
  <c r="I8" i="22"/>
  <c r="E5" i="23"/>
  <c r="G15" i="1" l="1"/>
  <c r="I15" i="1"/>
  <c r="J20" i="1" s="1"/>
  <c r="F4" i="23"/>
  <c r="L6" i="22"/>
  <c r="J4" i="24" s="1"/>
  <c r="Q6" i="23"/>
  <c r="U6" i="24"/>
  <c r="P8" i="22"/>
  <c r="Q8" i="22" s="1"/>
  <c r="Q7" i="22"/>
  <c r="S7" i="22" s="1"/>
  <c r="W3" i="22"/>
  <c r="X8" i="22" s="1"/>
  <c r="Q5" i="22"/>
  <c r="I5" i="23"/>
  <c r="S6" i="22"/>
  <c r="O4" i="24" s="1"/>
  <c r="BM22" i="22"/>
  <c r="P19" i="25"/>
  <c r="AK19" i="23"/>
  <c r="J4" i="23"/>
  <c r="W9" i="22"/>
  <c r="M6" i="23"/>
  <c r="P6" i="24"/>
  <c r="D3" i="23"/>
  <c r="E3" i="24"/>
  <c r="H3" i="23"/>
  <c r="J3" i="24"/>
  <c r="CA11" i="22"/>
  <c r="AS8" i="23"/>
  <c r="Z8" i="25"/>
  <c r="U14" i="25"/>
  <c r="AO14" i="23"/>
  <c r="D4" i="23"/>
  <c r="E4" i="24"/>
  <c r="BF14" i="22"/>
  <c r="AG11" i="23"/>
  <c r="K11" i="25"/>
  <c r="AY8" i="22"/>
  <c r="F5" i="25"/>
  <c r="AC5" i="23"/>
  <c r="AR10" i="22"/>
  <c r="Y7" i="23"/>
  <c r="A7" i="25"/>
  <c r="J8" i="22"/>
  <c r="I9" i="22"/>
  <c r="F6" i="24"/>
  <c r="E6" i="23"/>
  <c r="E7" i="22"/>
  <c r="B5" i="24"/>
  <c r="B5" i="23"/>
  <c r="AD10" i="22"/>
  <c r="U7" i="24"/>
  <c r="Q7" i="23"/>
  <c r="AK8" i="22"/>
  <c r="Z5" i="24"/>
  <c r="U5" i="23"/>
  <c r="L7" i="22"/>
  <c r="G5" i="24"/>
  <c r="F5" i="23"/>
  <c r="C8" i="22"/>
  <c r="B9" i="22"/>
  <c r="A6" i="24"/>
  <c r="A6" i="23"/>
  <c r="J27" i="1" l="1"/>
  <c r="I40" i="1" s="1"/>
  <c r="H4" i="23"/>
  <c r="I6" i="23"/>
  <c r="K6" i="24"/>
  <c r="J5" i="23"/>
  <c r="P9" i="22"/>
  <c r="P10" i="22" s="1"/>
  <c r="L5" i="24"/>
  <c r="S5" i="22"/>
  <c r="L3" i="24"/>
  <c r="J3" i="23"/>
  <c r="L4" i="23"/>
  <c r="BM23" i="22"/>
  <c r="AK20" i="23"/>
  <c r="P20" i="25"/>
  <c r="AD3" i="22"/>
  <c r="AE10" i="22" s="1"/>
  <c r="X7" i="22"/>
  <c r="X6" i="22"/>
  <c r="X5" i="22"/>
  <c r="P7" i="24"/>
  <c r="M7" i="23"/>
  <c r="W10" i="22"/>
  <c r="X9" i="22"/>
  <c r="Z8" i="22"/>
  <c r="Q6" i="24"/>
  <c r="N6" i="23"/>
  <c r="CA12" i="22"/>
  <c r="Z9" i="25"/>
  <c r="AS9" i="23"/>
  <c r="BF15" i="22"/>
  <c r="BF16" i="22" s="1"/>
  <c r="BF17" i="22" s="1"/>
  <c r="BF18" i="22" s="1"/>
  <c r="BF19" i="22" s="1"/>
  <c r="AG12" i="23"/>
  <c r="K12" i="25"/>
  <c r="AR11" i="22"/>
  <c r="Y8" i="23"/>
  <c r="A8" i="25"/>
  <c r="AY9" i="22"/>
  <c r="F6" i="25"/>
  <c r="AC6" i="23"/>
  <c r="AO15" i="23"/>
  <c r="U15" i="25"/>
  <c r="J9" i="22"/>
  <c r="F7" i="24"/>
  <c r="I10" i="22"/>
  <c r="E7" i="23"/>
  <c r="AD11" i="22"/>
  <c r="U8" i="24"/>
  <c r="Q8" i="23"/>
  <c r="L8" i="22"/>
  <c r="G6" i="24"/>
  <c r="F6" i="23"/>
  <c r="S8" i="22"/>
  <c r="L6" i="24"/>
  <c r="J6" i="23"/>
  <c r="O5" i="24"/>
  <c r="L5" i="23"/>
  <c r="B10" i="22"/>
  <c r="C9" i="22"/>
  <c r="A7" i="24"/>
  <c r="A7" i="23"/>
  <c r="J5" i="24"/>
  <c r="H5" i="23"/>
  <c r="E8" i="22"/>
  <c r="B6" i="23"/>
  <c r="B6" i="24"/>
  <c r="AK9" i="22"/>
  <c r="Z6" i="24"/>
  <c r="U6" i="23"/>
  <c r="E5" i="24"/>
  <c r="D5" i="23"/>
  <c r="D79" i="1" l="1"/>
  <c r="I7" i="23"/>
  <c r="K7" i="24"/>
  <c r="Q9" i="22"/>
  <c r="N3" i="23"/>
  <c r="Z5" i="22"/>
  <c r="Q3" i="24"/>
  <c r="Z7" i="22"/>
  <c r="N5" i="23"/>
  <c r="Q5" i="24"/>
  <c r="BM24" i="22"/>
  <c r="AK21" i="23"/>
  <c r="P21" i="25"/>
  <c r="Z6" i="22"/>
  <c r="Q4" i="24"/>
  <c r="N4" i="23"/>
  <c r="AE6" i="22"/>
  <c r="AE8" i="22"/>
  <c r="AK3" i="22"/>
  <c r="AL9" i="22" s="1"/>
  <c r="AE7" i="22"/>
  <c r="AE5" i="22"/>
  <c r="AE9" i="22"/>
  <c r="O3" i="24"/>
  <c r="L3" i="23"/>
  <c r="Z9" i="22"/>
  <c r="N7" i="23"/>
  <c r="Q7" i="24"/>
  <c r="W11" i="22"/>
  <c r="P8" i="24"/>
  <c r="M8" i="23"/>
  <c r="X10" i="22"/>
  <c r="CA13" i="22"/>
  <c r="Z10" i="25"/>
  <c r="AS10" i="23"/>
  <c r="T6" i="24"/>
  <c r="P6" i="23"/>
  <c r="U16" i="25"/>
  <c r="AO16" i="23"/>
  <c r="AR12" i="22"/>
  <c r="Y9" i="23"/>
  <c r="A9" i="25"/>
  <c r="K13" i="25"/>
  <c r="AG13" i="23"/>
  <c r="AY10" i="22"/>
  <c r="AC7" i="23"/>
  <c r="F7" i="25"/>
  <c r="E6" i="24"/>
  <c r="D6" i="23"/>
  <c r="E9" i="22"/>
  <c r="B7" i="24"/>
  <c r="B7" i="23"/>
  <c r="O6" i="24"/>
  <c r="L6" i="23"/>
  <c r="AG10" i="22"/>
  <c r="V8" i="24"/>
  <c r="R8" i="23"/>
  <c r="J10" i="22"/>
  <c r="I11" i="22"/>
  <c r="F8" i="24"/>
  <c r="E8" i="23"/>
  <c r="AK10" i="22"/>
  <c r="Z7" i="24"/>
  <c r="U7" i="23"/>
  <c r="C10" i="22"/>
  <c r="B11" i="22"/>
  <c r="A8" i="24"/>
  <c r="A8" i="23"/>
  <c r="AD12" i="22"/>
  <c r="AE11" i="22"/>
  <c r="U9" i="24"/>
  <c r="Q9" i="23"/>
  <c r="H6" i="23"/>
  <c r="J6" i="24"/>
  <c r="Q10" i="22"/>
  <c r="P11" i="22"/>
  <c r="K8" i="24"/>
  <c r="I8" i="23"/>
  <c r="L9" i="22"/>
  <c r="G7" i="24"/>
  <c r="F7" i="23"/>
  <c r="J7" i="23" l="1"/>
  <c r="L7" i="24"/>
  <c r="S9" i="22"/>
  <c r="L7" i="23" s="1"/>
  <c r="BM25" i="22"/>
  <c r="P22" i="25"/>
  <c r="AK22" i="23"/>
  <c r="V7" i="24"/>
  <c r="R7" i="23"/>
  <c r="AG9" i="22"/>
  <c r="R3" i="23"/>
  <c r="V3" i="24"/>
  <c r="AG5" i="22"/>
  <c r="AG7" i="22"/>
  <c r="V5" i="24"/>
  <c r="R5" i="23"/>
  <c r="T5" i="24"/>
  <c r="P5" i="23"/>
  <c r="AL6" i="22"/>
  <c r="AY3" i="22"/>
  <c r="AZ10" i="22" s="1"/>
  <c r="BT3" i="22"/>
  <c r="BF3" i="22"/>
  <c r="AR3" i="22"/>
  <c r="AS12" i="22" s="1"/>
  <c r="BM3" i="22"/>
  <c r="AL7" i="22"/>
  <c r="CA3" i="22"/>
  <c r="CB13" i="22" s="1"/>
  <c r="AL5" i="22"/>
  <c r="AL8" i="22"/>
  <c r="V6" i="24"/>
  <c r="R6" i="23"/>
  <c r="AG8" i="22"/>
  <c r="T4" i="24"/>
  <c r="P4" i="23"/>
  <c r="T3" i="24"/>
  <c r="P3" i="23"/>
  <c r="R4" i="23"/>
  <c r="AG6" i="22"/>
  <c r="V4" i="24"/>
  <c r="CA14" i="22"/>
  <c r="AS11" i="23"/>
  <c r="Z11" i="25"/>
  <c r="P9" i="24"/>
  <c r="M9" i="23"/>
  <c r="X11" i="22"/>
  <c r="W12" i="22"/>
  <c r="N8" i="23"/>
  <c r="Z10" i="22"/>
  <c r="Q8" i="24"/>
  <c r="P7" i="23"/>
  <c r="T7" i="24"/>
  <c r="AY11" i="22"/>
  <c r="F8" i="25"/>
  <c r="AC8" i="23"/>
  <c r="AR13" i="22"/>
  <c r="Y10" i="23"/>
  <c r="A10" i="25"/>
  <c r="K14" i="25"/>
  <c r="AG14" i="23"/>
  <c r="BT20" i="22"/>
  <c r="U17" i="25"/>
  <c r="AO17" i="23"/>
  <c r="E10" i="22"/>
  <c r="B8" i="24"/>
  <c r="B8" i="23"/>
  <c r="J7" i="24"/>
  <c r="H7" i="23"/>
  <c r="S10" i="22"/>
  <c r="L8" i="24"/>
  <c r="J8" i="23"/>
  <c r="AL10" i="22"/>
  <c r="Z8" i="24"/>
  <c r="AK11" i="22"/>
  <c r="U8" i="23"/>
  <c r="J11" i="22"/>
  <c r="I12" i="22"/>
  <c r="F9" i="24"/>
  <c r="E9" i="23"/>
  <c r="E7" i="24"/>
  <c r="D7" i="23"/>
  <c r="AG11" i="22"/>
  <c r="V9" i="24"/>
  <c r="R9" i="23"/>
  <c r="AN9" i="22"/>
  <c r="AA7" i="24"/>
  <c r="V7" i="23"/>
  <c r="L10" i="22"/>
  <c r="F8" i="23"/>
  <c r="G8" i="24"/>
  <c r="Y8" i="24"/>
  <c r="T8" i="23"/>
  <c r="P12" i="22"/>
  <c r="K9" i="24"/>
  <c r="Q11" i="22"/>
  <c r="I9" i="23"/>
  <c r="AD13" i="22"/>
  <c r="AE12" i="22"/>
  <c r="U10" i="24"/>
  <c r="Q10" i="23"/>
  <c r="B12" i="22"/>
  <c r="C11" i="22"/>
  <c r="A9" i="24"/>
  <c r="A9" i="23"/>
  <c r="O7" i="24" l="1"/>
  <c r="T6" i="23"/>
  <c r="Y6" i="24"/>
  <c r="AS7" i="22"/>
  <c r="AS8" i="22"/>
  <c r="AS5" i="22"/>
  <c r="AS9" i="22"/>
  <c r="AS10" i="22"/>
  <c r="AS6" i="22"/>
  <c r="AS11" i="22"/>
  <c r="AN6" i="22"/>
  <c r="AA4" i="24"/>
  <c r="V4" i="23"/>
  <c r="BN16" i="22"/>
  <c r="BN19" i="22"/>
  <c r="BN18" i="22"/>
  <c r="BN17" i="22"/>
  <c r="BN15" i="22"/>
  <c r="BN25" i="22"/>
  <c r="BN6" i="22"/>
  <c r="BN10" i="22"/>
  <c r="BN11" i="22"/>
  <c r="BN22" i="22"/>
  <c r="BN24" i="22"/>
  <c r="BN7" i="22"/>
  <c r="BN8" i="22"/>
  <c r="BN20" i="22"/>
  <c r="BN13" i="22"/>
  <c r="BN14" i="22"/>
  <c r="BN23" i="22"/>
  <c r="BN21" i="22"/>
  <c r="BN9" i="22"/>
  <c r="BN5" i="22"/>
  <c r="BN12" i="22"/>
  <c r="BG16" i="22"/>
  <c r="BI16" i="22" s="1"/>
  <c r="BG18" i="22"/>
  <c r="BI18" i="22" s="1"/>
  <c r="BG17" i="22"/>
  <c r="BI17" i="22" s="1"/>
  <c r="BG19" i="22"/>
  <c r="BI19" i="22" s="1"/>
  <c r="BG8" i="22"/>
  <c r="BG11" i="22"/>
  <c r="BG12" i="22"/>
  <c r="BG9" i="22"/>
  <c r="BG14" i="22"/>
  <c r="BG7" i="22"/>
  <c r="BG5" i="22"/>
  <c r="BG13" i="22"/>
  <c r="BG10" i="22"/>
  <c r="BG6" i="22"/>
  <c r="BG15" i="22"/>
  <c r="T7" i="23"/>
  <c r="Y7" i="24"/>
  <c r="Y4" i="24"/>
  <c r="T4" i="23"/>
  <c r="BU17" i="22"/>
  <c r="BU19" i="22"/>
  <c r="BW19" i="22" s="1"/>
  <c r="BU18" i="22"/>
  <c r="BU16" i="22"/>
  <c r="BU8" i="22"/>
  <c r="BU15" i="22"/>
  <c r="BU14" i="22"/>
  <c r="BU12" i="22"/>
  <c r="BU7" i="22"/>
  <c r="BU9" i="22"/>
  <c r="BU5" i="22"/>
  <c r="BU11" i="22"/>
  <c r="BU6" i="22"/>
  <c r="BU10" i="22"/>
  <c r="BU13" i="22"/>
  <c r="AA6" i="24"/>
  <c r="V6" i="23"/>
  <c r="AN8" i="22"/>
  <c r="AZ8" i="22"/>
  <c r="AZ7" i="22"/>
  <c r="AZ6" i="22"/>
  <c r="AZ5" i="22"/>
  <c r="AZ9" i="22"/>
  <c r="V3" i="23"/>
  <c r="AN5" i="22"/>
  <c r="AA3" i="24"/>
  <c r="CB7" i="22"/>
  <c r="CB10" i="22"/>
  <c r="CB9" i="22"/>
  <c r="CB5" i="22"/>
  <c r="CB12" i="22"/>
  <c r="CB8" i="22"/>
  <c r="CB11" i="22"/>
  <c r="CB6" i="22"/>
  <c r="T5" i="23"/>
  <c r="Y5" i="24"/>
  <c r="V5" i="23"/>
  <c r="AN7" i="22"/>
  <c r="AA5" i="24"/>
  <c r="Y3" i="24"/>
  <c r="T3" i="23"/>
  <c r="BM26" i="22"/>
  <c r="P23" i="25"/>
  <c r="AK23" i="23"/>
  <c r="Q9" i="24"/>
  <c r="Z11" i="22"/>
  <c r="N9" i="23"/>
  <c r="AA11" i="25"/>
  <c r="CD13" i="22"/>
  <c r="AT11" i="23"/>
  <c r="P8" i="23"/>
  <c r="T8" i="24"/>
  <c r="X12" i="22"/>
  <c r="W13" i="22"/>
  <c r="M10" i="23"/>
  <c r="P10" i="24"/>
  <c r="CA15" i="22"/>
  <c r="CA16" i="22" s="1"/>
  <c r="CA17" i="22" s="1"/>
  <c r="CA18" i="22" s="1"/>
  <c r="CA19" i="22" s="1"/>
  <c r="CB19" i="22" s="1"/>
  <c r="CD19" i="22" s="1"/>
  <c r="Z12" i="25"/>
  <c r="AS12" i="23"/>
  <c r="CB14" i="22"/>
  <c r="K15" i="25"/>
  <c r="AG15" i="23"/>
  <c r="AY12" i="22"/>
  <c r="F9" i="25"/>
  <c r="AC9" i="23"/>
  <c r="AZ11" i="22"/>
  <c r="G8" i="25"/>
  <c r="AD8" i="23"/>
  <c r="BB10" i="22"/>
  <c r="AU12" i="22"/>
  <c r="Z10" i="23"/>
  <c r="B10" i="25"/>
  <c r="BT21" i="22"/>
  <c r="AO18" i="23"/>
  <c r="U18" i="25"/>
  <c r="BU20" i="22"/>
  <c r="AR14" i="22"/>
  <c r="Y11" i="23"/>
  <c r="A11" i="25"/>
  <c r="AS13" i="22"/>
  <c r="AD14" i="22"/>
  <c r="U11" i="24"/>
  <c r="AE13" i="22"/>
  <c r="Q11" i="23"/>
  <c r="Y9" i="24"/>
  <c r="T9" i="23"/>
  <c r="S11" i="22"/>
  <c r="L9" i="24"/>
  <c r="J9" i="23"/>
  <c r="L11" i="22"/>
  <c r="G9" i="24"/>
  <c r="F9" i="23"/>
  <c r="AN10" i="22"/>
  <c r="AA8" i="24"/>
  <c r="V8" i="23"/>
  <c r="C12" i="22"/>
  <c r="B13" i="22"/>
  <c r="A10" i="24"/>
  <c r="A10" i="23"/>
  <c r="J12" i="22"/>
  <c r="I13" i="22"/>
  <c r="F10" i="24"/>
  <c r="E10" i="23"/>
  <c r="O8" i="24"/>
  <c r="L8" i="23"/>
  <c r="J8" i="24"/>
  <c r="H8" i="23"/>
  <c r="AD7" i="24"/>
  <c r="X7" i="23"/>
  <c r="E11" i="22"/>
  <c r="B9" i="24"/>
  <c r="B9" i="23"/>
  <c r="AG12" i="22"/>
  <c r="V10" i="24"/>
  <c r="R10" i="23"/>
  <c r="Q12" i="22"/>
  <c r="P13" i="22"/>
  <c r="K10" i="24"/>
  <c r="I10" i="23"/>
  <c r="AL11" i="22"/>
  <c r="AK12" i="22"/>
  <c r="Z9" i="24"/>
  <c r="U9" i="23"/>
  <c r="E8" i="24"/>
  <c r="D8" i="23"/>
  <c r="AP17" i="23" l="1"/>
  <c r="V17" i="25"/>
  <c r="L12" i="25"/>
  <c r="AH12" i="23"/>
  <c r="BI14" i="22"/>
  <c r="BP21" i="22"/>
  <c r="AL19" i="23"/>
  <c r="Q19" i="25"/>
  <c r="BP7" i="22"/>
  <c r="AL5" i="23"/>
  <c r="Q5" i="25"/>
  <c r="Q4" i="25"/>
  <c r="AL4" i="23"/>
  <c r="BP6" i="22"/>
  <c r="B6" i="25"/>
  <c r="Z6" i="23"/>
  <c r="AU8" i="22"/>
  <c r="AD3" i="24"/>
  <c r="X3" i="23"/>
  <c r="V4" i="25"/>
  <c r="AP4" i="23"/>
  <c r="BW6" i="22"/>
  <c r="V6" i="25"/>
  <c r="AP6" i="23"/>
  <c r="BW8" i="22"/>
  <c r="BI9" i="22"/>
  <c r="AH7" i="23"/>
  <c r="L7" i="25"/>
  <c r="AL21" i="23"/>
  <c r="Q21" i="25"/>
  <c r="BP23" i="22"/>
  <c r="BP24" i="22"/>
  <c r="Q22" i="25"/>
  <c r="AL22" i="23"/>
  <c r="B5" i="25"/>
  <c r="Z5" i="23"/>
  <c r="AU7" i="22"/>
  <c r="CD5" i="22"/>
  <c r="AA3" i="25"/>
  <c r="AT3" i="23"/>
  <c r="CD10" i="22"/>
  <c r="AA8" i="25"/>
  <c r="AT8" i="23"/>
  <c r="V9" i="25"/>
  <c r="BW11" i="22"/>
  <c r="AP9" i="23"/>
  <c r="BW16" i="22"/>
  <c r="AP14" i="23"/>
  <c r="V14" i="25"/>
  <c r="BI15" i="22"/>
  <c r="L13" i="25"/>
  <c r="AH13" i="23"/>
  <c r="L10" i="25"/>
  <c r="AH10" i="23"/>
  <c r="BI12" i="22"/>
  <c r="AL12" i="23"/>
  <c r="BP14" i="22"/>
  <c r="Q12" i="25"/>
  <c r="Q23" i="25"/>
  <c r="AL23" i="23"/>
  <c r="BP25" i="22"/>
  <c r="AD4" i="24"/>
  <c r="X4" i="23"/>
  <c r="AD5" i="24"/>
  <c r="X5" i="23"/>
  <c r="AA5" i="25"/>
  <c r="CD7" i="22"/>
  <c r="AT5" i="23"/>
  <c r="AD7" i="23"/>
  <c r="BB9" i="22"/>
  <c r="G7" i="25"/>
  <c r="AP3" i="23"/>
  <c r="BW5" i="22"/>
  <c r="V3" i="25"/>
  <c r="BW18" i="22"/>
  <c r="AP16" i="23"/>
  <c r="V16" i="25"/>
  <c r="AH4" i="23"/>
  <c r="L4" i="25"/>
  <c r="BI6" i="22"/>
  <c r="BI11" i="22"/>
  <c r="L9" i="25"/>
  <c r="AH9" i="23"/>
  <c r="AL10" i="23"/>
  <c r="BP12" i="22"/>
  <c r="Q10" i="25"/>
  <c r="BP15" i="22"/>
  <c r="AL13" i="23"/>
  <c r="Q13" i="25"/>
  <c r="AU11" i="22"/>
  <c r="B9" i="25"/>
  <c r="Z9" i="23"/>
  <c r="BM27" i="22"/>
  <c r="P24" i="25"/>
  <c r="AK24" i="23"/>
  <c r="CD6" i="22"/>
  <c r="AT4" i="23"/>
  <c r="AA4" i="25"/>
  <c r="G3" i="25"/>
  <c r="AD3" i="23"/>
  <c r="BB5" i="22"/>
  <c r="AD6" i="24"/>
  <c r="X6" i="23"/>
  <c r="V7" i="25"/>
  <c r="BW9" i="22"/>
  <c r="AP7" i="23"/>
  <c r="AH8" i="23"/>
  <c r="BI10" i="22"/>
  <c r="L8" i="25"/>
  <c r="BI8" i="22"/>
  <c r="L6" i="25"/>
  <c r="AH6" i="23"/>
  <c r="AL11" i="23"/>
  <c r="Q11" i="25"/>
  <c r="BP13" i="22"/>
  <c r="BP22" i="22"/>
  <c r="AL20" i="23"/>
  <c r="Q20" i="25"/>
  <c r="BP17" i="22"/>
  <c r="Q15" i="25"/>
  <c r="AL15" i="23"/>
  <c r="B4" i="25"/>
  <c r="Z4" i="23"/>
  <c r="AU6" i="22"/>
  <c r="BW10" i="22"/>
  <c r="AP8" i="23"/>
  <c r="V8" i="25"/>
  <c r="AA9" i="25"/>
  <c r="AT9" i="23"/>
  <c r="CD11" i="22"/>
  <c r="CB17" i="22"/>
  <c r="CD17" i="22" s="1"/>
  <c r="BB6" i="22"/>
  <c r="AD4" i="23"/>
  <c r="G4" i="25"/>
  <c r="BW7" i="22"/>
  <c r="V5" i="25"/>
  <c r="AP5" i="23"/>
  <c r="BW17" i="22"/>
  <c r="AP15" i="23"/>
  <c r="V15" i="25"/>
  <c r="BI13" i="22"/>
  <c r="AH11" i="23"/>
  <c r="L11" i="25"/>
  <c r="AL3" i="23"/>
  <c r="BP5" i="22"/>
  <c r="Q3" i="25"/>
  <c r="BN26" i="22"/>
  <c r="Q9" i="25"/>
  <c r="BP11" i="22"/>
  <c r="AL9" i="23"/>
  <c r="BP18" i="22"/>
  <c r="Q16" i="25"/>
  <c r="AL16" i="23"/>
  <c r="B8" i="25"/>
  <c r="Z8" i="23"/>
  <c r="AU10" i="22"/>
  <c r="BW15" i="22"/>
  <c r="V13" i="25"/>
  <c r="AP13" i="23"/>
  <c r="L14" i="25"/>
  <c r="AT6" i="23"/>
  <c r="CD8" i="22"/>
  <c r="AA6" i="25"/>
  <c r="CB18" i="22"/>
  <c r="CD18" i="22" s="1"/>
  <c r="BB7" i="22"/>
  <c r="AD5" i="23"/>
  <c r="G5" i="25"/>
  <c r="AP10" i="23"/>
  <c r="BW12" i="22"/>
  <c r="V10" i="25"/>
  <c r="BI5" i="22"/>
  <c r="AH3" i="23"/>
  <c r="L3" i="25"/>
  <c r="Q7" i="25"/>
  <c r="BP9" i="22"/>
  <c r="AL7" i="23"/>
  <c r="AL18" i="23"/>
  <c r="BP20" i="22"/>
  <c r="Q18" i="25"/>
  <c r="Q8" i="25"/>
  <c r="AL8" i="23"/>
  <c r="BP10" i="22"/>
  <c r="BP19" i="22"/>
  <c r="AL17" i="23"/>
  <c r="Q17" i="25"/>
  <c r="B7" i="25"/>
  <c r="Z7" i="23"/>
  <c r="AU9" i="22"/>
  <c r="CD9" i="22"/>
  <c r="AA7" i="25"/>
  <c r="AT7" i="23"/>
  <c r="AH14" i="23"/>
  <c r="AA10" i="25"/>
  <c r="AT10" i="23"/>
  <c r="CD12" i="22"/>
  <c r="CB16" i="22"/>
  <c r="CD16" i="22" s="1"/>
  <c r="BB8" i="22"/>
  <c r="G6" i="25"/>
  <c r="AD6" i="23"/>
  <c r="BW13" i="22"/>
  <c r="AP11" i="23"/>
  <c r="V11" i="25"/>
  <c r="V12" i="25"/>
  <c r="AP12" i="23"/>
  <c r="BW14" i="22"/>
  <c r="BI7" i="22"/>
  <c r="L5" i="25"/>
  <c r="AH5" i="23"/>
  <c r="AL6" i="23"/>
  <c r="Q6" i="25"/>
  <c r="BP8" i="22"/>
  <c r="BP16" i="22"/>
  <c r="AL14" i="23"/>
  <c r="Q14" i="25"/>
  <c r="AU5" i="22"/>
  <c r="B3" i="25"/>
  <c r="Z3" i="23"/>
  <c r="CD14" i="22"/>
  <c r="AA12" i="25"/>
  <c r="AT12" i="23"/>
  <c r="AV11" i="23"/>
  <c r="AD11" i="25"/>
  <c r="T9" i="24"/>
  <c r="P9" i="23"/>
  <c r="Z13" i="25"/>
  <c r="AS13" i="23"/>
  <c r="CB15" i="22"/>
  <c r="Z12" i="22"/>
  <c r="Q10" i="24"/>
  <c r="N10" i="23"/>
  <c r="M11" i="23"/>
  <c r="P11" i="24"/>
  <c r="W14" i="22"/>
  <c r="W15" i="22" s="1"/>
  <c r="W16" i="22" s="1"/>
  <c r="X13" i="22"/>
  <c r="E10" i="25"/>
  <c r="AB10" i="23"/>
  <c r="AD9" i="23"/>
  <c r="G9" i="25"/>
  <c r="BB11" i="22"/>
  <c r="AG16" i="23"/>
  <c r="K16" i="25"/>
  <c r="AU13" i="22"/>
  <c r="Z11" i="23"/>
  <c r="B11" i="25"/>
  <c r="V18" i="25"/>
  <c r="AP18" i="23"/>
  <c r="BW20" i="22"/>
  <c r="AF8" i="23"/>
  <c r="J8" i="25"/>
  <c r="AJ14" i="23"/>
  <c r="O14" i="25"/>
  <c r="AH15" i="23"/>
  <c r="L15" i="25"/>
  <c r="AR17" i="23"/>
  <c r="Y17" i="25"/>
  <c r="AR15" i="22"/>
  <c r="AR16" i="22" s="1"/>
  <c r="A12" i="25"/>
  <c r="Y12" i="23"/>
  <c r="AS14" i="22"/>
  <c r="BT22" i="22"/>
  <c r="U19" i="25"/>
  <c r="AO19" i="23"/>
  <c r="BU21" i="22"/>
  <c r="AY13" i="22"/>
  <c r="F10" i="25"/>
  <c r="AC10" i="23"/>
  <c r="AZ12" i="22"/>
  <c r="J13" i="22"/>
  <c r="F11" i="24"/>
  <c r="I14" i="22"/>
  <c r="E11" i="23"/>
  <c r="B14" i="22"/>
  <c r="C13" i="22"/>
  <c r="A11" i="24"/>
  <c r="A11" i="23"/>
  <c r="AG13" i="22"/>
  <c r="V11" i="24"/>
  <c r="R11" i="23"/>
  <c r="AL12" i="22"/>
  <c r="AK13" i="22"/>
  <c r="Z10" i="24"/>
  <c r="U10" i="23"/>
  <c r="P14" i="22"/>
  <c r="Q13" i="22"/>
  <c r="K11" i="24"/>
  <c r="I11" i="23"/>
  <c r="Y10" i="24"/>
  <c r="T10" i="23"/>
  <c r="L12" i="22"/>
  <c r="G10" i="24"/>
  <c r="F10" i="23"/>
  <c r="E12" i="22"/>
  <c r="B10" i="24"/>
  <c r="B10" i="23"/>
  <c r="AD8" i="24"/>
  <c r="X8" i="23"/>
  <c r="J9" i="24"/>
  <c r="H9" i="23"/>
  <c r="AA9" i="24"/>
  <c r="AN11" i="22"/>
  <c r="V9" i="23"/>
  <c r="S12" i="22"/>
  <c r="L10" i="24"/>
  <c r="J10" i="23"/>
  <c r="E9" i="24"/>
  <c r="D9" i="23"/>
  <c r="O9" i="24"/>
  <c r="L9" i="23"/>
  <c r="AE14" i="22"/>
  <c r="AD15" i="22"/>
  <c r="AD16" i="22" s="1"/>
  <c r="U12" i="24"/>
  <c r="Q12" i="23"/>
  <c r="O3" i="25" l="1"/>
  <c r="AJ3" i="23"/>
  <c r="Q24" i="25"/>
  <c r="BP26" i="22"/>
  <c r="AL24" i="23"/>
  <c r="Y15" i="25"/>
  <c r="AR15" i="23"/>
  <c r="AD9" i="25"/>
  <c r="AV9" i="23"/>
  <c r="E9" i="25"/>
  <c r="AB9" i="23"/>
  <c r="O13" i="25"/>
  <c r="AJ13" i="23"/>
  <c r="O7" i="25"/>
  <c r="AJ7" i="23"/>
  <c r="AN18" i="23"/>
  <c r="T18" i="25"/>
  <c r="AV6" i="23"/>
  <c r="AD6" i="25"/>
  <c r="AR7" i="23"/>
  <c r="Y7" i="25"/>
  <c r="O9" i="25"/>
  <c r="AJ9" i="23"/>
  <c r="Y3" i="25"/>
  <c r="AR3" i="23"/>
  <c r="AN12" i="23"/>
  <c r="T12" i="25"/>
  <c r="AD8" i="25"/>
  <c r="AV8" i="23"/>
  <c r="Y6" i="25"/>
  <c r="AR6" i="23"/>
  <c r="E6" i="25"/>
  <c r="AB6" i="23"/>
  <c r="T5" i="25"/>
  <c r="AN5" i="23"/>
  <c r="AN6" i="23"/>
  <c r="T6" i="25"/>
  <c r="W17" i="22"/>
  <c r="X16" i="22"/>
  <c r="Z16" i="22" s="1"/>
  <c r="AR10" i="23"/>
  <c r="Y10" i="25"/>
  <c r="AV4" i="23"/>
  <c r="AD4" i="25"/>
  <c r="AJ4" i="23"/>
  <c r="O4" i="25"/>
  <c r="AN22" i="23"/>
  <c r="T22" i="25"/>
  <c r="AD10" i="25"/>
  <c r="AV10" i="23"/>
  <c r="AR17" i="22"/>
  <c r="AS16" i="22"/>
  <c r="AU16" i="22" s="1"/>
  <c r="Y11" i="25"/>
  <c r="AR11" i="23"/>
  <c r="AR5" i="23"/>
  <c r="Y5" i="25"/>
  <c r="T15" i="25"/>
  <c r="AN15" i="23"/>
  <c r="T13" i="25"/>
  <c r="AN13" i="23"/>
  <c r="AJ10" i="23"/>
  <c r="O10" i="25"/>
  <c r="Y14" i="25"/>
  <c r="AR14" i="23"/>
  <c r="AN21" i="23"/>
  <c r="T21" i="25"/>
  <c r="O6" i="25"/>
  <c r="AJ6" i="23"/>
  <c r="J7" i="25"/>
  <c r="AF7" i="23"/>
  <c r="AV3" i="23"/>
  <c r="AD3" i="25"/>
  <c r="AR4" i="23"/>
  <c r="Y4" i="25"/>
  <c r="AN4" i="23"/>
  <c r="T4" i="25"/>
  <c r="T19" i="25"/>
  <c r="AN19" i="23"/>
  <c r="E3" i="25"/>
  <c r="AB3" i="23"/>
  <c r="AN17" i="23"/>
  <c r="T17" i="25"/>
  <c r="T7" i="25"/>
  <c r="AN7" i="23"/>
  <c r="AN16" i="23"/>
  <c r="T16" i="25"/>
  <c r="AD17" i="22"/>
  <c r="AE16" i="22"/>
  <c r="AG16" i="22" s="1"/>
  <c r="O5" i="25"/>
  <c r="AJ5" i="23"/>
  <c r="AN8" i="23"/>
  <c r="T8" i="25"/>
  <c r="AN3" i="23"/>
  <c r="T3" i="25"/>
  <c r="AJ11" i="23"/>
  <c r="O11" i="25"/>
  <c r="AR8" i="23"/>
  <c r="Y8" i="25"/>
  <c r="AF3" i="23"/>
  <c r="J3" i="25"/>
  <c r="BM28" i="22"/>
  <c r="P25" i="25"/>
  <c r="AK25" i="23"/>
  <c r="BN27" i="22"/>
  <c r="T10" i="25"/>
  <c r="AN10" i="23"/>
  <c r="T23" i="25"/>
  <c r="AN23" i="23"/>
  <c r="Y9" i="25"/>
  <c r="AR9" i="23"/>
  <c r="E5" i="25"/>
  <c r="AB5" i="23"/>
  <c r="AJ12" i="23"/>
  <c r="O12" i="25"/>
  <c r="AR12" i="23"/>
  <c r="Y12" i="25"/>
  <c r="J6" i="25"/>
  <c r="AF6" i="23"/>
  <c r="AD7" i="25"/>
  <c r="AV7" i="23"/>
  <c r="J5" i="25"/>
  <c r="AF5" i="23"/>
  <c r="Y13" i="25"/>
  <c r="AR13" i="23"/>
  <c r="AN9" i="23"/>
  <c r="T9" i="25"/>
  <c r="AF4" i="23"/>
  <c r="J4" i="25"/>
  <c r="E4" i="25"/>
  <c r="AB4" i="23"/>
  <c r="T20" i="25"/>
  <c r="AN20" i="23"/>
  <c r="O8" i="25"/>
  <c r="AJ8" i="23"/>
  <c r="T14" i="25"/>
  <c r="AN14" i="23"/>
  <c r="E7" i="25"/>
  <c r="AB7" i="23"/>
  <c r="E8" i="25"/>
  <c r="AB8" i="23"/>
  <c r="AN11" i="23"/>
  <c r="T11" i="25"/>
  <c r="AR16" i="23"/>
  <c r="Y16" i="25"/>
  <c r="AV5" i="23"/>
  <c r="AD5" i="25"/>
  <c r="AT13" i="23"/>
  <c r="AA13" i="25"/>
  <c r="CD15" i="22"/>
  <c r="N11" i="23"/>
  <c r="Z13" i="22"/>
  <c r="Q11" i="24"/>
  <c r="P12" i="24"/>
  <c r="M12" i="23"/>
  <c r="X14" i="22"/>
  <c r="T10" i="24"/>
  <c r="P10" i="23"/>
  <c r="Z14" i="25"/>
  <c r="AS14" i="23"/>
  <c r="AV12" i="23"/>
  <c r="AD12" i="25"/>
  <c r="AJ15" i="23"/>
  <c r="O15" i="25"/>
  <c r="AY14" i="22"/>
  <c r="AC11" i="23"/>
  <c r="F11" i="25"/>
  <c r="AZ13" i="22"/>
  <c r="V19" i="25"/>
  <c r="BW21" i="22"/>
  <c r="AP19" i="23"/>
  <c r="AU14" i="22"/>
  <c r="Z12" i="23"/>
  <c r="B12" i="25"/>
  <c r="AB11" i="23"/>
  <c r="E11" i="25"/>
  <c r="BF20" i="22"/>
  <c r="K17" i="25"/>
  <c r="AG17" i="23"/>
  <c r="BT23" i="22"/>
  <c r="U20" i="25"/>
  <c r="AO20" i="23"/>
  <c r="BU22" i="22"/>
  <c r="A13" i="25"/>
  <c r="Y13" i="23"/>
  <c r="AS15" i="22"/>
  <c r="AR18" i="23"/>
  <c r="Y18" i="25"/>
  <c r="G10" i="25"/>
  <c r="AD10" i="23"/>
  <c r="BB12" i="22"/>
  <c r="L16" i="25"/>
  <c r="AH16" i="23"/>
  <c r="J9" i="25"/>
  <c r="AF9" i="23"/>
  <c r="AG14" i="22"/>
  <c r="V12" i="24"/>
  <c r="R12" i="23"/>
  <c r="L11" i="24"/>
  <c r="S13" i="22"/>
  <c r="J11" i="23"/>
  <c r="Q14" i="22"/>
  <c r="P15" i="22"/>
  <c r="P16" i="22" s="1"/>
  <c r="K12" i="24"/>
  <c r="I12" i="23"/>
  <c r="Y11" i="24"/>
  <c r="T11" i="23"/>
  <c r="C14" i="22"/>
  <c r="B15" i="22"/>
  <c r="A12" i="24"/>
  <c r="A12" i="23"/>
  <c r="L13" i="22"/>
  <c r="G11" i="24"/>
  <c r="F11" i="23"/>
  <c r="AD9" i="24"/>
  <c r="X9" i="23"/>
  <c r="J10" i="24"/>
  <c r="H10" i="23"/>
  <c r="AL13" i="22"/>
  <c r="AK14" i="22"/>
  <c r="Z11" i="24"/>
  <c r="U11" i="23"/>
  <c r="E13" i="22"/>
  <c r="B11" i="24"/>
  <c r="B11" i="23"/>
  <c r="AE15" i="22"/>
  <c r="U13" i="24"/>
  <c r="Q13" i="23"/>
  <c r="O10" i="24"/>
  <c r="L10" i="23"/>
  <c r="E10" i="24"/>
  <c r="D10" i="23"/>
  <c r="AN12" i="22"/>
  <c r="AA10" i="24"/>
  <c r="V10" i="23"/>
  <c r="J14" i="22"/>
  <c r="I15" i="22"/>
  <c r="I16" i="22" s="1"/>
  <c r="F12" i="24"/>
  <c r="E12" i="23"/>
  <c r="BM29" i="22" l="1"/>
  <c r="AK26" i="23"/>
  <c r="P26" i="25"/>
  <c r="BN28" i="22"/>
  <c r="P17" i="22"/>
  <c r="Q16" i="22"/>
  <c r="S16" i="22" s="1"/>
  <c r="W18" i="22"/>
  <c r="X17" i="22"/>
  <c r="Z17" i="22" s="1"/>
  <c r="AR18" i="22"/>
  <c r="AS17" i="22"/>
  <c r="AU17" i="22" s="1"/>
  <c r="T24" i="25"/>
  <c r="AN24" i="23"/>
  <c r="AL25" i="23"/>
  <c r="Q25" i="25"/>
  <c r="BP27" i="22"/>
  <c r="AD18" i="22"/>
  <c r="AE17" i="22"/>
  <c r="AG17" i="22" s="1"/>
  <c r="I17" i="22"/>
  <c r="J16" i="22"/>
  <c r="L16" i="22" s="1"/>
  <c r="M13" i="23"/>
  <c r="P13" i="24"/>
  <c r="X15" i="22"/>
  <c r="AV13" i="23"/>
  <c r="AD13" i="25"/>
  <c r="AS15" i="23"/>
  <c r="Z15" i="25"/>
  <c r="Z14" i="22"/>
  <c r="N12" i="23"/>
  <c r="Q12" i="24"/>
  <c r="AA14" i="25"/>
  <c r="AT14" i="23"/>
  <c r="P11" i="23"/>
  <c r="T11" i="24"/>
  <c r="O16" i="25"/>
  <c r="AJ16" i="23"/>
  <c r="AF10" i="23"/>
  <c r="J10" i="25"/>
  <c r="A14" i="25"/>
  <c r="Y14" i="23"/>
  <c r="BT24" i="22"/>
  <c r="U21" i="25"/>
  <c r="AO21" i="23"/>
  <c r="BU23" i="22"/>
  <c r="BF21" i="22"/>
  <c r="K18" i="25"/>
  <c r="AG18" i="23"/>
  <c r="BG20" i="22"/>
  <c r="Y19" i="25"/>
  <c r="AR19" i="23"/>
  <c r="B13" i="25"/>
  <c r="AU15" i="22"/>
  <c r="Z13" i="23"/>
  <c r="AH17" i="23"/>
  <c r="L17" i="25"/>
  <c r="E12" i="25"/>
  <c r="AB12" i="23"/>
  <c r="AY15" i="22"/>
  <c r="AY16" i="22" s="1"/>
  <c r="F12" i="25"/>
  <c r="AC12" i="23"/>
  <c r="AZ14" i="22"/>
  <c r="BB13" i="22"/>
  <c r="G11" i="25"/>
  <c r="AD11" i="23"/>
  <c r="V20" i="25"/>
  <c r="AP20" i="23"/>
  <c r="BW22" i="22"/>
  <c r="AG15" i="22"/>
  <c r="R13" i="23"/>
  <c r="V13" i="24"/>
  <c r="E11" i="24"/>
  <c r="D11" i="23"/>
  <c r="AN13" i="22"/>
  <c r="AA11" i="24"/>
  <c r="V11" i="23"/>
  <c r="S14" i="22"/>
  <c r="L12" i="24"/>
  <c r="J12" i="23"/>
  <c r="O11" i="24"/>
  <c r="L11" i="23"/>
  <c r="AL14" i="22"/>
  <c r="AK15" i="22"/>
  <c r="AK16" i="22" s="1"/>
  <c r="Z12" i="24"/>
  <c r="U12" i="23"/>
  <c r="J11" i="24"/>
  <c r="H11" i="23"/>
  <c r="E14" i="22"/>
  <c r="B12" i="24"/>
  <c r="B12" i="23"/>
  <c r="Q15" i="22"/>
  <c r="K13" i="24"/>
  <c r="I13" i="23"/>
  <c r="J15" i="22"/>
  <c r="F13" i="24"/>
  <c r="E13" i="23"/>
  <c r="AD10" i="24"/>
  <c r="X10" i="23"/>
  <c r="U14" i="24"/>
  <c r="Q14" i="23"/>
  <c r="L14" i="22"/>
  <c r="F12" i="23"/>
  <c r="G12" i="24"/>
  <c r="B16" i="22"/>
  <c r="A13" i="24"/>
  <c r="C15" i="22"/>
  <c r="A13" i="23"/>
  <c r="Y12" i="24"/>
  <c r="T12" i="23"/>
  <c r="W19" i="22" l="1"/>
  <c r="X19" i="22" s="1"/>
  <c r="Z19" i="22" s="1"/>
  <c r="X18" i="22"/>
  <c r="Z18" i="22" s="1"/>
  <c r="AK17" i="22"/>
  <c r="AL16" i="22"/>
  <c r="AN16" i="22" s="1"/>
  <c r="AY17" i="22"/>
  <c r="AZ16" i="22"/>
  <c r="BB16" i="22" s="1"/>
  <c r="I18" i="22"/>
  <c r="J17" i="22"/>
  <c r="L17" i="22" s="1"/>
  <c r="P18" i="22"/>
  <c r="Q17" i="22"/>
  <c r="S17" i="22" s="1"/>
  <c r="BP28" i="22"/>
  <c r="AL26" i="23"/>
  <c r="Q26" i="25"/>
  <c r="B17" i="22"/>
  <c r="C16" i="22"/>
  <c r="E16" i="22" s="1"/>
  <c r="AD19" i="22"/>
  <c r="AE19" i="22" s="1"/>
  <c r="AG19" i="22" s="1"/>
  <c r="AE18" i="22"/>
  <c r="AG18" i="22" s="1"/>
  <c r="AR19" i="22"/>
  <c r="AS19" i="22" s="1"/>
  <c r="AU19" i="22" s="1"/>
  <c r="AS18" i="22"/>
  <c r="AN25" i="23"/>
  <c r="T25" i="25"/>
  <c r="BM30" i="22"/>
  <c r="P27" i="25"/>
  <c r="AK27" i="23"/>
  <c r="BN29" i="22"/>
  <c r="AT15" i="23"/>
  <c r="AA15" i="25"/>
  <c r="N13" i="23"/>
  <c r="Z15" i="22"/>
  <c r="Q13" i="24"/>
  <c r="P12" i="23"/>
  <c r="T12" i="24"/>
  <c r="Z16" i="25"/>
  <c r="AS16" i="23"/>
  <c r="AV14" i="23"/>
  <c r="AD14" i="25"/>
  <c r="M14" i="23"/>
  <c r="P14" i="24"/>
  <c r="AR20" i="23"/>
  <c r="Y20" i="25"/>
  <c r="F13" i="25"/>
  <c r="AC13" i="23"/>
  <c r="AZ15" i="22"/>
  <c r="G12" i="25"/>
  <c r="BB14" i="22"/>
  <c r="AD12" i="23"/>
  <c r="AJ17" i="23"/>
  <c r="O17" i="25"/>
  <c r="BF22" i="22"/>
  <c r="K19" i="25"/>
  <c r="AG19" i="23"/>
  <c r="BG21" i="22"/>
  <c r="BT25" i="22"/>
  <c r="U22" i="25"/>
  <c r="AO22" i="23"/>
  <c r="BU24" i="22"/>
  <c r="A15" i="25"/>
  <c r="Y15" i="23"/>
  <c r="AF11" i="23"/>
  <c r="J11" i="25"/>
  <c r="AB13" i="23"/>
  <c r="E13" i="25"/>
  <c r="L18" i="25"/>
  <c r="AH18" i="23"/>
  <c r="BI20" i="22"/>
  <c r="BW23" i="22"/>
  <c r="V21" i="25"/>
  <c r="AP21" i="23"/>
  <c r="B14" i="25"/>
  <c r="Z14" i="23"/>
  <c r="L15" i="22"/>
  <c r="G13" i="24"/>
  <c r="F13" i="23"/>
  <c r="K14" i="24"/>
  <c r="I14" i="23"/>
  <c r="AL15" i="22"/>
  <c r="Z13" i="24"/>
  <c r="U13" i="23"/>
  <c r="E15" i="22"/>
  <c r="B13" i="24"/>
  <c r="B13" i="23"/>
  <c r="J12" i="24"/>
  <c r="H12" i="23"/>
  <c r="S15" i="22"/>
  <c r="L13" i="24"/>
  <c r="J13" i="23"/>
  <c r="E12" i="24"/>
  <c r="D12" i="23"/>
  <c r="A14" i="24"/>
  <c r="A14" i="23"/>
  <c r="V14" i="24"/>
  <c r="R14" i="23"/>
  <c r="AN14" i="22"/>
  <c r="AA12" i="24"/>
  <c r="V12" i="23"/>
  <c r="U15" i="24"/>
  <c r="Q15" i="23"/>
  <c r="F14" i="24"/>
  <c r="E14" i="23"/>
  <c r="O12" i="24"/>
  <c r="L12" i="23"/>
  <c r="AD11" i="24"/>
  <c r="X11" i="23"/>
  <c r="Y13" i="24"/>
  <c r="T13" i="23"/>
  <c r="AU18" i="22" l="1"/>
  <c r="BM31" i="22"/>
  <c r="P28" i="25"/>
  <c r="AK28" i="23"/>
  <c r="BN30" i="22"/>
  <c r="B18" i="22"/>
  <c r="C17" i="22"/>
  <c r="E17" i="22" s="1"/>
  <c r="I19" i="22"/>
  <c r="J19" i="22" s="1"/>
  <c r="L19" i="22" s="1"/>
  <c r="J18" i="22"/>
  <c r="L18" i="22" s="1"/>
  <c r="AY18" i="22"/>
  <c r="AZ17" i="22"/>
  <c r="AN26" i="23"/>
  <c r="T26" i="25"/>
  <c r="AK18" i="22"/>
  <c r="AL17" i="22"/>
  <c r="AN17" i="22" s="1"/>
  <c r="Q27" i="25"/>
  <c r="AL27" i="23"/>
  <c r="BP29" i="22"/>
  <c r="P19" i="22"/>
  <c r="Q19" i="22" s="1"/>
  <c r="S19" i="22" s="1"/>
  <c r="Q18" i="22"/>
  <c r="S18" i="22" s="1"/>
  <c r="AT16" i="23"/>
  <c r="AA16" i="25"/>
  <c r="N14" i="23"/>
  <c r="Q14" i="24"/>
  <c r="T13" i="24"/>
  <c r="P13" i="23"/>
  <c r="AV15" i="23"/>
  <c r="AD15" i="25"/>
  <c r="M15" i="23"/>
  <c r="P15" i="24"/>
  <c r="CA20" i="22"/>
  <c r="Z17" i="25"/>
  <c r="AS17" i="23"/>
  <c r="AJ18" i="23"/>
  <c r="O18" i="25"/>
  <c r="B15" i="25"/>
  <c r="Z15" i="23"/>
  <c r="AP22" i="23"/>
  <c r="BW24" i="22"/>
  <c r="V22" i="25"/>
  <c r="AH19" i="23"/>
  <c r="BI21" i="22"/>
  <c r="L19" i="25"/>
  <c r="AF12" i="23"/>
  <c r="J12" i="25"/>
  <c r="E14" i="25"/>
  <c r="AB14" i="23"/>
  <c r="G13" i="25"/>
  <c r="BB15" i="22"/>
  <c r="AD13" i="23"/>
  <c r="F14" i="25"/>
  <c r="AC14" i="23"/>
  <c r="Y21" i="25"/>
  <c r="AR21" i="23"/>
  <c r="A16" i="25"/>
  <c r="Y16" i="23"/>
  <c r="BT26" i="22"/>
  <c r="AO23" i="23"/>
  <c r="U23" i="25"/>
  <c r="BU25" i="22"/>
  <c r="BF23" i="22"/>
  <c r="AG20" i="23"/>
  <c r="K20" i="25"/>
  <c r="BG22" i="22"/>
  <c r="F15" i="24"/>
  <c r="E15" i="23"/>
  <c r="V15" i="24"/>
  <c r="R15" i="23"/>
  <c r="AD12" i="24"/>
  <c r="X12" i="23"/>
  <c r="G14" i="24"/>
  <c r="F14" i="23"/>
  <c r="U16" i="24"/>
  <c r="Q16" i="23"/>
  <c r="A15" i="24"/>
  <c r="A15" i="23"/>
  <c r="Z14" i="24"/>
  <c r="U14" i="23"/>
  <c r="K15" i="24"/>
  <c r="I15" i="23"/>
  <c r="J13" i="24"/>
  <c r="H13" i="23"/>
  <c r="Y14" i="24"/>
  <c r="T14" i="23"/>
  <c r="B14" i="23"/>
  <c r="B14" i="24"/>
  <c r="O13" i="24"/>
  <c r="L13" i="23"/>
  <c r="E13" i="24"/>
  <c r="D13" i="23"/>
  <c r="AA13" i="24"/>
  <c r="AN15" i="22"/>
  <c r="V13" i="23"/>
  <c r="J14" i="23"/>
  <c r="L14" i="24"/>
  <c r="BB17" i="22" l="1"/>
  <c r="AK19" i="22"/>
  <c r="AL19" i="22" s="1"/>
  <c r="AN19" i="22" s="1"/>
  <c r="AL18" i="22"/>
  <c r="AN18" i="22" s="1"/>
  <c r="B19" i="22"/>
  <c r="C19" i="22" s="1"/>
  <c r="E19" i="22" s="1"/>
  <c r="C18" i="22"/>
  <c r="E18" i="22" s="1"/>
  <c r="BP30" i="22"/>
  <c r="AL28" i="23"/>
  <c r="Q28" i="25"/>
  <c r="AN27" i="23"/>
  <c r="T27" i="25"/>
  <c r="AY19" i="22"/>
  <c r="AZ19" i="22" s="1"/>
  <c r="BB19" i="22" s="1"/>
  <c r="AZ18" i="22"/>
  <c r="BB18" i="22" s="1"/>
  <c r="BM32" i="22"/>
  <c r="P29" i="25"/>
  <c r="AK29" i="23"/>
  <c r="BN31" i="22"/>
  <c r="CA21" i="22"/>
  <c r="Z18" i="25"/>
  <c r="AS18" i="23"/>
  <c r="CB20" i="22"/>
  <c r="P14" i="23"/>
  <c r="T14" i="24"/>
  <c r="AT17" i="23"/>
  <c r="AA17" i="25"/>
  <c r="AV16" i="23"/>
  <c r="AD16" i="25"/>
  <c r="N15" i="23"/>
  <c r="Q15" i="24"/>
  <c r="P16" i="24"/>
  <c r="M16" i="23"/>
  <c r="K21" i="25"/>
  <c r="AG21" i="23"/>
  <c r="BF24" i="22"/>
  <c r="BG23" i="22"/>
  <c r="BT27" i="22"/>
  <c r="U24" i="25"/>
  <c r="AO24" i="23"/>
  <c r="BU26" i="22"/>
  <c r="AR20" i="22"/>
  <c r="A17" i="25"/>
  <c r="Y17" i="23"/>
  <c r="O19" i="25"/>
  <c r="AJ19" i="23"/>
  <c r="AH20" i="23"/>
  <c r="L20" i="25"/>
  <c r="BI22" i="22"/>
  <c r="AP23" i="23"/>
  <c r="BW25" i="22"/>
  <c r="V23" i="25"/>
  <c r="B16" i="25"/>
  <c r="Z16" i="23"/>
  <c r="J13" i="25"/>
  <c r="AF13" i="23"/>
  <c r="AR22" i="23"/>
  <c r="Y22" i="25"/>
  <c r="AC15" i="23"/>
  <c r="F15" i="25"/>
  <c r="G14" i="25"/>
  <c r="AD14" i="23"/>
  <c r="E15" i="25"/>
  <c r="AB15" i="23"/>
  <c r="B15" i="24"/>
  <c r="B15" i="23"/>
  <c r="AD13" i="24"/>
  <c r="X13" i="23"/>
  <c r="E14" i="24"/>
  <c r="D14" i="23"/>
  <c r="K16" i="24"/>
  <c r="I16" i="23"/>
  <c r="AA14" i="24"/>
  <c r="V14" i="23"/>
  <c r="A16" i="24"/>
  <c r="A16" i="23"/>
  <c r="AD20" i="22"/>
  <c r="U17" i="24"/>
  <c r="Q17" i="23"/>
  <c r="F16" i="24"/>
  <c r="E16" i="23"/>
  <c r="Z15" i="24"/>
  <c r="U15" i="23"/>
  <c r="L15" i="24"/>
  <c r="J15" i="23"/>
  <c r="O14" i="24"/>
  <c r="L14" i="23"/>
  <c r="V16" i="24"/>
  <c r="R16" i="23"/>
  <c r="H14" i="23"/>
  <c r="J14" i="24"/>
  <c r="Y15" i="24"/>
  <c r="T15" i="23"/>
  <c r="G15" i="24"/>
  <c r="F15" i="23"/>
  <c r="Q29" i="25" l="1"/>
  <c r="AL29" i="23"/>
  <c r="BP31" i="22"/>
  <c r="BM33" i="22"/>
  <c r="P30" i="25"/>
  <c r="AK30" i="23"/>
  <c r="BN32" i="22"/>
  <c r="AN28" i="23"/>
  <c r="T28" i="25"/>
  <c r="AA18" i="25"/>
  <c r="CD20" i="22"/>
  <c r="AT18" i="23"/>
  <c r="M17" i="23"/>
  <c r="W20" i="22"/>
  <c r="P17" i="24"/>
  <c r="Q16" i="24"/>
  <c r="N16" i="23"/>
  <c r="P15" i="23"/>
  <c r="T15" i="24"/>
  <c r="AD17" i="25"/>
  <c r="AV17" i="23"/>
  <c r="CA22" i="22"/>
  <c r="AS19" i="23"/>
  <c r="Z19" i="25"/>
  <c r="CB21" i="22"/>
  <c r="F16" i="25"/>
  <c r="AC16" i="23"/>
  <c r="B17" i="25"/>
  <c r="Z17" i="23"/>
  <c r="L21" i="25"/>
  <c r="AH21" i="23"/>
  <c r="BI23" i="22"/>
  <c r="G15" i="25"/>
  <c r="AD15" i="23"/>
  <c r="AR23" i="23"/>
  <c r="Y23" i="25"/>
  <c r="BF25" i="22"/>
  <c r="K22" i="25"/>
  <c r="AG22" i="23"/>
  <c r="BG24" i="22"/>
  <c r="AP24" i="23"/>
  <c r="BW26" i="22"/>
  <c r="V24" i="25"/>
  <c r="AF14" i="23"/>
  <c r="J14" i="25"/>
  <c r="AB16" i="23"/>
  <c r="E16" i="25"/>
  <c r="O20" i="25"/>
  <c r="AJ20" i="23"/>
  <c r="A18" i="25"/>
  <c r="Y18" i="23"/>
  <c r="AR21" i="22"/>
  <c r="AS20" i="22"/>
  <c r="BT28" i="22"/>
  <c r="U25" i="25"/>
  <c r="AO25" i="23"/>
  <c r="BU27" i="22"/>
  <c r="I20" i="22"/>
  <c r="F17" i="24"/>
  <c r="E17" i="23"/>
  <c r="AD14" i="24"/>
  <c r="X14" i="23"/>
  <c r="Y16" i="24"/>
  <c r="T16" i="23"/>
  <c r="AA15" i="24"/>
  <c r="V15" i="23"/>
  <c r="F16" i="23"/>
  <c r="G16" i="24"/>
  <c r="AD21" i="22"/>
  <c r="AE20" i="22"/>
  <c r="U18" i="24"/>
  <c r="Q18" i="23"/>
  <c r="B16" i="24"/>
  <c r="B16" i="23"/>
  <c r="Z16" i="24"/>
  <c r="U16" i="23"/>
  <c r="V17" i="24"/>
  <c r="R17" i="23"/>
  <c r="B20" i="22"/>
  <c r="A17" i="24"/>
  <c r="A17" i="23"/>
  <c r="L16" i="24"/>
  <c r="J16" i="23"/>
  <c r="J15" i="24"/>
  <c r="H15" i="23"/>
  <c r="O15" i="24"/>
  <c r="L15" i="23"/>
  <c r="P20" i="22"/>
  <c r="K17" i="24"/>
  <c r="I17" i="23"/>
  <c r="E15" i="24"/>
  <c r="D15" i="23"/>
  <c r="AL30" i="23" l="1"/>
  <c r="Q30" i="25"/>
  <c r="BP32" i="22"/>
  <c r="AN29" i="23"/>
  <c r="T29" i="25"/>
  <c r="BM34" i="22"/>
  <c r="P31" i="25"/>
  <c r="AK31" i="23"/>
  <c r="BN33" i="22"/>
  <c r="CD21" i="22"/>
  <c r="AT19" i="23"/>
  <c r="AA19" i="25"/>
  <c r="M18" i="23"/>
  <c r="X20" i="22"/>
  <c r="W21" i="22"/>
  <c r="P18" i="24"/>
  <c r="CA23" i="22"/>
  <c r="AS20" i="23"/>
  <c r="Z20" i="25"/>
  <c r="CB22" i="22"/>
  <c r="P16" i="23"/>
  <c r="T16" i="24"/>
  <c r="AV18" i="23"/>
  <c r="AD18" i="25"/>
  <c r="N17" i="23"/>
  <c r="Q17" i="24"/>
  <c r="AP25" i="23"/>
  <c r="BW27" i="22"/>
  <c r="V25" i="25"/>
  <c r="AU20" i="22"/>
  <c r="Z18" i="23"/>
  <c r="B18" i="25"/>
  <c r="AD16" i="23"/>
  <c r="G16" i="25"/>
  <c r="AR24" i="23"/>
  <c r="Y24" i="25"/>
  <c r="O21" i="25"/>
  <c r="AJ21" i="23"/>
  <c r="AH22" i="23"/>
  <c r="L22" i="25"/>
  <c r="BI24" i="22"/>
  <c r="AR22" i="22"/>
  <c r="A19" i="25"/>
  <c r="Y19" i="23"/>
  <c r="AS21" i="22"/>
  <c r="U26" i="25"/>
  <c r="BT29" i="22"/>
  <c r="AO26" i="23"/>
  <c r="BU28" i="22"/>
  <c r="K23" i="25"/>
  <c r="BF26" i="22"/>
  <c r="AG23" i="23"/>
  <c r="BG25" i="22"/>
  <c r="AF15" i="23"/>
  <c r="J15" i="25"/>
  <c r="E17" i="25"/>
  <c r="AB17" i="23"/>
  <c r="AY20" i="22"/>
  <c r="F17" i="25"/>
  <c r="AC17" i="23"/>
  <c r="AD22" i="22"/>
  <c r="AE21" i="22"/>
  <c r="U19" i="24"/>
  <c r="Q19" i="23"/>
  <c r="C20" i="22"/>
  <c r="B21" i="22"/>
  <c r="A18" i="24"/>
  <c r="A18" i="23"/>
  <c r="AG20" i="22"/>
  <c r="V18" i="24"/>
  <c r="R18" i="23"/>
  <c r="L17" i="24"/>
  <c r="J17" i="23"/>
  <c r="Y17" i="24"/>
  <c r="T17" i="23"/>
  <c r="V16" i="23"/>
  <c r="AA16" i="24"/>
  <c r="E16" i="24"/>
  <c r="D16" i="23"/>
  <c r="J20" i="22"/>
  <c r="I21" i="22"/>
  <c r="F18" i="24"/>
  <c r="E18" i="23"/>
  <c r="Q20" i="22"/>
  <c r="P21" i="22"/>
  <c r="K18" i="24"/>
  <c r="I18" i="23"/>
  <c r="O16" i="24"/>
  <c r="L16" i="23"/>
  <c r="J16" i="24"/>
  <c r="H16" i="23"/>
  <c r="AK20" i="22"/>
  <c r="Z17" i="24"/>
  <c r="U17" i="23"/>
  <c r="B17" i="24"/>
  <c r="B17" i="23"/>
  <c r="AD15" i="24"/>
  <c r="X15" i="23"/>
  <c r="F17" i="23"/>
  <c r="G17" i="24"/>
  <c r="BM35" i="22" l="1"/>
  <c r="AK32" i="23"/>
  <c r="P32" i="25"/>
  <c r="BN34" i="22"/>
  <c r="AN30" i="23"/>
  <c r="T30" i="25"/>
  <c r="Q31" i="25"/>
  <c r="BP33" i="22"/>
  <c r="AL31" i="23"/>
  <c r="T17" i="24"/>
  <c r="P17" i="23"/>
  <c r="AT20" i="23"/>
  <c r="CD22" i="22"/>
  <c r="AA20" i="25"/>
  <c r="CA24" i="22"/>
  <c r="Z21" i="25"/>
  <c r="AS21" i="23"/>
  <c r="CB23" i="22"/>
  <c r="X21" i="22"/>
  <c r="P19" i="24"/>
  <c r="W22" i="22"/>
  <c r="M19" i="23"/>
  <c r="Q18" i="24"/>
  <c r="N18" i="23"/>
  <c r="Z20" i="22"/>
  <c r="AV19" i="23"/>
  <c r="AD19" i="25"/>
  <c r="AY21" i="22"/>
  <c r="F18" i="25"/>
  <c r="AC18" i="23"/>
  <c r="AZ20" i="22"/>
  <c r="BT30" i="22"/>
  <c r="U27" i="25"/>
  <c r="AO27" i="23"/>
  <c r="BU29" i="22"/>
  <c r="Y25" i="25"/>
  <c r="AR25" i="23"/>
  <c r="K24" i="25"/>
  <c r="BF27" i="22"/>
  <c r="BG26" i="22"/>
  <c r="AG24" i="23"/>
  <c r="AF16" i="23"/>
  <c r="J16" i="25"/>
  <c r="G17" i="25"/>
  <c r="AD17" i="23"/>
  <c r="L23" i="25"/>
  <c r="BI25" i="22"/>
  <c r="AH23" i="23"/>
  <c r="AR23" i="22"/>
  <c r="AS22" i="22"/>
  <c r="A20" i="25"/>
  <c r="Y20" i="23"/>
  <c r="AJ22" i="23"/>
  <c r="O22" i="25"/>
  <c r="V26" i="25"/>
  <c r="BW28" i="22"/>
  <c r="AP26" i="23"/>
  <c r="Z19" i="23"/>
  <c r="AU21" i="22"/>
  <c r="B19" i="25"/>
  <c r="AB18" i="23"/>
  <c r="E18" i="25"/>
  <c r="J17" i="24"/>
  <c r="H17" i="23"/>
  <c r="AL20" i="22"/>
  <c r="AK21" i="22"/>
  <c r="Z18" i="24"/>
  <c r="U18" i="23"/>
  <c r="P22" i="22"/>
  <c r="Q21" i="22"/>
  <c r="K19" i="24"/>
  <c r="I19" i="23"/>
  <c r="L20" i="22"/>
  <c r="F18" i="23"/>
  <c r="G18" i="24"/>
  <c r="AA17" i="24"/>
  <c r="V17" i="23"/>
  <c r="S20" i="22"/>
  <c r="L18" i="24"/>
  <c r="J18" i="23"/>
  <c r="AD16" i="24"/>
  <c r="X16" i="23"/>
  <c r="O17" i="24"/>
  <c r="L17" i="23"/>
  <c r="B22" i="22"/>
  <c r="C21" i="22"/>
  <c r="A19" i="24"/>
  <c r="A19" i="23"/>
  <c r="AG21" i="22"/>
  <c r="V19" i="24"/>
  <c r="R19" i="23"/>
  <c r="J21" i="22"/>
  <c r="I22" i="22"/>
  <c r="F19" i="24"/>
  <c r="E19" i="23"/>
  <c r="E17" i="24"/>
  <c r="D17" i="23"/>
  <c r="Y18" i="24"/>
  <c r="T18" i="23"/>
  <c r="E20" i="22"/>
  <c r="B18" i="24"/>
  <c r="B18" i="23"/>
  <c r="AE22" i="22"/>
  <c r="U20" i="24"/>
  <c r="AD23" i="22"/>
  <c r="Q20" i="23"/>
  <c r="AN31" i="23" l="1"/>
  <c r="T31" i="25"/>
  <c r="BP34" i="22"/>
  <c r="AL32" i="23"/>
  <c r="Q32" i="25"/>
  <c r="P33" i="25"/>
  <c r="AK33" i="23"/>
  <c r="BN35" i="22"/>
  <c r="W23" i="22"/>
  <c r="P20" i="24"/>
  <c r="M20" i="23"/>
  <c r="X22" i="22"/>
  <c r="AD20" i="25"/>
  <c r="AV20" i="23"/>
  <c r="Z21" i="22"/>
  <c r="Q19" i="24"/>
  <c r="N19" i="23"/>
  <c r="CA25" i="22"/>
  <c r="Z22" i="25"/>
  <c r="AS22" i="23"/>
  <c r="CB24" i="22"/>
  <c r="P18" i="23"/>
  <c r="T18" i="24"/>
  <c r="AT21" i="23"/>
  <c r="CD23" i="22"/>
  <c r="AA21" i="25"/>
  <c r="J17" i="25"/>
  <c r="AF17" i="23"/>
  <c r="AR26" i="23"/>
  <c r="Y26" i="25"/>
  <c r="BF28" i="22"/>
  <c r="K25" i="25"/>
  <c r="AG25" i="23"/>
  <c r="BG27" i="22"/>
  <c r="AD18" i="23"/>
  <c r="BB20" i="22"/>
  <c r="G18" i="25"/>
  <c r="AU22" i="22"/>
  <c r="B20" i="25"/>
  <c r="Z20" i="23"/>
  <c r="V27" i="25"/>
  <c r="AP27" i="23"/>
  <c r="BW29" i="22"/>
  <c r="AB19" i="23"/>
  <c r="E19" i="25"/>
  <c r="Y21" i="23"/>
  <c r="A21" i="25"/>
  <c r="AR24" i="22"/>
  <c r="AS23" i="22"/>
  <c r="O23" i="25"/>
  <c r="AJ23" i="23"/>
  <c r="BI26" i="22"/>
  <c r="L24" i="25"/>
  <c r="AH24" i="23"/>
  <c r="BT31" i="22"/>
  <c r="U28" i="25"/>
  <c r="AO28" i="23"/>
  <c r="BU30" i="22"/>
  <c r="AY22" i="22"/>
  <c r="AC19" i="23"/>
  <c r="F19" i="25"/>
  <c r="AZ21" i="22"/>
  <c r="AD24" i="22"/>
  <c r="AE23" i="22"/>
  <c r="U21" i="24"/>
  <c r="Q21" i="23"/>
  <c r="E21" i="22"/>
  <c r="B19" i="24"/>
  <c r="B19" i="23"/>
  <c r="AD17" i="24"/>
  <c r="X17" i="23"/>
  <c r="AL21" i="22"/>
  <c r="AK22" i="22"/>
  <c r="Z19" i="24"/>
  <c r="U19" i="23"/>
  <c r="E18" i="24"/>
  <c r="D18" i="23"/>
  <c r="Y19" i="24"/>
  <c r="T19" i="23"/>
  <c r="O18" i="24"/>
  <c r="L18" i="23"/>
  <c r="AN20" i="22"/>
  <c r="AA18" i="24"/>
  <c r="V18" i="23"/>
  <c r="AG22" i="22"/>
  <c r="V20" i="24"/>
  <c r="R20" i="23"/>
  <c r="J22" i="22"/>
  <c r="I23" i="22"/>
  <c r="F20" i="24"/>
  <c r="E20" i="23"/>
  <c r="L19" i="24"/>
  <c r="S21" i="22"/>
  <c r="J19" i="23"/>
  <c r="L21" i="22"/>
  <c r="F19" i="23"/>
  <c r="G19" i="24"/>
  <c r="C22" i="22"/>
  <c r="B23" i="22"/>
  <c r="A20" i="24"/>
  <c r="A20" i="23"/>
  <c r="J18" i="24"/>
  <c r="H18" i="23"/>
  <c r="Q22" i="22"/>
  <c r="P23" i="22"/>
  <c r="K20" i="24"/>
  <c r="I20" i="23"/>
  <c r="BS38" i="22" l="1"/>
  <c r="BS46" i="22"/>
  <c r="BS48" i="22"/>
  <c r="BS59" i="22"/>
  <c r="BS44" i="22"/>
  <c r="BS45" i="22"/>
  <c r="BS60" i="22"/>
  <c r="BS52" i="22"/>
  <c r="BS50" i="22"/>
  <c r="BS53" i="22"/>
  <c r="BS47" i="22"/>
  <c r="BS58" i="22"/>
  <c r="BS56" i="22"/>
  <c r="BS57" i="22"/>
  <c r="BS40" i="22"/>
  <c r="BS41" i="22"/>
  <c r="BS54" i="22"/>
  <c r="BS37" i="22"/>
  <c r="BS51" i="22"/>
  <c r="BS39" i="22"/>
  <c r="Q33" i="25"/>
  <c r="BP35" i="22"/>
  <c r="AL33" i="23"/>
  <c r="T32" i="25"/>
  <c r="AN32" i="23"/>
  <c r="Q20" i="24"/>
  <c r="N20" i="23"/>
  <c r="Z22" i="22"/>
  <c r="T19" i="24"/>
  <c r="P19" i="23"/>
  <c r="CA26" i="22"/>
  <c r="AS23" i="23"/>
  <c r="Z23" i="25"/>
  <c r="CB25" i="22"/>
  <c r="AD21" i="25"/>
  <c r="AV21" i="23"/>
  <c r="AA22" i="25"/>
  <c r="AT22" i="23"/>
  <c r="CD24" i="22"/>
  <c r="W24" i="22"/>
  <c r="X23" i="22"/>
  <c r="P21" i="24"/>
  <c r="M21" i="23"/>
  <c r="E20" i="25"/>
  <c r="AB20" i="23"/>
  <c r="BI27" i="22"/>
  <c r="L25" i="25"/>
  <c r="AH25" i="23"/>
  <c r="O24" i="25"/>
  <c r="AJ24" i="23"/>
  <c r="AS24" i="22"/>
  <c r="A22" i="25"/>
  <c r="Y22" i="23"/>
  <c r="AR25" i="22"/>
  <c r="AG26" i="23"/>
  <c r="BF29" i="22"/>
  <c r="K26" i="25"/>
  <c r="BG28" i="22"/>
  <c r="Y27" i="25"/>
  <c r="AR27" i="23"/>
  <c r="G19" i="25"/>
  <c r="BB21" i="22"/>
  <c r="AD19" i="23"/>
  <c r="V28" i="25"/>
  <c r="AP28" i="23"/>
  <c r="BW30" i="22"/>
  <c r="AY23" i="22"/>
  <c r="F20" i="25"/>
  <c r="AC20" i="23"/>
  <c r="AZ22" i="22"/>
  <c r="BT32" i="22"/>
  <c r="U29" i="25"/>
  <c r="AO29" i="23"/>
  <c r="BU31" i="22"/>
  <c r="AU23" i="22"/>
  <c r="Z21" i="23"/>
  <c r="B21" i="25"/>
  <c r="AF18" i="23"/>
  <c r="J18" i="25"/>
  <c r="P24" i="22"/>
  <c r="Q23" i="22"/>
  <c r="K21" i="24"/>
  <c r="I21" i="23"/>
  <c r="J23" i="22"/>
  <c r="I24" i="22"/>
  <c r="F21" i="24"/>
  <c r="E21" i="23"/>
  <c r="E19" i="24"/>
  <c r="D19" i="23"/>
  <c r="AD18" i="24"/>
  <c r="X18" i="23"/>
  <c r="B24" i="22"/>
  <c r="A21" i="24"/>
  <c r="C23" i="22"/>
  <c r="A21" i="23"/>
  <c r="J19" i="24"/>
  <c r="H19" i="23"/>
  <c r="Y20" i="24"/>
  <c r="T20" i="23"/>
  <c r="AL22" i="22"/>
  <c r="AK23" i="22"/>
  <c r="Z20" i="24"/>
  <c r="U20" i="23"/>
  <c r="O19" i="24"/>
  <c r="L19" i="23"/>
  <c r="AD25" i="22"/>
  <c r="U22" i="24"/>
  <c r="AE24" i="22"/>
  <c r="Q22" i="23"/>
  <c r="S22" i="22"/>
  <c r="L20" i="24"/>
  <c r="J20" i="23"/>
  <c r="F20" i="23"/>
  <c r="L22" i="22"/>
  <c r="G20" i="24"/>
  <c r="E22" i="22"/>
  <c r="B20" i="24"/>
  <c r="B20" i="23"/>
  <c r="AN21" i="22"/>
  <c r="AA19" i="24"/>
  <c r="V19" i="23"/>
  <c r="V21" i="24"/>
  <c r="AG23" i="22"/>
  <c r="R21" i="23"/>
  <c r="AN33" i="23" l="1"/>
  <c r="T33" i="25"/>
  <c r="Q21" i="24"/>
  <c r="N21" i="23"/>
  <c r="Z23" i="22"/>
  <c r="P20" i="23"/>
  <c r="T20" i="24"/>
  <c r="AD22" i="25"/>
  <c r="AV22" i="23"/>
  <c r="CA27" i="22"/>
  <c r="AS24" i="23"/>
  <c r="Z24" i="25"/>
  <c r="CB26" i="22"/>
  <c r="W25" i="22"/>
  <c r="P22" i="24"/>
  <c r="M22" i="23"/>
  <c r="X24" i="22"/>
  <c r="AT23" i="23"/>
  <c r="AA23" i="25"/>
  <c r="CD25" i="22"/>
  <c r="BB22" i="22"/>
  <c r="G20" i="25"/>
  <c r="AD20" i="23"/>
  <c r="AF19" i="23"/>
  <c r="J19" i="25"/>
  <c r="AR26" i="22"/>
  <c r="AS25" i="22"/>
  <c r="A23" i="25"/>
  <c r="Y23" i="23"/>
  <c r="AB21" i="23"/>
  <c r="E21" i="25"/>
  <c r="BT33" i="22"/>
  <c r="AO30" i="23"/>
  <c r="U30" i="25"/>
  <c r="BU32" i="22"/>
  <c r="AY24" i="22"/>
  <c r="F21" i="25"/>
  <c r="AC21" i="23"/>
  <c r="AZ23" i="22"/>
  <c r="AU24" i="22"/>
  <c r="B22" i="25"/>
  <c r="Z22" i="23"/>
  <c r="O25" i="25"/>
  <c r="AJ25" i="23"/>
  <c r="AR28" i="23"/>
  <c r="Y28" i="25"/>
  <c r="AP29" i="23"/>
  <c r="V29" i="25"/>
  <c r="BW31" i="22"/>
  <c r="BI28" i="22"/>
  <c r="L26" i="25"/>
  <c r="AH26" i="23"/>
  <c r="BF30" i="22"/>
  <c r="K27" i="25"/>
  <c r="AG27" i="23"/>
  <c r="BG29" i="22"/>
  <c r="E20" i="24"/>
  <c r="D20" i="23"/>
  <c r="AN22" i="22"/>
  <c r="AA20" i="24"/>
  <c r="V20" i="23"/>
  <c r="AD19" i="24"/>
  <c r="X19" i="23"/>
  <c r="J20" i="24"/>
  <c r="H20" i="23"/>
  <c r="O20" i="24"/>
  <c r="L20" i="23"/>
  <c r="AD26" i="22"/>
  <c r="AE25" i="22"/>
  <c r="U23" i="24"/>
  <c r="Q23" i="23"/>
  <c r="E23" i="22"/>
  <c r="B21" i="24"/>
  <c r="B21" i="23"/>
  <c r="J24" i="22"/>
  <c r="I25" i="22"/>
  <c r="F22" i="24"/>
  <c r="E22" i="23"/>
  <c r="S23" i="22"/>
  <c r="L21" i="24"/>
  <c r="J21" i="23"/>
  <c r="AG24" i="22"/>
  <c r="V22" i="24"/>
  <c r="R22" i="23"/>
  <c r="C24" i="22"/>
  <c r="B25" i="22"/>
  <c r="A22" i="24"/>
  <c r="A22" i="23"/>
  <c r="Y21" i="24"/>
  <c r="T21" i="23"/>
  <c r="AL23" i="22"/>
  <c r="AK24" i="22"/>
  <c r="Z21" i="24"/>
  <c r="U21" i="23"/>
  <c r="L23" i="22"/>
  <c r="F21" i="23"/>
  <c r="G21" i="24"/>
  <c r="Q24" i="22"/>
  <c r="P25" i="22"/>
  <c r="K22" i="24"/>
  <c r="I22" i="23"/>
  <c r="N22" i="23" l="1"/>
  <c r="Z24" i="22"/>
  <c r="Q22" i="24"/>
  <c r="AA24" i="25"/>
  <c r="AT24" i="23"/>
  <c r="CD26" i="22"/>
  <c r="P21" i="23"/>
  <c r="T21" i="24"/>
  <c r="CA28" i="22"/>
  <c r="Z25" i="25"/>
  <c r="AS25" i="23"/>
  <c r="CB27" i="22"/>
  <c r="AV23" i="23"/>
  <c r="AD23" i="25"/>
  <c r="X25" i="22"/>
  <c r="W26" i="22"/>
  <c r="P23" i="24"/>
  <c r="M23" i="23"/>
  <c r="AJ26" i="23"/>
  <c r="O26" i="25"/>
  <c r="BB23" i="22"/>
  <c r="AD21" i="23"/>
  <c r="G21" i="25"/>
  <c r="Z23" i="23"/>
  <c r="AU25" i="22"/>
  <c r="B23" i="25"/>
  <c r="AG28" i="23"/>
  <c r="BG30" i="22"/>
  <c r="BF31" i="22"/>
  <c r="K28" i="25"/>
  <c r="Y29" i="25"/>
  <c r="AR29" i="23"/>
  <c r="AR27" i="22"/>
  <c r="A24" i="25"/>
  <c r="AS26" i="22"/>
  <c r="Y24" i="23"/>
  <c r="V30" i="25"/>
  <c r="BW32" i="22"/>
  <c r="AP30" i="23"/>
  <c r="AH27" i="23"/>
  <c r="L27" i="25"/>
  <c r="BI29" i="22"/>
  <c r="AF20" i="23"/>
  <c r="J20" i="25"/>
  <c r="E22" i="25"/>
  <c r="AB22" i="23"/>
  <c r="AY25" i="22"/>
  <c r="F22" i="25"/>
  <c r="AC22" i="23"/>
  <c r="AZ24" i="22"/>
  <c r="BT34" i="22"/>
  <c r="AO31" i="23"/>
  <c r="U31" i="25"/>
  <c r="BU33" i="22"/>
  <c r="AN23" i="22"/>
  <c r="AA21" i="24"/>
  <c r="V21" i="23"/>
  <c r="J25" i="22"/>
  <c r="I26" i="22"/>
  <c r="F23" i="24"/>
  <c r="E23" i="23"/>
  <c r="L24" i="22"/>
  <c r="F22" i="23"/>
  <c r="G22" i="24"/>
  <c r="AD20" i="24"/>
  <c r="X20" i="23"/>
  <c r="Y22" i="24"/>
  <c r="T22" i="23"/>
  <c r="P26" i="22"/>
  <c r="Q25" i="22"/>
  <c r="K23" i="24"/>
  <c r="I23" i="23"/>
  <c r="J21" i="24"/>
  <c r="H21" i="23"/>
  <c r="E24" i="22"/>
  <c r="B22" i="23"/>
  <c r="B22" i="24"/>
  <c r="E21" i="24"/>
  <c r="D21" i="23"/>
  <c r="AD27" i="22"/>
  <c r="AE26" i="22"/>
  <c r="U24" i="24"/>
  <c r="Q24" i="23"/>
  <c r="S24" i="22"/>
  <c r="L22" i="24"/>
  <c r="J22" i="23"/>
  <c r="O21" i="24"/>
  <c r="L21" i="23"/>
  <c r="AL24" i="22"/>
  <c r="AK25" i="22"/>
  <c r="Z22" i="24"/>
  <c r="U22" i="23"/>
  <c r="B26" i="22"/>
  <c r="C25" i="22"/>
  <c r="A23" i="24"/>
  <c r="A23" i="23"/>
  <c r="AG25" i="22"/>
  <c r="V23" i="24"/>
  <c r="R23" i="23"/>
  <c r="X26" i="22" l="1"/>
  <c r="P24" i="24"/>
  <c r="W27" i="22"/>
  <c r="M24" i="23"/>
  <c r="N23" i="23"/>
  <c r="Q23" i="24"/>
  <c r="Z25" i="22"/>
  <c r="AT25" i="23"/>
  <c r="CD27" i="22"/>
  <c r="AA25" i="25"/>
  <c r="AV24" i="23"/>
  <c r="AD24" i="25"/>
  <c r="T22" i="24"/>
  <c r="P22" i="23"/>
  <c r="CA29" i="22"/>
  <c r="Z26" i="25"/>
  <c r="AS26" i="23"/>
  <c r="CB28" i="22"/>
  <c r="B24" i="25"/>
  <c r="AU26" i="22"/>
  <c r="Z24" i="23"/>
  <c r="L28" i="25"/>
  <c r="BI30" i="22"/>
  <c r="AH28" i="23"/>
  <c r="E23" i="25"/>
  <c r="AB23" i="23"/>
  <c r="J21" i="25"/>
  <c r="AF21" i="23"/>
  <c r="U32" i="25"/>
  <c r="AO32" i="23"/>
  <c r="BU34" i="22"/>
  <c r="AY26" i="22"/>
  <c r="AC23" i="23"/>
  <c r="F23" i="25"/>
  <c r="AZ25" i="22"/>
  <c r="O27" i="25"/>
  <c r="AJ27" i="23"/>
  <c r="Y30" i="25"/>
  <c r="AR30" i="23"/>
  <c r="BW33" i="22"/>
  <c r="AP31" i="23"/>
  <c r="V31" i="25"/>
  <c r="AD22" i="23"/>
  <c r="BB24" i="22"/>
  <c r="G22" i="25"/>
  <c r="A25" i="25"/>
  <c r="AS27" i="22"/>
  <c r="Y25" i="23"/>
  <c r="AR28" i="22"/>
  <c r="K29" i="25"/>
  <c r="BG31" i="22"/>
  <c r="BF32" i="22"/>
  <c r="AG29" i="23"/>
  <c r="E22" i="24"/>
  <c r="D22" i="23"/>
  <c r="L25" i="22"/>
  <c r="F23" i="23"/>
  <c r="G23" i="24"/>
  <c r="AL25" i="22"/>
  <c r="AK26" i="22"/>
  <c r="Z23" i="24"/>
  <c r="U23" i="23"/>
  <c r="S25" i="22"/>
  <c r="L23" i="24"/>
  <c r="J23" i="23"/>
  <c r="C26" i="22"/>
  <c r="B27" i="22"/>
  <c r="A24" i="24"/>
  <c r="A24" i="23"/>
  <c r="AA22" i="24"/>
  <c r="AN24" i="22"/>
  <c r="V22" i="23"/>
  <c r="AG26" i="22"/>
  <c r="V24" i="24"/>
  <c r="R24" i="23"/>
  <c r="Q26" i="22"/>
  <c r="P27" i="22"/>
  <c r="K24" i="24"/>
  <c r="I24" i="23"/>
  <c r="Y23" i="24"/>
  <c r="T23" i="23"/>
  <c r="E25" i="22"/>
  <c r="B23" i="24"/>
  <c r="B23" i="23"/>
  <c r="J22" i="24"/>
  <c r="H22" i="23"/>
  <c r="O22" i="24"/>
  <c r="L22" i="23"/>
  <c r="AD28" i="22"/>
  <c r="AE27" i="22"/>
  <c r="U25" i="24"/>
  <c r="Q25" i="23"/>
  <c r="J26" i="22"/>
  <c r="I27" i="22"/>
  <c r="F24" i="24"/>
  <c r="E24" i="23"/>
  <c r="AD21" i="24"/>
  <c r="X21" i="23"/>
  <c r="BZ47" i="22" l="1"/>
  <c r="BZ51" i="22"/>
  <c r="BZ41" i="22"/>
  <c r="BZ44" i="22"/>
  <c r="BZ60" i="22"/>
  <c r="BZ52" i="22"/>
  <c r="BZ53" i="22"/>
  <c r="BZ39" i="22"/>
  <c r="BZ40" i="22"/>
  <c r="BZ45" i="22"/>
  <c r="BZ48" i="22"/>
  <c r="BZ57" i="22"/>
  <c r="BZ59" i="22"/>
  <c r="BZ58" i="22"/>
  <c r="BZ54" i="22"/>
  <c r="BZ50" i="22"/>
  <c r="BZ56" i="22"/>
  <c r="BZ37" i="22"/>
  <c r="BZ38" i="22"/>
  <c r="BZ46" i="22"/>
  <c r="CA30" i="22"/>
  <c r="AS27" i="23"/>
  <c r="Z27" i="25"/>
  <c r="CB29" i="22"/>
  <c r="P23" i="23"/>
  <c r="T23" i="24"/>
  <c r="P25" i="24"/>
  <c r="M25" i="23"/>
  <c r="W28" i="22"/>
  <c r="X27" i="22"/>
  <c r="AA26" i="25"/>
  <c r="CD28" i="22"/>
  <c r="AT26" i="23"/>
  <c r="AV25" i="23"/>
  <c r="AD25" i="25"/>
  <c r="N24" i="23"/>
  <c r="Q24" i="24"/>
  <c r="Z26" i="22"/>
  <c r="A26" i="25"/>
  <c r="AR29" i="22"/>
  <c r="AS28" i="22"/>
  <c r="Y26" i="23"/>
  <c r="AH29" i="23"/>
  <c r="L29" i="25"/>
  <c r="BI31" i="22"/>
  <c r="AF22" i="23"/>
  <c r="J22" i="25"/>
  <c r="Y31" i="25"/>
  <c r="AR31" i="23"/>
  <c r="AY27" i="22"/>
  <c r="F24" i="25"/>
  <c r="AC24" i="23"/>
  <c r="AZ26" i="22"/>
  <c r="K30" i="25"/>
  <c r="AG30" i="23"/>
  <c r="BG32" i="22"/>
  <c r="BF33" i="22"/>
  <c r="AU27" i="22"/>
  <c r="Z25" i="23"/>
  <c r="B25" i="25"/>
  <c r="E24" i="25"/>
  <c r="AB24" i="23"/>
  <c r="AJ28" i="23"/>
  <c r="O28" i="25"/>
  <c r="G23" i="25"/>
  <c r="BB25" i="22"/>
  <c r="AD23" i="23"/>
  <c r="BW34" i="22"/>
  <c r="AP32" i="23"/>
  <c r="V32" i="25"/>
  <c r="E26" i="22"/>
  <c r="B24" i="24"/>
  <c r="B24" i="23"/>
  <c r="Y24" i="24"/>
  <c r="T24" i="23"/>
  <c r="J27" i="22"/>
  <c r="I28" i="22"/>
  <c r="F25" i="24"/>
  <c r="E25" i="23"/>
  <c r="AG27" i="22"/>
  <c r="V25" i="24"/>
  <c r="R25" i="23"/>
  <c r="E23" i="24"/>
  <c r="D23" i="23"/>
  <c r="S26" i="22"/>
  <c r="L24" i="24"/>
  <c r="J24" i="23"/>
  <c r="AL26" i="22"/>
  <c r="Z24" i="24"/>
  <c r="AK27" i="22"/>
  <c r="U24" i="23"/>
  <c r="J23" i="24"/>
  <c r="H23" i="23"/>
  <c r="P28" i="22"/>
  <c r="K25" i="24"/>
  <c r="Q27" i="22"/>
  <c r="I25" i="23"/>
  <c r="L26" i="22"/>
  <c r="F24" i="23"/>
  <c r="G24" i="24"/>
  <c r="AD29" i="22"/>
  <c r="AE28" i="22"/>
  <c r="U26" i="24"/>
  <c r="Q26" i="23"/>
  <c r="AD22" i="24"/>
  <c r="X22" i="23"/>
  <c r="B28" i="22"/>
  <c r="C27" i="22"/>
  <c r="A25" i="24"/>
  <c r="A25" i="23"/>
  <c r="L23" i="23"/>
  <c r="O23" i="24"/>
  <c r="AN25" i="22"/>
  <c r="AA23" i="24"/>
  <c r="V23" i="23"/>
  <c r="AV26" i="23" l="1"/>
  <c r="AD26" i="25"/>
  <c r="AT27" i="23"/>
  <c r="CD29" i="22"/>
  <c r="AA27" i="25"/>
  <c r="P24" i="23"/>
  <c r="T24" i="24"/>
  <c r="N25" i="23"/>
  <c r="Q25" i="24"/>
  <c r="Z27" i="22"/>
  <c r="X28" i="22"/>
  <c r="W29" i="22"/>
  <c r="P26" i="24"/>
  <c r="M26" i="23"/>
  <c r="CA31" i="22"/>
  <c r="Z28" i="25"/>
  <c r="AS28" i="23"/>
  <c r="CB30" i="22"/>
  <c r="BI32" i="22"/>
  <c r="AH30" i="23"/>
  <c r="L30" i="25"/>
  <c r="BB26" i="22"/>
  <c r="AD24" i="23"/>
  <c r="G24" i="25"/>
  <c r="O29" i="25"/>
  <c r="AJ29" i="23"/>
  <c r="Z26" i="23"/>
  <c r="AU28" i="22"/>
  <c r="B26" i="25"/>
  <c r="AB25" i="23"/>
  <c r="E25" i="25"/>
  <c r="Y27" i="23"/>
  <c r="A27" i="25"/>
  <c r="AS29" i="22"/>
  <c r="AR30" i="22"/>
  <c r="AR32" i="23"/>
  <c r="Y32" i="25"/>
  <c r="J23" i="25"/>
  <c r="AF23" i="23"/>
  <c r="AG31" i="23"/>
  <c r="BG33" i="22"/>
  <c r="BF34" i="22"/>
  <c r="K31" i="25"/>
  <c r="AY28" i="22"/>
  <c r="F25" i="25"/>
  <c r="AC25" i="23"/>
  <c r="AZ27" i="22"/>
  <c r="J24" i="24"/>
  <c r="H24" i="23"/>
  <c r="Q28" i="22"/>
  <c r="P29" i="22"/>
  <c r="K26" i="24"/>
  <c r="I26" i="23"/>
  <c r="AL27" i="22"/>
  <c r="AK28" i="22"/>
  <c r="Z25" i="24"/>
  <c r="U25" i="23"/>
  <c r="AD23" i="24"/>
  <c r="X23" i="23"/>
  <c r="AD30" i="22"/>
  <c r="AE29" i="22"/>
  <c r="U27" i="24"/>
  <c r="Q27" i="23"/>
  <c r="O24" i="24"/>
  <c r="L24" i="23"/>
  <c r="J28" i="22"/>
  <c r="I29" i="22"/>
  <c r="F26" i="24"/>
  <c r="E26" i="23"/>
  <c r="C28" i="22"/>
  <c r="B29" i="22"/>
  <c r="A26" i="24"/>
  <c r="A26" i="23"/>
  <c r="AG28" i="22"/>
  <c r="V26" i="24"/>
  <c r="R26" i="23"/>
  <c r="E27" i="22"/>
  <c r="B25" i="24"/>
  <c r="B25" i="23"/>
  <c r="S27" i="22"/>
  <c r="L25" i="24"/>
  <c r="J25" i="23"/>
  <c r="AN26" i="22"/>
  <c r="AA24" i="24"/>
  <c r="V24" i="23"/>
  <c r="Y25" i="24"/>
  <c r="T25" i="23"/>
  <c r="L27" i="22"/>
  <c r="F25" i="23"/>
  <c r="G25" i="24"/>
  <c r="E24" i="24"/>
  <c r="D24" i="23"/>
  <c r="AD27" i="25" l="1"/>
  <c r="AV27" i="23"/>
  <c r="CA32" i="22"/>
  <c r="Z29" i="25"/>
  <c r="AS29" i="23"/>
  <c r="CB31" i="22"/>
  <c r="Z28" i="22"/>
  <c r="Q26" i="24"/>
  <c r="N26" i="23"/>
  <c r="AA28" i="25"/>
  <c r="CD30" i="22"/>
  <c r="AT28" i="23"/>
  <c r="T25" i="24"/>
  <c r="P25" i="23"/>
  <c r="M27" i="23"/>
  <c r="P27" i="24"/>
  <c r="W30" i="22"/>
  <c r="X29" i="22"/>
  <c r="AU29" i="22"/>
  <c r="Z27" i="23"/>
  <c r="B27" i="25"/>
  <c r="AY29" i="22"/>
  <c r="F26" i="25"/>
  <c r="AC26" i="23"/>
  <c r="AZ28" i="22"/>
  <c r="E26" i="25"/>
  <c r="AB26" i="23"/>
  <c r="BI33" i="22"/>
  <c r="AH31" i="23"/>
  <c r="L31" i="25"/>
  <c r="AD25" i="23"/>
  <c r="BB27" i="22"/>
  <c r="G25" i="25"/>
  <c r="K32" i="25"/>
  <c r="AG32" i="23"/>
  <c r="BG34" i="22"/>
  <c r="Y28" i="23"/>
  <c r="AS30" i="22"/>
  <c r="A28" i="25"/>
  <c r="AR31" i="22"/>
  <c r="AF24" i="23"/>
  <c r="J24" i="25"/>
  <c r="O30" i="25"/>
  <c r="AJ30" i="23"/>
  <c r="Y26" i="24"/>
  <c r="T26" i="23"/>
  <c r="AG29" i="22"/>
  <c r="V27" i="24"/>
  <c r="R27" i="23"/>
  <c r="E25" i="24"/>
  <c r="D25" i="23"/>
  <c r="AD31" i="22"/>
  <c r="AE30" i="22"/>
  <c r="U28" i="24"/>
  <c r="Q28" i="23"/>
  <c r="J25" i="24"/>
  <c r="H25" i="23"/>
  <c r="O25" i="24"/>
  <c r="L25" i="23"/>
  <c r="J29" i="22"/>
  <c r="I30" i="22"/>
  <c r="F27" i="24"/>
  <c r="E27" i="23"/>
  <c r="AL28" i="22"/>
  <c r="AK29" i="22"/>
  <c r="Z26" i="24"/>
  <c r="U26" i="23"/>
  <c r="P30" i="22"/>
  <c r="Q29" i="22"/>
  <c r="K27" i="24"/>
  <c r="I27" i="23"/>
  <c r="E28" i="22"/>
  <c r="B26" i="24"/>
  <c r="B26" i="23"/>
  <c r="AD24" i="24"/>
  <c r="X24" i="23"/>
  <c r="B30" i="22"/>
  <c r="C29" i="22"/>
  <c r="A27" i="24"/>
  <c r="A27" i="23"/>
  <c r="L28" i="22"/>
  <c r="F26" i="23"/>
  <c r="G26" i="24"/>
  <c r="AN27" i="22"/>
  <c r="AA25" i="24"/>
  <c r="V25" i="23"/>
  <c r="S28" i="22"/>
  <c r="L26" i="24"/>
  <c r="J26" i="23"/>
  <c r="BL37" i="22" l="1"/>
  <c r="BL52" i="22"/>
  <c r="BL48" i="22"/>
  <c r="BL57" i="22"/>
  <c r="BL38" i="22"/>
  <c r="BL54" i="22"/>
  <c r="BL51" i="22"/>
  <c r="BL60" i="22"/>
  <c r="BL50" i="22"/>
  <c r="BL40" i="22"/>
  <c r="BL41" i="22"/>
  <c r="BL45" i="22"/>
  <c r="BL47" i="22"/>
  <c r="BL46" i="22"/>
  <c r="BL44" i="22"/>
  <c r="BL39" i="22"/>
  <c r="BL58" i="22"/>
  <c r="BL53" i="22"/>
  <c r="BL59" i="22"/>
  <c r="BL56" i="22"/>
  <c r="AV28" i="23"/>
  <c r="AD28" i="25"/>
  <c r="P26" i="23"/>
  <c r="T26" i="24"/>
  <c r="CA33" i="22"/>
  <c r="Z30" i="25"/>
  <c r="AS30" i="23"/>
  <c r="CB32" i="22"/>
  <c r="M28" i="23"/>
  <c r="X30" i="22"/>
  <c r="P28" i="24"/>
  <c r="W31" i="22"/>
  <c r="N27" i="23"/>
  <c r="Z29" i="22"/>
  <c r="Q27" i="24"/>
  <c r="AA29" i="25"/>
  <c r="AT29" i="23"/>
  <c r="CD31" i="22"/>
  <c r="BB28" i="22"/>
  <c r="G26" i="25"/>
  <c r="AD26" i="23"/>
  <c r="Y29" i="23"/>
  <c r="AR32" i="22"/>
  <c r="A29" i="25"/>
  <c r="AS31" i="22"/>
  <c r="AH32" i="23"/>
  <c r="BI34" i="22"/>
  <c r="L32" i="25"/>
  <c r="AF25" i="23"/>
  <c r="J25" i="25"/>
  <c r="O31" i="25"/>
  <c r="AJ31" i="23"/>
  <c r="B28" i="25"/>
  <c r="Z28" i="23"/>
  <c r="AU30" i="22"/>
  <c r="AY30" i="22"/>
  <c r="AC27" i="23"/>
  <c r="F27" i="25"/>
  <c r="AZ29" i="22"/>
  <c r="E27" i="25"/>
  <c r="AB27" i="23"/>
  <c r="Y27" i="24"/>
  <c r="T27" i="23"/>
  <c r="X25" i="23"/>
  <c r="AD25" i="24"/>
  <c r="E29" i="22"/>
  <c r="B27" i="24"/>
  <c r="B27" i="23"/>
  <c r="E26" i="24"/>
  <c r="D26" i="23"/>
  <c r="Q30" i="22"/>
  <c r="P31" i="22"/>
  <c r="K28" i="24"/>
  <c r="I28" i="23"/>
  <c r="AN28" i="22"/>
  <c r="AA26" i="24"/>
  <c r="V26" i="23"/>
  <c r="L29" i="22"/>
  <c r="F27" i="23"/>
  <c r="G27" i="24"/>
  <c r="AD32" i="22"/>
  <c r="AE31" i="22"/>
  <c r="U29" i="24"/>
  <c r="Q29" i="23"/>
  <c r="O26" i="24"/>
  <c r="L26" i="23"/>
  <c r="C30" i="22"/>
  <c r="B31" i="22"/>
  <c r="A28" i="24"/>
  <c r="A28" i="23"/>
  <c r="J26" i="24"/>
  <c r="H26" i="23"/>
  <c r="L27" i="24"/>
  <c r="S29" i="22"/>
  <c r="J27" i="23"/>
  <c r="AL29" i="22"/>
  <c r="AK30" i="22"/>
  <c r="Z27" i="24"/>
  <c r="U27" i="23"/>
  <c r="J30" i="22"/>
  <c r="I31" i="22"/>
  <c r="F28" i="24"/>
  <c r="E28" i="23"/>
  <c r="AG30" i="22"/>
  <c r="V28" i="24"/>
  <c r="R28" i="23"/>
  <c r="AT30" i="23" l="1"/>
  <c r="CD32" i="22"/>
  <c r="AA30" i="25"/>
  <c r="M29" i="23"/>
  <c r="X31" i="22"/>
  <c r="P29" i="24"/>
  <c r="W32" i="22"/>
  <c r="AD29" i="25"/>
  <c r="AV29" i="23"/>
  <c r="P27" i="23"/>
  <c r="T27" i="24"/>
  <c r="Z30" i="22"/>
  <c r="N28" i="23"/>
  <c r="Q28" i="24"/>
  <c r="CA34" i="22"/>
  <c r="AS31" i="23"/>
  <c r="Z31" i="25"/>
  <c r="CB33" i="22"/>
  <c r="G27" i="25"/>
  <c r="BB29" i="22"/>
  <c r="AD27" i="23"/>
  <c r="AB28" i="23"/>
  <c r="E28" i="25"/>
  <c r="AU31" i="22"/>
  <c r="Z29" i="23"/>
  <c r="B29" i="25"/>
  <c r="AY31" i="22"/>
  <c r="F28" i="25"/>
  <c r="AC28" i="23"/>
  <c r="AZ30" i="22"/>
  <c r="AJ32" i="23"/>
  <c r="O32" i="25"/>
  <c r="A30" i="25"/>
  <c r="Y30" i="23"/>
  <c r="AS32" i="22"/>
  <c r="AX37" i="22" s="1"/>
  <c r="J26" i="25"/>
  <c r="AF26" i="23"/>
  <c r="L28" i="24"/>
  <c r="S30" i="22"/>
  <c r="J28" i="23"/>
  <c r="AG31" i="22"/>
  <c r="R29" i="23"/>
  <c r="V29" i="24"/>
  <c r="E27" i="24"/>
  <c r="D27" i="23"/>
  <c r="J31" i="22"/>
  <c r="I32" i="22"/>
  <c r="F29" i="24"/>
  <c r="E29" i="23"/>
  <c r="AL30" i="22"/>
  <c r="AK31" i="22"/>
  <c r="Z28" i="24"/>
  <c r="U28" i="23"/>
  <c r="AD33" i="22"/>
  <c r="AE32" i="22"/>
  <c r="U30" i="24"/>
  <c r="Q30" i="23"/>
  <c r="B28" i="24"/>
  <c r="B28" i="23"/>
  <c r="E30" i="22"/>
  <c r="AD26" i="24"/>
  <c r="X26" i="23"/>
  <c r="O27" i="24"/>
  <c r="L27" i="23"/>
  <c r="J27" i="24"/>
  <c r="H27" i="23"/>
  <c r="Y28" i="24"/>
  <c r="T28" i="23"/>
  <c r="F28" i="23"/>
  <c r="G28" i="24"/>
  <c r="L30" i="22"/>
  <c r="AN29" i="22"/>
  <c r="AA27" i="24"/>
  <c r="V27" i="23"/>
  <c r="B32" i="22"/>
  <c r="A29" i="24"/>
  <c r="C31" i="22"/>
  <c r="A29" i="23"/>
  <c r="P32" i="22"/>
  <c r="Q31" i="22"/>
  <c r="K29" i="24"/>
  <c r="I29" i="23"/>
  <c r="AX39" i="22" l="1"/>
  <c r="AX51" i="22"/>
  <c r="AX57" i="22"/>
  <c r="AX59" i="22"/>
  <c r="AX52" i="22"/>
  <c r="AX44" i="22"/>
  <c r="AX56" i="22"/>
  <c r="AX58" i="22"/>
  <c r="AX47" i="22"/>
  <c r="AX46" i="22"/>
  <c r="AX50" i="22"/>
  <c r="AX40" i="22"/>
  <c r="AX41" i="22"/>
  <c r="AX53" i="22"/>
  <c r="AX60" i="22"/>
  <c r="AX54" i="22"/>
  <c r="AX38" i="22"/>
  <c r="AX48" i="22"/>
  <c r="AX45" i="22"/>
  <c r="T28" i="24"/>
  <c r="P28" i="23"/>
  <c r="W33" i="22"/>
  <c r="P30" i="24"/>
  <c r="M30" i="23"/>
  <c r="X32" i="22"/>
  <c r="CA35" i="22"/>
  <c r="AS32" i="23"/>
  <c r="Z32" i="25"/>
  <c r="CB34" i="22"/>
  <c r="AV30" i="23"/>
  <c r="AD30" i="25"/>
  <c r="CD33" i="22"/>
  <c r="AT31" i="23"/>
  <c r="AA31" i="25"/>
  <c r="N29" i="23"/>
  <c r="Z31" i="22"/>
  <c r="Q29" i="24"/>
  <c r="G28" i="25"/>
  <c r="BB30" i="22"/>
  <c r="AD28" i="23"/>
  <c r="Z30" i="23"/>
  <c r="AU32" i="22"/>
  <c r="B30" i="25"/>
  <c r="E29" i="25"/>
  <c r="AB29" i="23"/>
  <c r="J27" i="25"/>
  <c r="AF27" i="23"/>
  <c r="AY32" i="22"/>
  <c r="F29" i="25"/>
  <c r="AC29" i="23"/>
  <c r="AZ31" i="22"/>
  <c r="Y29" i="24"/>
  <c r="T29" i="23"/>
  <c r="E28" i="24"/>
  <c r="D28" i="23"/>
  <c r="Q32" i="22"/>
  <c r="P33" i="22"/>
  <c r="K30" i="24"/>
  <c r="I30" i="23"/>
  <c r="C32" i="22"/>
  <c r="B33" i="22"/>
  <c r="A30" i="24"/>
  <c r="A30" i="23"/>
  <c r="J28" i="24"/>
  <c r="H28" i="23"/>
  <c r="V30" i="24"/>
  <c r="AG32" i="22"/>
  <c r="R30" i="23"/>
  <c r="AL31" i="22"/>
  <c r="AK32" i="22"/>
  <c r="Z29" i="24"/>
  <c r="U29" i="23"/>
  <c r="J32" i="22"/>
  <c r="I33" i="22"/>
  <c r="F30" i="24"/>
  <c r="E30" i="23"/>
  <c r="O28" i="24"/>
  <c r="L28" i="23"/>
  <c r="E31" i="22"/>
  <c r="B29" i="24"/>
  <c r="B29" i="23"/>
  <c r="S31" i="22"/>
  <c r="L29" i="24"/>
  <c r="J29" i="23"/>
  <c r="AD27" i="24"/>
  <c r="X27" i="23"/>
  <c r="AD34" i="22"/>
  <c r="AE33" i="22"/>
  <c r="U31" i="24"/>
  <c r="Q31" i="23"/>
  <c r="AN30" i="22"/>
  <c r="AA28" i="24"/>
  <c r="V28" i="23"/>
  <c r="L31" i="22"/>
  <c r="F29" i="23"/>
  <c r="G29" i="24"/>
  <c r="Z33" i="25" l="1"/>
  <c r="AS33" i="23"/>
  <c r="CB35" i="22"/>
  <c r="AA32" i="25"/>
  <c r="CD34" i="22"/>
  <c r="AT32" i="23"/>
  <c r="Z32" i="22"/>
  <c r="Q30" i="24"/>
  <c r="N30" i="23"/>
  <c r="M31" i="23"/>
  <c r="P31" i="24"/>
  <c r="X33" i="22"/>
  <c r="W34" i="22"/>
  <c r="T29" i="24"/>
  <c r="P29" i="23"/>
  <c r="AV31" i="23"/>
  <c r="AD31" i="25"/>
  <c r="AB30" i="23"/>
  <c r="E30" i="25"/>
  <c r="AY33" i="22"/>
  <c r="F30" i="25"/>
  <c r="AC30" i="23"/>
  <c r="AZ32" i="22"/>
  <c r="BB31" i="22"/>
  <c r="G29" i="25"/>
  <c r="AD29" i="23"/>
  <c r="J28" i="25"/>
  <c r="AF28" i="23"/>
  <c r="AG33" i="22"/>
  <c r="V31" i="24"/>
  <c r="R31" i="23"/>
  <c r="AD28" i="24"/>
  <c r="X28" i="23"/>
  <c r="AD35" i="22"/>
  <c r="AE34" i="22"/>
  <c r="U32" i="24"/>
  <c r="Q32" i="23"/>
  <c r="E29" i="24"/>
  <c r="D29" i="23"/>
  <c r="Y30" i="24"/>
  <c r="T30" i="23"/>
  <c r="O29" i="24"/>
  <c r="L29" i="23"/>
  <c r="J33" i="22"/>
  <c r="F31" i="24"/>
  <c r="I34" i="22"/>
  <c r="E31" i="23"/>
  <c r="AL32" i="22"/>
  <c r="AK33" i="22"/>
  <c r="Z30" i="24"/>
  <c r="U30" i="23"/>
  <c r="J29" i="24"/>
  <c r="H29" i="23"/>
  <c r="L32" i="22"/>
  <c r="F30" i="23"/>
  <c r="G30" i="24"/>
  <c r="AN31" i="22"/>
  <c r="AA29" i="24"/>
  <c r="V29" i="23"/>
  <c r="B34" i="22"/>
  <c r="C33" i="22"/>
  <c r="A31" i="24"/>
  <c r="A31" i="23"/>
  <c r="P34" i="22"/>
  <c r="Q33" i="22"/>
  <c r="K31" i="24"/>
  <c r="I31" i="23"/>
  <c r="E32" i="22"/>
  <c r="B30" i="23"/>
  <c r="B30" i="24"/>
  <c r="S32" i="22"/>
  <c r="J30" i="23"/>
  <c r="L30" i="24"/>
  <c r="CG40" i="22" l="1"/>
  <c r="CG60" i="22"/>
  <c r="CG45" i="22"/>
  <c r="CG47" i="22"/>
  <c r="CG51" i="22"/>
  <c r="CG53" i="22"/>
  <c r="CG52" i="22"/>
  <c r="CG46" i="22"/>
  <c r="CG50" i="22"/>
  <c r="CG57" i="22"/>
  <c r="CG38" i="22"/>
  <c r="CG58" i="22"/>
  <c r="CG41" i="22"/>
  <c r="CG54" i="22"/>
  <c r="CG56" i="22"/>
  <c r="CG44" i="22"/>
  <c r="CG48" i="22"/>
  <c r="CG37" i="22"/>
  <c r="CG59" i="22"/>
  <c r="CG39" i="22"/>
  <c r="Z33" i="22"/>
  <c r="N31" i="23"/>
  <c r="Q31" i="24"/>
  <c r="P30" i="23"/>
  <c r="T30" i="24"/>
  <c r="AA33" i="25"/>
  <c r="AT33" i="23"/>
  <c r="CD35" i="22"/>
  <c r="P32" i="24"/>
  <c r="M32" i="23"/>
  <c r="X34" i="22"/>
  <c r="AD32" i="25"/>
  <c r="AV32" i="23"/>
  <c r="J29" i="25"/>
  <c r="AF29" i="23"/>
  <c r="AY34" i="22"/>
  <c r="AC31" i="23"/>
  <c r="F31" i="25"/>
  <c r="AZ33" i="22"/>
  <c r="AD30" i="23"/>
  <c r="G30" i="25"/>
  <c r="BB32" i="22"/>
  <c r="E30" i="24"/>
  <c r="D30" i="23"/>
  <c r="Q34" i="22"/>
  <c r="P35" i="22"/>
  <c r="K32" i="24"/>
  <c r="I32" i="23"/>
  <c r="C34" i="22"/>
  <c r="B35" i="22"/>
  <c r="A32" i="24"/>
  <c r="A32" i="23"/>
  <c r="AA30" i="24"/>
  <c r="AN32" i="22"/>
  <c r="V30" i="23"/>
  <c r="L33" i="22"/>
  <c r="F31" i="23"/>
  <c r="G31" i="24"/>
  <c r="O30" i="24"/>
  <c r="L30" i="23"/>
  <c r="V32" i="24"/>
  <c r="R32" i="23"/>
  <c r="J30" i="24"/>
  <c r="H30" i="23"/>
  <c r="J34" i="22"/>
  <c r="F32" i="24"/>
  <c r="E32" i="23"/>
  <c r="AE35" i="22"/>
  <c r="U33" i="24"/>
  <c r="Q33" i="23"/>
  <c r="S33" i="22"/>
  <c r="L31" i="24"/>
  <c r="J31" i="23"/>
  <c r="E33" i="22"/>
  <c r="B31" i="24"/>
  <c r="B31" i="23"/>
  <c r="AD29" i="24"/>
  <c r="X29" i="23"/>
  <c r="AL33" i="22"/>
  <c r="AK34" i="22"/>
  <c r="Z31" i="24"/>
  <c r="U31" i="23"/>
  <c r="Y31" i="24"/>
  <c r="T31" i="23"/>
  <c r="AJ51" i="22" l="1"/>
  <c r="AJ60" i="22"/>
  <c r="AJ58" i="22"/>
  <c r="AJ56" i="22"/>
  <c r="AJ59" i="22"/>
  <c r="AJ37" i="22"/>
  <c r="AJ57" i="22"/>
  <c r="AJ45" i="22"/>
  <c r="AJ44" i="22"/>
  <c r="AJ50" i="22"/>
  <c r="AJ46" i="22"/>
  <c r="AJ38" i="22"/>
  <c r="AJ41" i="22"/>
  <c r="AJ40" i="22"/>
  <c r="AJ52" i="22"/>
  <c r="AJ48" i="22"/>
  <c r="AJ47" i="22"/>
  <c r="AJ53" i="22"/>
  <c r="AJ39" i="22"/>
  <c r="AJ54" i="22"/>
  <c r="O44" i="22"/>
  <c r="O51" i="22"/>
  <c r="O45" i="22"/>
  <c r="O60" i="22"/>
  <c r="O53" i="22"/>
  <c r="O52" i="22"/>
  <c r="O47" i="22"/>
  <c r="O39" i="22"/>
  <c r="O41" i="22"/>
  <c r="O56" i="22"/>
  <c r="O50" i="22"/>
  <c r="O54" i="22"/>
  <c r="O59" i="22"/>
  <c r="O37" i="22"/>
  <c r="O58" i="22"/>
  <c r="O46" i="22"/>
  <c r="O38" i="22"/>
  <c r="O57" i="22"/>
  <c r="O48" i="22"/>
  <c r="O40" i="22"/>
  <c r="AC39" i="22"/>
  <c r="AC37" i="22"/>
  <c r="AC52" i="22"/>
  <c r="AC60" i="22"/>
  <c r="AC57" i="22"/>
  <c r="AC41" i="22"/>
  <c r="AC59" i="22"/>
  <c r="AC53" i="22"/>
  <c r="AC48" i="22"/>
  <c r="AC54" i="22"/>
  <c r="AC38" i="22"/>
  <c r="AC58" i="22"/>
  <c r="AC50" i="22"/>
  <c r="AC46" i="22"/>
  <c r="AC44" i="22"/>
  <c r="AC56" i="22"/>
  <c r="AC45" i="22"/>
  <c r="AC40" i="22"/>
  <c r="AC47" i="22"/>
  <c r="AC51" i="22"/>
  <c r="Z34" i="22"/>
  <c r="N32" i="23"/>
  <c r="Q32" i="24"/>
  <c r="AV33" i="23"/>
  <c r="AD33" i="25"/>
  <c r="T31" i="24"/>
  <c r="P31" i="23"/>
  <c r="AY35" i="22"/>
  <c r="F32" i="25"/>
  <c r="AC32" i="23"/>
  <c r="AZ34" i="22"/>
  <c r="AD31" i="23"/>
  <c r="BB33" i="22"/>
  <c r="G31" i="25"/>
  <c r="AF30" i="23"/>
  <c r="J30" i="25"/>
  <c r="E31" i="24"/>
  <c r="D31" i="23"/>
  <c r="AD30" i="24"/>
  <c r="X30" i="23"/>
  <c r="C35" i="22"/>
  <c r="H37" i="22" s="1"/>
  <c r="A33" i="24"/>
  <c r="A33" i="23"/>
  <c r="K33" i="24"/>
  <c r="Q35" i="22"/>
  <c r="I33" i="23"/>
  <c r="AN33" i="22"/>
  <c r="AA31" i="24"/>
  <c r="V31" i="23"/>
  <c r="L34" i="22"/>
  <c r="F32" i="23"/>
  <c r="G32" i="24"/>
  <c r="B32" i="24"/>
  <c r="B32" i="23"/>
  <c r="E34" i="22"/>
  <c r="S34" i="22"/>
  <c r="L32" i="24"/>
  <c r="J32" i="23"/>
  <c r="AL34" i="22"/>
  <c r="AK35" i="22"/>
  <c r="Z32" i="24"/>
  <c r="U32" i="23"/>
  <c r="AG35" i="22"/>
  <c r="V33" i="24"/>
  <c r="R33" i="23"/>
  <c r="J31" i="24"/>
  <c r="H31" i="23"/>
  <c r="O31" i="24"/>
  <c r="L31" i="23"/>
  <c r="V51" i="22" l="1"/>
  <c r="V37" i="22"/>
  <c r="V53" i="22"/>
  <c r="V60" i="22"/>
  <c r="V54" i="22"/>
  <c r="V46" i="22"/>
  <c r="V44" i="22"/>
  <c r="V40" i="22"/>
  <c r="V50" i="22"/>
  <c r="V59" i="22"/>
  <c r="V38" i="22"/>
  <c r="V45" i="22"/>
  <c r="V41" i="22"/>
  <c r="V57" i="22"/>
  <c r="V56" i="22"/>
  <c r="V47" i="22"/>
  <c r="V48" i="22"/>
  <c r="V58" i="22"/>
  <c r="V52" i="22"/>
  <c r="V39" i="22"/>
  <c r="H57" i="22"/>
  <c r="H39" i="22"/>
  <c r="H44" i="22"/>
  <c r="H38" i="22"/>
  <c r="H58" i="22"/>
  <c r="H59" i="22"/>
  <c r="H50" i="22"/>
  <c r="H46" i="22"/>
  <c r="H47" i="22"/>
  <c r="H53" i="22"/>
  <c r="H56" i="22"/>
  <c r="H52" i="22"/>
  <c r="H51" i="22"/>
  <c r="H45" i="22"/>
  <c r="H40" i="22"/>
  <c r="H41" i="22"/>
  <c r="H54" i="22"/>
  <c r="H60" i="22"/>
  <c r="H48" i="22"/>
  <c r="T32" i="24"/>
  <c r="P32" i="23"/>
  <c r="BB34" i="22"/>
  <c r="G32" i="25"/>
  <c r="AD32" i="23"/>
  <c r="AF31" i="23"/>
  <c r="J31" i="25"/>
  <c r="F33" i="25"/>
  <c r="AC33" i="23"/>
  <c r="AZ35" i="22"/>
  <c r="AL35" i="22"/>
  <c r="Z33" i="24"/>
  <c r="U33" i="23"/>
  <c r="O32" i="24"/>
  <c r="L32" i="23"/>
  <c r="AD31" i="24"/>
  <c r="X31" i="23"/>
  <c r="Y33" i="24"/>
  <c r="T33" i="23"/>
  <c r="AN34" i="22"/>
  <c r="V32" i="23"/>
  <c r="AA32" i="24"/>
  <c r="E32" i="24"/>
  <c r="D32" i="23"/>
  <c r="J32" i="24"/>
  <c r="H32" i="23"/>
  <c r="S35" i="22"/>
  <c r="L33" i="24"/>
  <c r="J33" i="23"/>
  <c r="E35" i="22"/>
  <c r="B33" i="24"/>
  <c r="B33" i="23"/>
  <c r="AQ51" i="22" l="1"/>
  <c r="AQ57" i="22"/>
  <c r="AQ37" i="22"/>
  <c r="AQ53" i="22"/>
  <c r="AQ58" i="22"/>
  <c r="AQ45" i="22"/>
  <c r="AQ41" i="22"/>
  <c r="AQ47" i="22"/>
  <c r="AQ50" i="22"/>
  <c r="AQ54" i="22"/>
  <c r="AQ56" i="22"/>
  <c r="AQ60" i="22"/>
  <c r="AQ52" i="22"/>
  <c r="AQ59" i="22"/>
  <c r="AQ38" i="22"/>
  <c r="CK38" i="22" s="1"/>
  <c r="AQ39" i="22"/>
  <c r="AQ48" i="22"/>
  <c r="AQ46" i="22"/>
  <c r="AQ40" i="22"/>
  <c r="AQ44" i="22"/>
  <c r="BE52" i="22"/>
  <c r="BE38" i="22"/>
  <c r="BE41" i="22"/>
  <c r="CK41" i="22" s="1"/>
  <c r="BE59" i="22"/>
  <c r="BE57" i="22"/>
  <c r="CK57" i="22" s="1"/>
  <c r="BE58" i="22"/>
  <c r="CK58" i="22" s="1"/>
  <c r="BE39" i="22"/>
  <c r="BE54" i="22"/>
  <c r="CK54" i="22" s="1"/>
  <c r="BE51" i="22"/>
  <c r="CK51" i="22" s="1"/>
  <c r="BE45" i="22"/>
  <c r="CK45" i="22" s="1"/>
  <c r="BE53" i="22"/>
  <c r="BE48" i="22"/>
  <c r="BE44" i="22"/>
  <c r="BE47" i="22"/>
  <c r="BE56" i="22"/>
  <c r="CK56" i="22" s="1"/>
  <c r="BE40" i="22"/>
  <c r="BE50" i="22"/>
  <c r="CK50" i="22" s="1"/>
  <c r="BE46" i="22"/>
  <c r="BE37" i="22"/>
  <c r="BE60" i="22"/>
  <c r="CK52" i="22"/>
  <c r="AD33" i="23"/>
  <c r="BB35" i="22"/>
  <c r="G33" i="25"/>
  <c r="AF32" i="23"/>
  <c r="J32" i="25"/>
  <c r="AD32" i="24"/>
  <c r="X32" i="23"/>
  <c r="E33" i="24"/>
  <c r="D33" i="23"/>
  <c r="O33" i="24"/>
  <c r="L33" i="23"/>
  <c r="AN35" i="22"/>
  <c r="AA33" i="24"/>
  <c r="V33" i="23"/>
  <c r="CK37" i="22" l="1"/>
  <c r="Z35" i="43"/>
  <c r="Z38" i="43"/>
  <c r="AC38" i="43"/>
  <c r="AC35" i="43"/>
  <c r="I38" i="43"/>
  <c r="I35" i="43"/>
  <c r="AI35" i="43"/>
  <c r="AI38" i="43"/>
  <c r="Y35" i="43"/>
  <c r="Y38" i="43"/>
  <c r="AK35" i="43"/>
  <c r="AK38" i="43"/>
  <c r="P38" i="43"/>
  <c r="P35" i="43"/>
  <c r="F38" i="43"/>
  <c r="F35" i="43"/>
  <c r="AA35" i="43"/>
  <c r="AA38" i="43"/>
  <c r="AJ38" i="43"/>
  <c r="AJ35" i="43"/>
  <c r="CK60" i="22"/>
  <c r="CK53" i="22"/>
  <c r="E35" i="43"/>
  <c r="CK40" i="22"/>
  <c r="CK59" i="22"/>
  <c r="CK39" i="22"/>
  <c r="CK47" i="22"/>
  <c r="CK44" i="22"/>
  <c r="CK48" i="22"/>
  <c r="CK46" i="22"/>
  <c r="AF33" i="23"/>
  <c r="J33" i="25"/>
  <c r="AD33" i="24"/>
  <c r="X33" i="23"/>
  <c r="AB35" i="43" l="1"/>
  <c r="AB38" i="43"/>
  <c r="AM38" i="43"/>
  <c r="AM35" i="43"/>
  <c r="R38" i="43"/>
  <c r="R35" i="43"/>
  <c r="AL35" i="43"/>
  <c r="AL38" i="43"/>
  <c r="O38" i="43"/>
  <c r="O35" i="43"/>
  <c r="G38" i="43"/>
  <c r="G35" i="43"/>
  <c r="H38" i="43"/>
  <c r="H35" i="43"/>
  <c r="Q38" i="43"/>
  <c r="Q35" i="43"/>
  <c r="S35" i="43"/>
  <c r="S38" i="43"/>
  <c r="E38" i="43"/>
  <c r="CK61" i="22"/>
  <c r="CJ25" i="22" s="1"/>
  <c r="AN38" i="43" l="1"/>
  <c r="AN35" i="43"/>
  <c r="J2" i="61" s="1"/>
  <c r="J21" i="61" s="1"/>
  <c r="J37" i="61" s="1"/>
  <c r="H31" i="62" l="1"/>
  <c r="J30" i="1"/>
  <c r="K48" i="44" s="1"/>
  <c r="J28" i="1"/>
  <c r="K38" i="1"/>
  <c r="J31" i="1" l="1"/>
  <c r="K5" i="44" s="1"/>
  <c r="K31" i="44" s="1"/>
  <c r="P41" i="41"/>
  <c r="I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tc={D2586241-4B4C-8149-AF7C-3A976D71E50B}</author>
    <author>tc={6299BD54-428F-0942-AF97-B33CF2909EA6}</author>
  </authors>
  <commentList>
    <comment ref="I38" authorId="0"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79" authorId="1"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sharedStrings.xml><?xml version="1.0" encoding="utf-8"?>
<sst xmlns="http://schemas.openxmlformats.org/spreadsheetml/2006/main" count="6314" uniqueCount="644">
  <si>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</si>
  <si>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</si>
  <si>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</si>
  <si>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</si>
  <si>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</si>
  <si>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</si>
  <si>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</si>
  <si>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</si>
  <si>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</si>
  <si>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</si>
  <si>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</si>
  <si>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</si>
  <si>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</si>
  <si>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</si>
  <si>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</si>
  <si>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</si>
  <si>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</si>
  <si>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</si>
  <si>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</si>
  <si>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</si>
  <si>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</si>
  <si>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</si>
  <si>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</si>
  <si>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</si>
  <si>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</si>
  <si>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</si>
  <si>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</si>
  <si>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</si>
  <si>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</si>
  <si>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</si>
  <si>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</si>
  <si>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</si>
  <si>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</si>
  <si>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</si>
  <si>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</si>
  <si>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</si>
  <si>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</si>
  <si>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</si>
  <si>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</si>
  <si>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</si>
  <si>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</si>
  <si>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</si>
  <si>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</si>
  <si>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</si>
  <si>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</si>
  <si>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</si>
  <si>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</si>
  <si>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</si>
  <si>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</si>
  <si>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</si>
  <si>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</si>
  <si>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</si>
  <si>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</si>
  <si>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</si>
  <si>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</si>
  <si>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</si>
  <si>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</si>
  <si>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</si>
  <si>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</si>
  <si>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</si>
  <si>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</si>
  <si>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</si>
  <si>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</si>
  <si>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</si>
  <si>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Lektion</t>
  </si>
  <si>
    <t>Kl. Fra:</t>
  </si>
  <si>
    <t>Kl. Til:</t>
  </si>
  <si>
    <t>Antal min</t>
  </si>
  <si>
    <t>Arbejdstidsoversigt for skoleåret:</t>
  </si>
  <si>
    <t>Skolen starter kl.</t>
  </si>
  <si>
    <t>Antal timer til øvrige opgaver</t>
  </si>
  <si>
    <t>Heraf uv. Ifølge skoleskema</t>
  </si>
  <si>
    <t>Gældende for perioden:</t>
  </si>
  <si>
    <t>Dagen slutter kl.</t>
  </si>
  <si>
    <t>Liste over øvrige opgaver</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</si>
  <si>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</si>
  <si>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</si>
  <si>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</si>
  <si>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</si>
  <si>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</si>
  <si>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</si>
  <si>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</si>
  <si>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</si>
  <si>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</si>
  <si>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</si>
  <si>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</si>
  <si>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</si>
  <si>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</si>
  <si>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</si>
  <si>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</si>
  <si>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</si>
  <si>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</si>
  <si>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</si>
  <si>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</si>
  <si>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r>
      <t>Angiv her mødetids-punkt</t>
    </r>
    <r>
      <rPr>
        <sz val="10"/>
        <color theme="1"/>
        <rFont val="Calibri"/>
        <family val="2"/>
        <scheme val="minor"/>
      </rPr>
      <t xml:space="preserve">                  (07:45 = 07.45 eller 07:45)</t>
    </r>
  </si>
  <si>
    <t>AUGUST</t>
  </si>
  <si>
    <t>SEPTEMBER</t>
  </si>
  <si>
    <t>OKTOBER</t>
  </si>
  <si>
    <t>NOVEMBER</t>
  </si>
  <si>
    <t>DECEMBER</t>
  </si>
  <si>
    <t>JANUAR</t>
  </si>
  <si>
    <t>2. juledag</t>
  </si>
  <si>
    <t>Skoledage i alt:</t>
  </si>
  <si>
    <t>Hele skoleåret</t>
  </si>
  <si>
    <t>FEBRUAR</t>
  </si>
  <si>
    <t>MARTS</t>
  </si>
  <si>
    <t>APRIL</t>
  </si>
  <si>
    <t>MAJ</t>
  </si>
  <si>
    <t>JUNI</t>
  </si>
  <si>
    <t>JULI</t>
  </si>
  <si>
    <t>Skærtorsdag</t>
  </si>
  <si>
    <t>Arbejdstid pr. uge</t>
  </si>
  <si>
    <t>SÆRLIGE FERIEDAGE</t>
  </si>
  <si>
    <t>I alt</t>
  </si>
  <si>
    <t>feriedage</t>
  </si>
  <si>
    <t>Pæd.dage</t>
  </si>
  <si>
    <t>Lejrskoledg./ekskursion</t>
  </si>
  <si>
    <t>fag/emnedage</t>
  </si>
  <si>
    <t>feriedag</t>
  </si>
  <si>
    <t>Skoledage</t>
  </si>
  <si>
    <t>pæd.dag</t>
  </si>
  <si>
    <t>Sommerferie</t>
  </si>
  <si>
    <t>ekskursion</t>
  </si>
  <si>
    <t>lejrskole</t>
  </si>
  <si>
    <t>emnedag</t>
  </si>
  <si>
    <t>fagdag</t>
  </si>
  <si>
    <t>skoledag</t>
  </si>
  <si>
    <t>2. Påskedag</t>
  </si>
  <si>
    <t>Overskriv øverste venstre felt (A1) med din skoles navn!</t>
  </si>
  <si>
    <t>Påskedag</t>
  </si>
  <si>
    <t>Vejledning:</t>
  </si>
  <si>
    <t>Aktiviteter</t>
  </si>
  <si>
    <t xml:space="preserve"> arbejdsdage</t>
  </si>
  <si>
    <t>Fagdage/emnedage i alt:</t>
  </si>
  <si>
    <t>Pæd. Dage i alt:</t>
  </si>
  <si>
    <t>Alm. skoledage i alt:</t>
  </si>
  <si>
    <t>weekend</t>
  </si>
  <si>
    <t>SH-dag</t>
  </si>
  <si>
    <t>Weekend</t>
  </si>
  <si>
    <t>Lejrskole/ekskursionsdage i alt:</t>
  </si>
  <si>
    <t>SUM(Lin. 1-14)</t>
  </si>
  <si>
    <t>- Timeforbrug på lejrskoler og ekskursioner</t>
  </si>
  <si>
    <t>Min egen skole</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</si>
  <si>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</si>
  <si>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</si>
  <si>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</si>
  <si>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</si>
  <si>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</si>
  <si>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</si>
  <si>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</si>
  <si>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</si>
  <si>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</si>
  <si>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</si>
  <si>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</si>
  <si>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</si>
  <si>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</si>
  <si>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</si>
  <si>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</si>
  <si>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</si>
  <si>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 xml:space="preserve">FOR AT SAMMENTÆLLINGEN AF DAGENE BLIVER KORREKT, ER DET VIGTIGT AT DAGENE ER STAVET RIGTIGT. </t>
  </si>
  <si>
    <t>Ud for hver dag, kan er der mulighed for at skrive en tekst til dagen. Feks. 1. skoledag, juleafslutning, forældrearrangement, forældremøder mm. Teksten bliver automatisk kopieret over i kalenderværktøjet for 1. halvår og 2. halvår.</t>
  </si>
  <si>
    <t>DERFOR: Ved at stå i cellen der  benævner hvilken type dag vi har, kan man ved at trykke på pilen få valgmuligheder frem. VÆLG EN AF FØLGENDE MULIGE:</t>
  </si>
  <si>
    <t>Efterårsferie</t>
  </si>
  <si>
    <t>1. juledag</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</si>
  <si>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</si>
  <si>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</si>
  <si>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</si>
  <si>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</si>
  <si>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</si>
  <si>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</si>
  <si>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</si>
  <si>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</si>
  <si>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</si>
  <si>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</si>
  <si>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</si>
  <si>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</si>
  <si>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Kalenderne er tiltænkt til forældre, fødselsdagskalendere eller til andet brug. DOG IKKE TIL LÆRERNE!</t>
  </si>
  <si>
    <t>De sidste 3 faner er tomme kalendere. TOMT - ÅR, TOMT 1. halvår, TOMT 2. halvår</t>
  </si>
  <si>
    <t>on</t>
  </si>
  <si>
    <t>lø</t>
  </si>
  <si>
    <t>ma</t>
  </si>
  <si>
    <t>to</t>
  </si>
  <si>
    <t>ti</t>
  </si>
  <si>
    <t>fr</t>
  </si>
  <si>
    <t>sø</t>
  </si>
  <si>
    <t>Ikke relevant</t>
  </si>
  <si>
    <t>I alt for normperioden</t>
  </si>
  <si>
    <t>Ikke relevante dage</t>
  </si>
  <si>
    <t>Feriedage i alt:</t>
  </si>
  <si>
    <t>Ikke relevante dage:</t>
  </si>
  <si>
    <t>Kalenderne er "tomme kalendere", uden formateringer, og her kan skolen overskrive og selv lægge ønskede farver på.</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</si>
  <si>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</si>
  <si>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</si>
  <si>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</si>
  <si>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</si>
  <si>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</si>
  <si>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</si>
  <si>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</si>
  <si>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</si>
  <si>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Ansættes en lærer først d. 1. oktober, skal alle dage i august og september vælges som "ikke relevante dage". På denne måde får skolen korrekt optælling af normperiodens dage, som nu ikke længere er et helt skoleår.</t>
  </si>
  <si>
    <t>Det samme hvis en lærer slutter før skoleåret slutter. Da vælgers de dage læreren ikke er ansat, og normperioden vil være nemmere at tælle op.</t>
  </si>
  <si>
    <t>$$</t>
  </si>
  <si>
    <t>St. Bededag</t>
  </si>
  <si>
    <t>2. Pinsedag</t>
  </si>
  <si>
    <t>Kr. Himmelfartsdag</t>
  </si>
  <si>
    <t>Det er en forudsætning, at skolen holder virksomhedslukket i de angivne perioder.</t>
  </si>
  <si>
    <t>Det forudsættes, at normperioden følger skoleåret og starter den 1. august.</t>
  </si>
  <si>
    <t xml:space="preserve">OBS: Er normperioden for et helt skoleår, da danner dette timetal grundlag for beregning af undervisninstillæg. Er normperioden kun en del af et skoleår, skal man omregne delperiodens undervisningstimetal til en hel årsnorm. Beregningen af det samlede undervisningstillæg foretages på grundlag af det forventede antal undervisninstimer i ansættelsesperioden samt antallet af arbejdsdage i ansættelsesperioden/skoleåret. </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</si>
  <si>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</si>
  <si>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</si>
  <si>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</si>
  <si>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</si>
  <si>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</si>
  <si>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</si>
  <si>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</si>
  <si>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r>
      <rPr>
        <b/>
        <sz val="14"/>
        <rFont val="Arial"/>
        <family val="2"/>
      </rPr>
      <t>Månedskalenderen er et master-ark</t>
    </r>
    <r>
      <rPr>
        <sz val="12"/>
        <rFont val="Arial"/>
        <family val="2"/>
      </rPr>
      <t xml:space="preserve">. Master-arket er udfyldt med en mængde formler der automatisk beregner dato, ugedage og ugenumre (på mandage). Weekend samt søgne/helligdage er sat i kalenderen. Derudover har vi i denne udgavet fulgt organisationsaftalens ferieregler, og i forvejen valgt at der afholdes 2 feriedage på de to første hverdage i august, 5 feriedage i elevernes efterårsferie(uge 42), og at de sidste 18 hverdage i juli mdr. er ferie. Ønsker skolen at varsle ferie som ikke følger ovennævnte feriebestemmelser i staten, tilrettes kalenderen herefter. (Husk varslingsfristerne af ferie - også beskrevet i fanen "vejledning2021". I dette masterark, har vi valgt at lægge nogle nul-dage ind(Dette på dage før skolestart, dage i julen/nytår, uge 7, påskeugen, dagen efter Kr. Himmefartsdag plus dage i juli. Såfremt dette ikke er nul-dage/arbejdsfrie dage på den skolen, ændres disse dage til feks. pædagogiske dage eller andet. </t>
    </r>
    <r>
      <rPr>
        <b/>
        <sz val="12"/>
        <rFont val="Arial"/>
        <family val="2"/>
      </rPr>
      <t>BEMÆRK AT KALENDEREN KUN  ER ET OPLÆG TIL SKOLENS KALENDER, OG SKAL TILRETTES DEN ENKELTE SKOLE.</t>
    </r>
  </si>
  <si>
    <t>Vi anbefaler at skolen udarbejder en MASTER kalender der viser alle skolens aktiviteter for skoleåret. Masterkalenderen gemmes som MASTER. Når skolen skal planlægge for den enkelte lærer, åbnes MASTER kalenderen og tilrettes til den enkelte lærer og gemmes med lærerens navn eller initialer.</t>
  </si>
  <si>
    <r>
      <rPr>
        <b/>
        <sz val="12"/>
        <rFont val="Arial"/>
        <family val="2"/>
      </rPr>
      <t xml:space="preserve">SAMMENTÆLLING AF DE FORSKELLIGE DAGE: </t>
    </r>
    <r>
      <rPr>
        <sz val="12"/>
        <rFont val="Arial"/>
        <family val="2"/>
      </rPr>
      <t>Under hver mdr. og slut året tæller kalenderen automatisk dagene sammen. Både antal skoledage, weekenddage, pædagogiske dage osv. MEN også antal skolemandage, skoletirsdage, skoleonsdage, skoletorsdage og skolefredage pr. mdr. Denne sammentælling bruges særligt til arbejdstidsoversigten, hvor der oplyses antal skolemandage, tirsdage osv. Sammentællingen for året, er et godt værktøj til hvordan skolen har planlagt året, og hvor mange dage der går i alt til feks. pædagogiske dage, skoledage, feriedage osv. Kontroler gerne om sammentællingen for året giver de antal dage skolen ønsker skal give. Feks. 200 skoledage.</t>
    </r>
  </si>
  <si>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</si>
  <si>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</si>
  <si>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</si>
  <si>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</si>
  <si>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</si>
  <si>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</si>
  <si>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</si>
  <si>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</si>
  <si>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</si>
  <si>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</si>
  <si>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</si>
  <si>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</si>
  <si>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</si>
  <si>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</si>
  <si>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</si>
  <si>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</si>
  <si>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</si>
  <si>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</si>
  <si>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</si>
  <si>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</si>
  <si>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</si>
  <si>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</si>
  <si>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</si>
  <si>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</si>
  <si>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</si>
  <si>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</si>
  <si>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</si>
  <si>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</si>
  <si>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</si>
  <si>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</si>
  <si>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</si>
  <si>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</si>
  <si>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</si>
  <si>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Lejrskole </t>
  </si>
  <si>
    <t xml:space="preserve">Pæd.dag </t>
  </si>
  <si>
    <t xml:space="preserve">Normperiodens søgne/helligdage </t>
  </si>
  <si>
    <t>Normperiodens feriedage</t>
  </si>
  <si>
    <t>Grundlovsdag</t>
  </si>
  <si>
    <t>fagdag/emnedage</t>
  </si>
  <si>
    <t>Weekenddage</t>
  </si>
  <si>
    <t>Nuldage</t>
  </si>
  <si>
    <t>Til brug for at beregne korrekt årsnorm hvis skolen planlægger noget hen over en weekend.</t>
  </si>
  <si>
    <t>weekenddage m. arb.</t>
  </si>
  <si>
    <t>Skemaet dækker perioden:</t>
  </si>
  <si>
    <t>Undervisningstimer ifølge skema</t>
  </si>
  <si>
    <t>Pauser/tilsynstid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</si>
  <si>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</si>
  <si>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</si>
  <si>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</si>
  <si>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</si>
  <si>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</si>
  <si>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</si>
  <si>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</si>
  <si>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</si>
  <si>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</si>
  <si>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</si>
  <si>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</si>
  <si>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</si>
  <si>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</si>
  <si>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</si>
  <si>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</si>
  <si>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</si>
  <si>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</si>
  <si>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</si>
  <si>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</si>
  <si>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Antal mulige arbejdsdage for et helt skoleår(dage-weekenddage) Bruges som forhold til 1924</t>
  </si>
  <si>
    <t>Tid i alt der planlægges senere på året</t>
  </si>
  <si>
    <t>Pulje til øvrige opgaver(Opgaver der tæller mindre end 60 timer pr. år)</t>
  </si>
  <si>
    <t>Estimeret tid/aftalte akorder i alt</t>
  </si>
  <si>
    <t>Timer til puljen</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</si>
  <si>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</si>
  <si>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</si>
  <si>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</si>
  <si>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</si>
  <si>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</si>
  <si>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</si>
  <si>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</si>
  <si>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</si>
  <si>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</si>
  <si>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</si>
  <si>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</si>
  <si>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</si>
  <si>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</si>
  <si>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2022-2023</t>
  </si>
  <si>
    <t>Arbedstid eks. Ferie og SH-dage: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</si>
  <si>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</si>
  <si>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</si>
  <si>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</si>
  <si>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</si>
  <si>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</si>
  <si>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</si>
  <si>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</si>
  <si>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</si>
  <si>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</si>
  <si>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</si>
  <si>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</si>
  <si>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</si>
  <si>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</si>
  <si>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</si>
  <si>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Antal dage der udelukkende vedrører pausetid i week og hvor lejrskole og eskursioner mm er ude</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</si>
  <si>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</si>
  <si>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</si>
  <si>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</si>
  <si>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</si>
  <si>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</si>
  <si>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</si>
  <si>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</si>
  <si>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</si>
  <si>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</si>
  <si>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</si>
  <si>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</si>
  <si>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</si>
  <si>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</si>
  <si>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</si>
  <si>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</si>
  <si>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</si>
  <si>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</si>
  <si>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</si>
  <si>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</si>
  <si>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</si>
  <si>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</si>
  <si>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</si>
  <si>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Undervisningstimer i normperioden</t>
  </si>
  <si>
    <t>Undervisningstimetal der skal betales undervisningsstillæg efter</t>
  </si>
  <si>
    <t xml:space="preserve">Ændringer i arbejdstiden </t>
  </si>
  <si>
    <t>a</t>
  </si>
  <si>
    <t>Arbejdsdage på weekenddage</t>
  </si>
  <si>
    <t xml:space="preserve">List her varslet afspadsering. Afspadseringen må ikke være en del af en evt. ændret arbejdstid i kolonne U og V. </t>
  </si>
  <si>
    <t>Rest timer til afspadsering</t>
  </si>
  <si>
    <t>Afspadsringstimer overført fra sidste måned:</t>
  </si>
  <si>
    <t>Oplys her den aftalte akord på pause/tilsynstid(Den oplyste akord oplyses for et helt skoleår):</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</si>
  <si>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</si>
  <si>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</si>
  <si>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</si>
  <si>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</si>
  <si>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</si>
  <si>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</si>
  <si>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</si>
  <si>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Antal arbejdstimer</t>
  </si>
  <si>
    <t>Antal undervisningstimer</t>
  </si>
  <si>
    <t>Fagdage og emnedage</t>
  </si>
  <si>
    <t>Ændring i den planlagte arbejdstid og undervisningstid</t>
  </si>
  <si>
    <t>Ændring i arbejdstid</t>
  </si>
  <si>
    <t>Antal arbejdstimer på hverdage imellem 17-06</t>
  </si>
  <si>
    <t>Ændring i uv-tid</t>
  </si>
  <si>
    <t>Planlagt uv-tid</t>
  </si>
  <si>
    <t>Differencen imellem arb.tid, uv-tid, pause/tilsynstid</t>
  </si>
  <si>
    <t>Forklarende tekst til udfyldelse af kalenderen</t>
  </si>
  <si>
    <t>Skriv en tekst der beskriver dagen bedst muligt.</t>
  </si>
  <si>
    <t>Opgørelse af arbejdstiden</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</si>
  <si>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</si>
  <si>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</si>
  <si>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</si>
  <si>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</si>
  <si>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</si>
  <si>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</si>
  <si>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</si>
  <si>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Kr. Himmelfarsdag</t>
  </si>
  <si>
    <t>2. pinsedag</t>
  </si>
  <si>
    <t>ÅRSKALENDER  for  MIN EGEN SKOLE  2022 - 2023</t>
  </si>
  <si>
    <t>ARB. LØR/SØN</t>
  </si>
  <si>
    <t>25% TIL?</t>
  </si>
  <si>
    <t>weekendtimer</t>
  </si>
  <si>
    <t>Ulempetillæg udb.</t>
  </si>
  <si>
    <t>ulempetillæg i week</t>
  </si>
  <si>
    <t>ulempetillæg 17-06</t>
  </si>
  <si>
    <t>Ulempetillæg afspadseres</t>
  </si>
  <si>
    <t>Lokalaftale weekendtimer - Tillæg afspadseres</t>
  </si>
  <si>
    <t>Lokalaftale weekendtimer - Tillæg Udbetales</t>
  </si>
  <si>
    <t>Lokalaftale weekendtillæg - timerne afspadseres</t>
  </si>
  <si>
    <t>Lokalaftale weekendtillæg - timerne udbetales</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</si>
  <si>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</si>
  <si>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</si>
  <si>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</si>
  <si>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</si>
  <si>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i alt</t>
  </si>
  <si>
    <t>week m overnatning som ikke tæller med i tillæg</t>
  </si>
  <si>
    <r>
      <t xml:space="preserve">Beskrivelse af møder og arrangementer på hverdage i tidsrummet 17-06. </t>
    </r>
    <r>
      <rPr>
        <b/>
        <sz val="12"/>
        <rFont val="Arial"/>
        <family val="2"/>
      </rPr>
      <t>IKKE ved arrangementer med overnatning.</t>
    </r>
  </si>
  <si>
    <t>Aktiviteter fra 7:30 - 17:00</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</si>
  <si>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</si>
  <si>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</si>
  <si>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</si>
  <si>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</si>
  <si>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</si>
  <si>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</si>
  <si>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Vinterferie</t>
  </si>
  <si>
    <t>Kr. himmelfartsdag</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</si>
  <si>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</si>
  <si>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</si>
  <si>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</si>
  <si>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</si>
  <si>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</si>
  <si>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</si>
  <si>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</si>
  <si>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</si>
  <si>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</si>
  <si>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</si>
  <si>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</si>
  <si>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</si>
  <si>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</si>
  <si>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</si>
  <si>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</si>
  <si>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</si>
  <si>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List her opgaverne pr. mdr., og vælg med piletasten hvilken måned opgaven/opgaverne løses i samt estimeret tid til opgaven.</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</si>
  <si>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</si>
  <si>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</si>
  <si>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</si>
  <si>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</si>
  <si>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</si>
  <si>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</si>
  <si>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</si>
  <si>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</si>
  <si>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</si>
  <si>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</si>
  <si>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</si>
  <si>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</si>
  <si>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</si>
  <si>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Gældende for skoleåret 2022-2023</t>
  </si>
  <si>
    <t>I forbindelse med den nye arbejdstidsaftale gældende fra august 2022 har Friskolerne udarbejdet et nyt planlægningsværtøj til planlægning af lærernes og børnehaveklasselederenes arbejdstid.</t>
  </si>
  <si>
    <t>Fanerne: Stamoplysninger, skemaoplysninger, august, arbejdstidsoversigt og opgaver er øverst makeret med en blå pil og en tekst der beskriver hvad man skal oplyse i den enkelte fane.</t>
  </si>
  <si>
    <r>
      <rPr>
        <b/>
        <sz val="14"/>
        <color theme="4" tint="-0.499984740745262"/>
        <rFont val="Calibri"/>
        <family val="2"/>
        <scheme val="minor"/>
      </rPr>
      <t>Skema 1</t>
    </r>
    <r>
      <rPr>
        <sz val="14"/>
        <color theme="4" tint="-0.499984740745262"/>
        <rFont val="Calibri"/>
        <family val="2"/>
        <scheme val="minor"/>
      </rPr>
      <t xml:space="preserve"> beregner normperiodens samlede arbejdstid.</t>
    </r>
  </si>
  <si>
    <r>
      <rPr>
        <b/>
        <sz val="14"/>
        <color theme="4" tint="-0.499984740745262"/>
        <rFont val="Calibri"/>
        <family val="2"/>
        <scheme val="minor"/>
      </rPr>
      <t xml:space="preserve">Skema 3 </t>
    </r>
    <r>
      <rPr>
        <sz val="14"/>
        <color theme="4" tint="-0.499984740745262"/>
        <rFont val="Calibri"/>
        <family val="2"/>
        <scheme val="minor"/>
      </rPr>
      <t>beregner antallet af undervisningsdage. Planlægges der for et helt skoleår undervises der normalt 200 skoledage. Skemaet giver også en gennemsnitlig arbejdstid til helt almindelige skemadage. Skolen skal nu "rammesætte" de dage der undervises efter et normalt skoleskema(skema 1-4). I skemaet er der desuden mulighed for at anvise komme og gå tid hvis skolen har fuld tilstedeværelse, eller så den ansatte kan se hvordan arbejdstiden ville være hvis der var tilstedeværelse.</t>
    </r>
  </si>
  <si>
    <t>Øvrige opgaver</t>
  </si>
  <si>
    <t>Gns. tid til øvrige opgaver efter opgaveoversigt på helt almindelige skemadage</t>
  </si>
  <si>
    <t>Gå nu til fanen "opgaver", og list de opgaver den ansatte skal udføre indenfor den tidsramme der er til de øvrige opgaver.</t>
  </si>
  <si>
    <t>Arbejdstid</t>
  </si>
  <si>
    <t>Ulempe/weekend</t>
  </si>
  <si>
    <t>Nederst i fanerne: Stamoplysninger, skemaoplysninger, august, arbejdstidsoversigt og opgaver er skrevet hvad næste "step" er(Markert med blå pil).</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</si>
  <si>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</si>
  <si>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</si>
  <si>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</si>
  <si>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</si>
  <si>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</si>
  <si>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</si>
  <si>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</si>
  <si>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t>Reglerne omkring de særlige feriedage ændres ikke som følge af den nye ferielov. De særlige feriedage optjenes stadig i et kalenderår og afvikles i det kommende ferieår. Har man som ansat under statens ferieaftale været ansat hele optjeningsåret(2021), har man derfor ret til at afvikle 5 særlige feriedage til afvikling i ferieåret efter(1. maj 2022 - 30. april 2023).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2023, har ledelsen retten til at planlægge dagene med 30 dages varsel, således de er afviklet når ferieåret slutter d. 30. april 2023. Særlige feriedage der ikke er afviklet d. 30. april, skal udbetales eller aftales(skriftligt) til overførsel til det kommende ferieår. En evt. aftale om overførsels af særlige feriedage til et nyt ferieår skal være skriftlig aftalt senest d. 30. april 2023.</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</si>
  <si>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</si>
  <si>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</si>
  <si>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</si>
  <si>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</si>
  <si>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</si>
  <si>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</si>
  <si>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</si>
  <si>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</si>
  <si>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</si>
  <si>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</si>
  <si>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</si>
  <si>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</si>
  <si>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</si>
  <si>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</si>
  <si>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</si>
  <si>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</si>
  <si>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</si>
  <si>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</si>
  <si>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</si>
  <si>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</si>
  <si>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</si>
  <si>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</si>
  <si>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</si>
  <si>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</si>
  <si>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</si>
  <si>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</si>
  <si>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</si>
  <si>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</si>
  <si>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på alm. weekend</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</si>
  <si>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</si>
  <si>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</si>
  <si>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</si>
  <si>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</si>
  <si>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</si>
  <si>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</si>
  <si>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</si>
  <si>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Værktøjet kan udover planlægning også bruges til at at udarbejde en statusopgørelse hver 3. måned samt opgøre normperioden.</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</si>
  <si>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</si>
  <si>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</si>
  <si>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</si>
  <si>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</si>
  <si>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</si>
  <si>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r>
      <t xml:space="preserve">Beskrivelse af møder og arrangementer på hverdage i tidsrummet 17-06. </t>
    </r>
    <r>
      <rPr>
        <b/>
        <sz val="12"/>
        <rFont val="Arial"/>
        <family val="2"/>
      </rPr>
      <t>IKKE ved lejrskole og andre arrangementer med overnatning.</t>
    </r>
  </si>
  <si>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</si>
  <si>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</si>
  <si>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</si>
  <si>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</si>
  <si>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</si>
  <si>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</si>
  <si>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</si>
  <si>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Barsel</t>
  </si>
  <si>
    <t>Orlov</t>
  </si>
  <si>
    <t>Orlovstimer</t>
  </si>
  <si>
    <t>Opgaver med estimeret tid (forberedelse og opgaver på min. 60 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</si>
  <si>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</si>
  <si>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</si>
  <si>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</si>
  <si>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</si>
  <si>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Orlovsdage er dage med ret til frihed efter barselsloven og servicelovens §119(orlov til pasning af nærtstående der ønsker at dø i eget hjem) såfremt orloven varer længere end 30 dage. Orlovsdagene tæller da med 7,4 timer * beskæftigelsesgraden.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</si>
  <si>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</si>
  <si>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</si>
  <si>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</si>
  <si>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 xml:space="preserve">I skoleåret er der 7 søgnehelligdage. Disse dage er helligdage, der IKKE falder på en lørdag eller søndag.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</si>
  <si>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</si>
  <si>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</si>
  <si>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</si>
  <si>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</si>
  <si>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STAMOPLYSNINGER:</t>
    </r>
    <r>
      <rPr>
        <sz val="12"/>
        <color theme="1"/>
        <rFont val="Arial"/>
        <family val="2"/>
      </rPr>
      <t xml:space="preserve"> Generelle oplysninger om perioden. Her oplyses hvorvidt perioden der planlægges for er et helt skoleår eller en del af et skoleår, beskæftigelsesgrad, evt. brug af seniorordning, hvordan skolen forholder sig til ulempetillæg/weekendtillæg samt pause/tilsynstid.</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</si>
  <si>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</si>
  <si>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</si>
  <si>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</si>
  <si>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</si>
  <si>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</si>
  <si>
    <t>Herudover tælles ulempe/weekendtimer til udbetaling og eller afspadsering. Her er det vigtigt at skolen i fanen "stamoplysninger" har valgt hvordan skolen forholder sig til ulempe/weekendtimer.</t>
  </si>
  <si>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Beregningen heraf er beskrevet i fanen Undervisningstillæg - celle B22.</t>
    </r>
  </si>
  <si>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t>
    </r>
  </si>
  <si>
    <t>Udfyld nu hver måned i normperioden. Det er vigtigt at de dage/måneder hvor der evt. ikke planlægges arbejde på - vælges som "Ikke relevante".</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</si>
  <si>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</si>
  <si>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</si>
  <si>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</si>
  <si>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Hvis den pågældende dag er en fagdag, emnedag, lejrskole eller en ekskursionsdag bliver cellerne herunder gule. Er dagen en pædagogisk dag er det dog kun kolonne "K" der bliver gult. Tast i de gule felter.</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</si>
  <si>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</si>
  <si>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</si>
  <si>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</si>
  <si>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</si>
  <si>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</si>
  <si>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</si>
  <si>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</si>
  <si>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</si>
  <si>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</si>
  <si>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</si>
  <si>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</si>
  <si>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 xml:space="preserve">List her tiden til forberedelse, opgaver der estimeres til min. 60 klokketimer for et helt skoleår samt øvrige opgaver. </t>
  </si>
  <si>
    <t>Øvrige opgaver som planmæssigt ligger på hverdage imellem kl. 06:00 - 17:00. Dette være forberedelse, opgaver med en estimeret tid på min 60 min.pr. skoleår, samt øvrige opgaver.</t>
  </si>
  <si>
    <t>Oplys estimeret tid/aftalte akorder på opgaver der forventes fordelt på skoledage, fagdage og emnedage.</t>
  </si>
  <si>
    <t>Månedskalenderne</t>
  </si>
  <si>
    <t>Beskæftigelsesgrad (hvis 100% skrives 1, hvis 80% skrives 0,8):</t>
  </si>
  <si>
    <t>Planlagt arbejdstid pr. dag i tidsrummet 07:30 - 17:00</t>
  </si>
  <si>
    <t>Teater</t>
  </si>
  <si>
    <t>Planlægges der ikke for et helt skoleår men for en delperiode, gøres de dage der ikke planlægges med "ikke relevante". TIPS: Ikke relevante dage kan kopieres ned i en hel måned ved først at vælge den første dag som "Ikke relevant" og dernæst at "trække" i cellens nederste højre hjørne - ned i månedens kolonne. HUSK i fanen "stamoplysninger" at oplyse at der ikke planlægges for et helt skoleår.</t>
  </si>
  <si>
    <t>Tast her skoleskema med lektioner og pauser/tilsynstid, varighed, fag mm. Start med at udfylde celle "M8" - Skriv her startstidspunkt for skoledagens start. Oplys derefter antal minutter hver lektion, pause/tilsyn varer. Eksempel: 45 min = 0.45 og 1 time = 0.60 eller 1.00</t>
  </si>
  <si>
    <t>Tast her skoleskema med lektioner og pauser/tilsynstid, varighed, fag mm. Start med at udfylde celle "C8" - Skriv her startstidspunkt for skoledagens start. Oplys derefter antal minutter hver lektion, pause/tilsyn varer. Eksempel: 45 min = 0.45 og 1 time = 0.60 eller 1.00</t>
  </si>
  <si>
    <t>Tast her skoleskema med lektioner og pauser/tilsynstid, varighed, fag mm. Start med at udfylde celle "W8" - Skriv her startstidspunkt for skoledagens start. Oplys derefter antal minutter hver lektion, pause/tilsyn varer. Eksempel: 45 min = 0.45 og 1 time = 0.60 eller 1.00</t>
  </si>
  <si>
    <t>Tast her skoleskema med lektioner og pauser/tilsynstid, varighed, fag mm. Start med at udfylde celle "AG8" - Skriv her startstidspunkt for skoledagens start. Oplys derefter antal minutter hver lektion, pause/tilsyn varer. Eksempel: 45 min = 0.45 og 1 time = 0.60 eller 1.00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</si>
  <si>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</si>
  <si>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</si>
  <si>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</si>
  <si>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Beate Simonsen</t>
  </si>
  <si>
    <t>01.08.2022</t>
  </si>
  <si>
    <t>31.07.2023</t>
  </si>
  <si>
    <t>Weekendtimer til afspadsering</t>
  </si>
  <si>
    <t>Weekndtillæg til afspadsering</t>
  </si>
  <si>
    <t>Weekendtimer til udbetaling</t>
  </si>
  <si>
    <t>Weekendtillæg til udbetaing</t>
  </si>
  <si>
    <t>Lokalaftale på weekendtimer og tillæg. Her angives weekendtimer til fratræk i mdr. norm</t>
  </si>
  <si>
    <t>1. Lokalaftale weekendtimer - weekendtimer modregnes normperioden</t>
  </si>
  <si>
    <t>2. Lokalaftael weekendtimer - weekendtimer modregnes i normperioden</t>
  </si>
  <si>
    <t>1. Lokalaftale weekendtillæg - timer afspadseres og modregnes normperioden</t>
  </si>
  <si>
    <t>2. Lokalaftale weekendtimer - timer udbetales og modregnes normperioden</t>
  </si>
  <si>
    <t>Ændringer i arbejdstiden der ikke vedrører weekender</t>
  </si>
  <si>
    <t>Heraf planlagte weekendtimer til afspadsering, udbetaling eller hvor der er indgået lokalaftale</t>
  </si>
  <si>
    <t>31.12.2022</t>
  </si>
  <si>
    <t>Billedkunst</t>
  </si>
  <si>
    <t>Tværfag</t>
  </si>
  <si>
    <t>Historie</t>
  </si>
  <si>
    <t>Tilsyn MS</t>
  </si>
  <si>
    <t>Tilsyn</t>
  </si>
  <si>
    <t>Gårdvagt</t>
  </si>
  <si>
    <t>Samf.fag</t>
  </si>
  <si>
    <t xml:space="preserve">Tilsyn  </t>
  </si>
  <si>
    <t xml:space="preserve">Tilsyn   </t>
  </si>
  <si>
    <t>Tilsny</t>
  </si>
  <si>
    <t>01.01.2023</t>
  </si>
  <si>
    <t>Planlægge lejrtur</t>
  </si>
  <si>
    <t>Koordinator teateruge</t>
  </si>
  <si>
    <t>Bornholm. Afgang kl. 08.00</t>
  </si>
  <si>
    <t xml:space="preserve">Bornholm  </t>
  </si>
  <si>
    <t>Bornholm. Forvetntet hjemkomst kl. 14.00</t>
  </si>
  <si>
    <t>Skolehjemsamtale</t>
  </si>
  <si>
    <t>Naturvidenskabsfestivalsuge</t>
  </si>
  <si>
    <t>JUL</t>
  </si>
  <si>
    <t>Juleafslutning</t>
  </si>
  <si>
    <t>Luciaaften</t>
  </si>
  <si>
    <t>Skolefest</t>
  </si>
  <si>
    <t>Pige/drengedag</t>
  </si>
  <si>
    <t>Skolehjem</t>
  </si>
  <si>
    <t>Storlejr. Afgang kl. 08.00</t>
  </si>
  <si>
    <t xml:space="preserve">Storlejr </t>
  </si>
  <si>
    <t>Storlejr. Hjemkomst kl. 15.00</t>
  </si>
  <si>
    <t>Sidste skoledag</t>
  </si>
  <si>
    <t>Arbejdsaften</t>
  </si>
  <si>
    <t>Fællesspisning</t>
  </si>
  <si>
    <t>Forberedelse</t>
  </si>
  <si>
    <t>Elevsamarbejde</t>
  </si>
  <si>
    <t>Forældresamarbejde</t>
  </si>
  <si>
    <t>Tilsyn idræt</t>
  </si>
  <si>
    <t>Kontakt til efterskolen</t>
  </si>
  <si>
    <t>MUS</t>
  </si>
  <si>
    <t>Sommerfest</t>
  </si>
  <si>
    <t>Heraf weekendtimer der afspadseres, udbetales eller indgået lokalaftale til</t>
  </si>
  <si>
    <t>Tid til øvrige opgaver(Forberedelse samt øvrige opgaver med og uden estimeret tid). Timerne ovf. automatisk til fanen "opgaver".</t>
  </si>
  <si>
    <t>-2</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</si>
  <si>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</si>
  <si>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1. skoledag</t>
  </si>
  <si>
    <t>17-06 timer der er på ikke relevante dage</t>
  </si>
  <si>
    <t>Er der planlagt for et helt skoleår, og skolen får brug for at opgøre arbejdstiden for en delperiode(evt. hvis en ansat opsiger sit arbejde),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</si>
  <si>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Skoleskema for skemadage. Her er mulighed for 4 skemaer i løbet af et skoleår. Udfyld skemaet med lektioner og tid til elevpauser. Under skema 1 listes opgaver der placeres senere på året/i særlige måneder. Dette så tiden til de særlige opgaver tælles med i den måned opgaven planlægges i.</t>
    </r>
  </si>
  <si>
    <r>
      <t xml:space="preserve">Skema 1-4: </t>
    </r>
    <r>
      <rPr>
        <sz val="14"/>
        <color theme="4" tint="-0.499984740745262"/>
        <rFont val="Calibri"/>
        <family val="2"/>
        <scheme val="minor"/>
      </rPr>
      <t>I denne fane udfyldes skoleskema med fag (de lysegrå) og tid til elevpauser (de mørkegrå) samt opgaver der planlægges i særlige måneder. Skemaet tæller hvis der er angivet minuttal og beskrevet en lektion eller opgave i elevpausen. Opgave i elevpausen kan være gårdvagt, tilsyn, pause mm. Både undervisningstimer og timer til elevpauser bliver ført direkte over til de enkelte måneder. Skolen har mulighed for at planlægge med 4 skemaer pr. normperiode. Planlægger skolen kun med et skema udfyldes skema 1. Planlægger skolen med to skemaer udfyldes skema 1 og 2 osv.</t>
    </r>
  </si>
  <si>
    <t>Elevpause</t>
  </si>
  <si>
    <t>Hvis fagdag eller emnedag oplyses tid til elevpause</t>
  </si>
  <si>
    <t>Antal timer til elevpauser</t>
  </si>
  <si>
    <t>Heraf tid til elevpauser efter skema, oplyste timer i kolonne "M" eller lokalaftale.</t>
  </si>
  <si>
    <t>Tid til elevpauser</t>
  </si>
  <si>
    <t>Oplys ændring i arbejdstiden. Ekstra timer tastes som et postivt tal. Færre timer tastes som et negativt tal. Ved fravær mere end 4 uger tælles alle mulige arbejdsdage med 7,4 timer * bg.</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</si>
  <si>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og ikke som en ændring. Efter ændringen/ændringerne er valgt med et "X" udfyldes de nu oplyste gule felter med det timetal dagen istedet tæller. I tilfælde af fravær mere end 4 uger, tælles hver dag(fra dag 1) som 7,4 timer * beskæftigelsesgraden. Bemærk at ved sygdom ændres der IKKE på den planlagte undervisningstid. </t>
    </r>
  </si>
  <si>
    <r>
      <rPr>
        <b/>
        <sz val="14"/>
        <color theme="4" tint="-0.499984740745262"/>
        <rFont val="Calibri"/>
        <family val="2"/>
        <scheme val="minor"/>
      </rPr>
      <t>Skema 2</t>
    </r>
    <r>
      <rPr>
        <sz val="14"/>
        <color theme="4" tint="-0.499984740745262"/>
        <rFont val="Calibri"/>
        <family val="2"/>
        <scheme val="minor"/>
      </rPr>
      <t xml:space="preserve"> beregner tiden til øvrige opgaver. De opgaver der listes i fanen "opgaver". Bemærk at tiden til elevpauser og opgaver der placeres i særlige måneder ikke er en del af de opgaver der skal varetages af tiden til øvrige opgaver.</t>
    </r>
  </si>
  <si>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</si>
  <si>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</si>
  <si>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</si>
  <si>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</si>
  <si>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</si>
  <si>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Ændring i arbejdstid imellem 07:30 - 17:00</t>
  </si>
  <si>
    <t>Vælg "x" hvis ændring i arbejdstimer i forhold til kolonne "N". Ændring(af fast karakter) i den planlagte arbejdstid uden for tidsrummet 7.30-16.30 skal varsles med mindst 4 uger.</t>
  </si>
  <si>
    <t>Hvis "X" vedrører arrangementet lejrskole, studieture eller lign., med overnatning.  (Arrangementer med elever)</t>
  </si>
  <si>
    <t>Hvis "x" er der pålagt arbejde lør/søn eller på en SH-dag.</t>
  </si>
  <si>
    <t>Vælg "x" hvis der planlægges arbejde lørdage og søndage eller SH-dage.</t>
  </si>
  <si>
    <t>Vælg "x" hvis der planlægges lejrskole, studieture eller lign., med overnatning (Arrangementer med elever).</t>
  </si>
  <si>
    <t>Det totale antal dage fratrukket  ferie, lørdage, søndage, søgne/helligdage, samt 200 skoledage udgør: (365 kalenderdage - 104 lør/søn - 7 S/H-dage - 25 feriedage- 200 skoledage = 29 restdage. Disse 29 dage er i princippet arbejdsdage. Hvis der ikke disponeres over disse dage(Planlægges arbejdstid), vil de blive betragtet som afspadseringsdage - også kaldet 0-dage.</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</si>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</sst>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2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4"/>
      <color indexed="10"/>
      <name val="Helvetica"/>
      <family val="2"/>
    </font>
    <font>
      <sz val="14"/>
      <color rgb="FFFF0000"/>
      <name val="Arial"/>
      <family val="2"/>
    </font>
    <font>
      <b/>
      <sz val="10"/>
      <color theme="0"/>
      <name val="Arial"/>
      <family val="2"/>
    </font>
    <font>
      <i/>
      <sz val="14"/>
      <color theme="0"/>
      <name val="Helvetica"/>
      <family val="2"/>
    </font>
    <font>
      <sz val="12"/>
      <color theme="0"/>
      <name val="Arial"/>
      <family val="2"/>
    </font>
    <font>
      <b/>
      <sz val="16"/>
      <color theme="1"/>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9"/>
      <color theme="0"/>
      <name val="Arial"/>
      <family val="2"/>
    </font>
    <font>
      <sz val="9"/>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sz val="12"/>
      <color theme="7" tint="-0.249977111117893"/>
      <name val="Calibri"/>
      <family val="2"/>
      <scheme val="minor"/>
    </font>
    <font>
      <sz val="12"/>
      <color rgb="FFFF2F82"/>
      <name val="Calibri"/>
      <family val="2"/>
      <scheme val="minor"/>
    </font>
    <font>
      <b/>
      <sz val="10"/>
      <color rgb="FFFF2F82"/>
      <name val="Arial"/>
      <family val="2"/>
    </font>
    <font>
      <sz val="12"/>
      <color rgb="FF00B050"/>
      <name val="Calibri"/>
      <family val="2"/>
      <scheme val="minor"/>
    </font>
    <font>
      <b/>
      <sz val="10"/>
      <color rgb="FF00B050"/>
      <name val="Arial"/>
      <family val="2"/>
    </font>
    <font>
      <sz val="12"/>
      <color theme="5" tint="-0.249977111117893"/>
      <name val="Calibri"/>
      <family val="2"/>
      <scheme val="minor"/>
    </font>
    <font>
      <b/>
      <sz val="10"/>
      <color theme="5" tint="-0.249977111117893"/>
      <name val="Arial"/>
      <family val="2"/>
    </font>
  </fonts>
  <fills count="4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indexed="9"/>
        <bgColor indexed="64"/>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s>
  <borders count="1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diagonal/>
    </border>
    <border>
      <left style="medium">
        <color auto="1"/>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bottom/>
      <diagonal/>
    </border>
    <border>
      <left style="thin">
        <color indexed="64"/>
      </left>
      <right/>
      <top/>
      <bottom style="hair">
        <color indexed="64"/>
      </bottom>
      <diagonal/>
    </border>
    <border>
      <left/>
      <right/>
      <top style="thin">
        <color indexed="64"/>
      </top>
      <bottom style="double">
        <color indexed="64"/>
      </bottom>
      <diagonal/>
    </border>
    <border>
      <left/>
      <right/>
      <top style="double">
        <color auto="1"/>
      </top>
      <bottom style="thin">
        <color auto="1"/>
      </bottom>
      <diagonal/>
    </border>
    <border>
      <left/>
      <right/>
      <top/>
      <bottom style="double">
        <color indexed="64"/>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style="thin">
        <color auto="1"/>
      </right>
      <top style="thin">
        <color indexed="64"/>
      </top>
      <bottom style="double">
        <color indexed="64"/>
      </bottom>
      <diagonal/>
    </border>
    <border>
      <left style="medium">
        <color indexed="64"/>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medium">
        <color indexed="64"/>
      </left>
      <right/>
      <top style="hair">
        <color auto="1"/>
      </top>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462">
    <xf numFmtId="0" fontId="0" fillId="0" borderId="0" xfId="0"/>
    <xf numFmtId="2" fontId="0" fillId="0" borderId="0" xfId="0" applyNumberFormat="1"/>
    <xf numFmtId="0" fontId="0" fillId="4" borderId="1" xfId="0" applyFill="1" applyBorder="1"/>
    <xf numFmtId="0" fontId="0" fillId="0" borderId="0" xfId="0" applyBorder="1" applyAlignment="1">
      <alignment horizontal="left" wrapText="1"/>
    </xf>
    <xf numFmtId="0" fontId="0" fillId="2" borderId="0" xfId="0" applyFill="1" applyBorder="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ont="1" applyFill="1" applyBorder="1"/>
    <xf numFmtId="0" fontId="0" fillId="4" borderId="22" xfId="0" applyFont="1" applyFill="1" applyBorder="1"/>
    <xf numFmtId="0" fontId="12" fillId="2" borderId="0" xfId="0" applyFont="1" applyFill="1" applyBorder="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12" fillId="0" borderId="33" xfId="0" applyFont="1" applyBorder="1" applyAlignment="1">
      <alignment horizontal="center" vertical="center"/>
    </xf>
    <xf numFmtId="0" fontId="0" fillId="5" borderId="1" xfId="0" applyFill="1" applyBorder="1" applyAlignment="1">
      <alignment horizontal="center"/>
    </xf>
    <xf numFmtId="0" fontId="12" fillId="0" borderId="0" xfId="0" applyFont="1" applyBorder="1" applyAlignment="1">
      <alignment horizontal="center" vertical="center"/>
    </xf>
    <xf numFmtId="0" fontId="0" fillId="5" borderId="1" xfId="0" applyFill="1" applyBorder="1" applyAlignment="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ont="1" applyFill="1" applyBorder="1" applyAlignment="1">
      <alignment horizontal="center" vertical="center"/>
    </xf>
    <xf numFmtId="0" fontId="0" fillId="2" borderId="0" xfId="0" applyFill="1" applyBorder="1" applyAlignment="1"/>
    <xf numFmtId="2" fontId="0" fillId="2" borderId="0" xfId="0" applyNumberFormat="1" applyFill="1" applyBorder="1" applyAlignment="1">
      <alignment horizontal="center"/>
    </xf>
    <xf numFmtId="49" fontId="0" fillId="5" borderId="1" xfId="0" applyNumberFormat="1" applyFill="1" applyBorder="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5" borderId="14"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166" fontId="0" fillId="3" borderId="1" xfId="0" applyNumberFormat="1" applyFill="1" applyBorder="1" applyAlignment="1" applyProtection="1">
      <alignment horizontal="center"/>
      <protection locked="0"/>
    </xf>
    <xf numFmtId="0" fontId="17" fillId="0" borderId="0" xfId="0" applyFont="1"/>
    <xf numFmtId="2" fontId="0" fillId="5" borderId="1" xfId="0" applyNumberFormat="1" applyFill="1" applyBorder="1" applyAlignment="1">
      <alignment horizontal="center" wrapText="1"/>
    </xf>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165" fontId="0" fillId="3" borderId="1" xfId="0" applyNumberFormat="1" applyFill="1" applyBorder="1" applyAlignment="1" applyProtection="1">
      <alignment horizontal="center"/>
      <protection locked="0"/>
    </xf>
    <xf numFmtId="0" fontId="16" fillId="0" borderId="0" xfId="0" applyFont="1"/>
    <xf numFmtId="0" fontId="16" fillId="3" borderId="27" xfId="0" applyFont="1" applyFill="1" applyBorder="1" applyProtection="1">
      <protection locked="0"/>
    </xf>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5" fillId="0" borderId="24" xfId="373" applyFont="1" applyBorder="1" applyAlignment="1">
      <alignment horizontal="centerContinuous"/>
    </xf>
    <xf numFmtId="0" fontId="26" fillId="0" borderId="24" xfId="373" applyNumberFormat="1" applyFont="1" applyBorder="1" applyAlignment="1">
      <alignment horizontal="centerContinuous"/>
    </xf>
    <xf numFmtId="0" fontId="24" fillId="0" borderId="24" xfId="373" applyNumberFormat="1" applyFont="1" applyBorder="1" applyAlignment="1">
      <alignment horizontal="centerContinuous" vertical="top"/>
    </xf>
    <xf numFmtId="0" fontId="27" fillId="0" borderId="24" xfId="373" applyFont="1" applyBorder="1" applyAlignment="1">
      <alignment horizontal="centerContinuous"/>
    </xf>
    <xf numFmtId="0" fontId="24" fillId="0" borderId="25" xfId="373" applyNumberFormat="1" applyFont="1" applyBorder="1" applyAlignment="1">
      <alignment horizontal="centerContinuous" vertical="top"/>
    </xf>
    <xf numFmtId="0" fontId="29" fillId="0" borderId="0" xfId="374" applyFont="1"/>
    <xf numFmtId="0" fontId="31" fillId="0" borderId="0" xfId="374" applyFont="1"/>
    <xf numFmtId="0" fontId="28" fillId="0" borderId="0" xfId="374" applyFont="1"/>
    <xf numFmtId="0" fontId="22" fillId="10" borderId="54" xfId="372" applyFont="1" applyFill="1" applyBorder="1" applyAlignment="1">
      <alignment horizontal="center"/>
    </xf>
    <xf numFmtId="0" fontId="22" fillId="10" borderId="55" xfId="372" applyFont="1" applyFill="1" applyBorder="1" applyAlignment="1">
      <alignment horizontal="center"/>
    </xf>
    <xf numFmtId="0" fontId="22" fillId="0" borderId="2" xfId="372" applyFont="1" applyFill="1" applyBorder="1" applyAlignment="1">
      <alignment horizontal="center"/>
    </xf>
    <xf numFmtId="0" fontId="22" fillId="0" borderId="10" xfId="372" applyFont="1" applyFill="1" applyBorder="1" applyAlignment="1">
      <alignment horizontal="center"/>
    </xf>
    <xf numFmtId="0" fontId="22" fillId="0" borderId="10" xfId="372" applyFont="1" applyFill="1" applyBorder="1" applyProtection="1">
      <protection locked="0"/>
    </xf>
    <xf numFmtId="1" fontId="32" fillId="0" borderId="7" xfId="372" applyNumberFormat="1" applyFont="1" applyFill="1" applyBorder="1" applyAlignment="1" applyProtection="1">
      <alignment horizontal="right" vertical="top" wrapText="1"/>
      <protection locked="0"/>
    </xf>
    <xf numFmtId="1" fontId="32" fillId="0" borderId="7" xfId="372" applyNumberFormat="1" applyFont="1" applyFill="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Fill="1" applyBorder="1" applyAlignment="1">
      <alignment horizontal="center"/>
    </xf>
    <xf numFmtId="1" fontId="35" fillId="0" borderId="10" xfId="372" applyNumberFormat="1" applyFont="1" applyFill="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Font="1" applyFill="1" applyBorder="1" applyAlignment="1">
      <alignment horizontal="center"/>
    </xf>
    <xf numFmtId="0" fontId="22" fillId="0" borderId="0" xfId="372" applyFont="1" applyFill="1" applyBorder="1" applyAlignment="1">
      <alignment horizontal="center"/>
    </xf>
    <xf numFmtId="0" fontId="22" fillId="0" borderId="0" xfId="372" applyFont="1" applyFill="1" applyBorder="1" applyProtection="1">
      <protection locked="0"/>
    </xf>
    <xf numFmtId="1" fontId="32" fillId="0" borderId="46" xfId="372" applyNumberFormat="1" applyFont="1" applyFill="1" applyBorder="1" applyAlignment="1" applyProtection="1">
      <alignment vertical="top"/>
      <protection locked="0"/>
    </xf>
    <xf numFmtId="2" fontId="0" fillId="5" borderId="1" xfId="0" applyNumberFormat="1" applyFill="1" applyBorder="1" applyAlignment="1">
      <alignment horizontal="center"/>
    </xf>
    <xf numFmtId="175" fontId="0" fillId="2" borderId="1" xfId="0" applyNumberFormat="1" applyFill="1" applyBorder="1" applyAlignment="1">
      <alignment horizontal="center" wrapText="1"/>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6"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24" fillId="0" borderId="0" xfId="505" applyFont="1" applyBorder="1"/>
    <xf numFmtId="0" fontId="46" fillId="0" borderId="0" xfId="505" applyFont="1"/>
    <xf numFmtId="1" fontId="22" fillId="0" borderId="0" xfId="372" applyNumberFormat="1"/>
    <xf numFmtId="0" fontId="22" fillId="0" borderId="0" xfId="372" applyFill="1"/>
    <xf numFmtId="1" fontId="22" fillId="0" borderId="0" xfId="372" applyNumberFormat="1" applyFill="1"/>
    <xf numFmtId="0" fontId="22" fillId="0" borderId="54" xfId="372" applyBorder="1" applyProtection="1"/>
    <xf numFmtId="0" fontId="22" fillId="0" borderId="55" xfId="372" applyBorder="1" applyProtection="1"/>
    <xf numFmtId="0" fontId="22" fillId="0" borderId="0" xfId="372" applyProtection="1"/>
    <xf numFmtId="0" fontId="22" fillId="0" borderId="10" xfId="372" applyBorder="1" applyProtection="1"/>
    <xf numFmtId="0" fontId="49" fillId="0" borderId="0" xfId="372" applyFont="1" applyFill="1" applyAlignment="1">
      <alignment horizontal="right"/>
    </xf>
    <xf numFmtId="0" fontId="28" fillId="0" borderId="0" xfId="372" applyFont="1" applyFill="1" applyAlignment="1" applyProtection="1">
      <alignment horizontal="right"/>
    </xf>
    <xf numFmtId="0" fontId="22" fillId="0" borderId="0" xfId="372" applyFill="1" applyProtection="1"/>
    <xf numFmtId="0" fontId="22" fillId="0" borderId="4" xfId="372" applyBorder="1" applyProtection="1"/>
    <xf numFmtId="0" fontId="22" fillId="0" borderId="5" xfId="372" applyBorder="1" applyProtection="1"/>
    <xf numFmtId="0" fontId="50" fillId="0" borderId="73" xfId="372" applyFont="1" applyBorder="1" applyProtection="1"/>
    <xf numFmtId="0" fontId="22" fillId="0" borderId="50" xfId="372" applyBorder="1" applyProtection="1"/>
    <xf numFmtId="0" fontId="22" fillId="0" borderId="73" xfId="372" applyBorder="1" applyProtection="1"/>
    <xf numFmtId="0" fontId="22" fillId="0" borderId="10" xfId="372" applyBorder="1" applyAlignment="1" applyProtection="1">
      <alignment horizontal="center"/>
    </xf>
    <xf numFmtId="0" fontId="22" fillId="0" borderId="0" xfId="372" applyBorder="1" applyProtection="1"/>
    <xf numFmtId="0" fontId="22" fillId="0" borderId="0" xfId="372" applyBorder="1" applyAlignment="1" applyProtection="1">
      <alignment horizontal="center"/>
    </xf>
    <xf numFmtId="0" fontId="22" fillId="14" borderId="0" xfId="372" applyFill="1"/>
    <xf numFmtId="0" fontId="22" fillId="0" borderId="10" xfId="372" applyFill="1" applyBorder="1"/>
    <xf numFmtId="0" fontId="22" fillId="0" borderId="55" xfId="372" applyFill="1" applyBorder="1" applyAlignment="1" applyProtection="1">
      <alignment horizontal="center"/>
    </xf>
    <xf numFmtId="0" fontId="22" fillId="0" borderId="0" xfId="372" applyFill="1" applyBorder="1"/>
    <xf numFmtId="0" fontId="22" fillId="0" borderId="0" xfId="372" applyFill="1" applyBorder="1" applyProtection="1">
      <protection locked="0"/>
    </xf>
    <xf numFmtId="0" fontId="22" fillId="0" borderId="0" xfId="372" applyFill="1" applyBorder="1" applyAlignment="1">
      <alignment horizontal="center"/>
    </xf>
    <xf numFmtId="0" fontId="22" fillId="0" borderId="10" xfId="372" applyFill="1" applyBorder="1" applyProtection="1">
      <protection locked="0"/>
    </xf>
    <xf numFmtId="0" fontId="22" fillId="0" borderId="10" xfId="372" applyFill="1" applyBorder="1" applyAlignment="1">
      <alignment horizontal="center"/>
    </xf>
    <xf numFmtId="1" fontId="49" fillId="0" borderId="0" xfId="372" applyNumberFormat="1" applyFont="1" applyFill="1" applyBorder="1" applyAlignment="1" applyProtection="1">
      <alignment horizontal="right" vertical="top" wrapText="1"/>
      <protection locked="0"/>
    </xf>
    <xf numFmtId="0" fontId="51" fillId="10" borderId="55" xfId="372" applyFont="1" applyFill="1" applyBorder="1" applyProtection="1">
      <protection locked="0"/>
    </xf>
    <xf numFmtId="0" fontId="22" fillId="0" borderId="27" xfId="372" applyFill="1" applyBorder="1" applyProtection="1"/>
    <xf numFmtId="167" fontId="52" fillId="0" borderId="19" xfId="372" applyNumberFormat="1" applyFont="1" applyFill="1" applyBorder="1" applyAlignment="1" applyProtection="1">
      <alignment horizontal="centerContinuous"/>
    </xf>
    <xf numFmtId="167" fontId="52" fillId="0" borderId="27" xfId="372" applyNumberFormat="1" applyFont="1" applyFill="1" applyBorder="1" applyAlignment="1" applyProtection="1">
      <alignment horizontal="centerContinuous"/>
    </xf>
    <xf numFmtId="0" fontId="22" fillId="0" borderId="27" xfId="372" applyFill="1" applyBorder="1" applyAlignment="1" applyProtection="1">
      <alignment horizontal="centerContinuous"/>
    </xf>
    <xf numFmtId="0" fontId="52" fillId="0" borderId="34" xfId="372" applyFont="1" applyFill="1" applyBorder="1" applyAlignment="1" applyProtection="1">
      <alignment horizontal="centerContinuous"/>
    </xf>
    <xf numFmtId="167" fontId="52" fillId="0" borderId="19" xfId="372" applyNumberFormat="1" applyFont="1" applyBorder="1" applyAlignment="1" applyProtection="1">
      <alignment horizontal="centerContinuous"/>
    </xf>
    <xf numFmtId="167" fontId="52" fillId="0" borderId="27" xfId="372" applyNumberFormat="1" applyFont="1" applyBorder="1" applyAlignment="1" applyProtection="1">
      <alignment horizontal="centerContinuous"/>
    </xf>
    <xf numFmtId="0" fontId="22" fillId="0" borderId="27" xfId="372" applyBorder="1" applyAlignment="1" applyProtection="1">
      <alignment horizontal="centerContinuous"/>
    </xf>
    <xf numFmtId="0" fontId="52" fillId="0" borderId="34" xfId="372" applyFont="1" applyBorder="1" applyAlignment="1" applyProtection="1">
      <alignment horizontal="centerContinuous"/>
    </xf>
    <xf numFmtId="0" fontId="22" fillId="0" borderId="10" xfId="372" applyFill="1" applyBorder="1" applyProtection="1"/>
    <xf numFmtId="0" fontId="52" fillId="0" borderId="7" xfId="372" applyNumberFormat="1" applyFont="1" applyFill="1" applyBorder="1" applyAlignment="1" applyProtection="1">
      <alignment horizontal="centerContinuous"/>
    </xf>
    <xf numFmtId="0" fontId="52" fillId="0" borderId="10" xfId="372" applyNumberFormat="1" applyFont="1" applyFill="1" applyBorder="1" applyAlignment="1" applyProtection="1">
      <alignment horizontal="centerContinuous"/>
    </xf>
    <xf numFmtId="0" fontId="22" fillId="0" borderId="10" xfId="372" applyFill="1" applyBorder="1" applyAlignment="1" applyProtection="1">
      <alignment horizontal="centerContinuous"/>
    </xf>
    <xf numFmtId="0" fontId="52" fillId="0" borderId="2" xfId="372" applyFont="1" applyFill="1" applyBorder="1" applyAlignment="1" applyProtection="1">
      <alignment horizontal="centerContinuous"/>
    </xf>
    <xf numFmtId="0" fontId="52" fillId="0" borderId="7" xfId="372" applyNumberFormat="1" applyFont="1" applyBorder="1" applyAlignment="1" applyProtection="1">
      <alignment horizontal="centerContinuous"/>
    </xf>
    <xf numFmtId="0" fontId="52" fillId="0" borderId="10" xfId="372" applyNumberFormat="1" applyFont="1" applyBorder="1" applyAlignment="1" applyProtection="1">
      <alignment horizontal="centerContinuous"/>
    </xf>
    <xf numFmtId="0" fontId="22" fillId="0" borderId="10" xfId="372" applyBorder="1" applyAlignment="1" applyProtection="1">
      <alignment horizontal="centerContinuous"/>
    </xf>
    <xf numFmtId="0" fontId="52" fillId="0" borderId="2" xfId="372" applyFont="1" applyBorder="1" applyAlignment="1" applyProtection="1">
      <alignment horizontal="centerContinuous"/>
    </xf>
    <xf numFmtId="176" fontId="22" fillId="0" borderId="0" xfId="372" applyNumberFormat="1" applyBorder="1" applyProtection="1"/>
    <xf numFmtId="176" fontId="22" fillId="0" borderId="0" xfId="372" applyNumberFormat="1" applyProtection="1"/>
    <xf numFmtId="0" fontId="45" fillId="0" borderId="0" xfId="372" applyFont="1" applyBorder="1" applyProtection="1"/>
    <xf numFmtId="0" fontId="45" fillId="0" borderId="0" xfId="372" applyFont="1" applyProtection="1"/>
    <xf numFmtId="0" fontId="28" fillId="0" borderId="0" xfId="374"/>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0"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NumberFormat="1" applyFont="1" applyBorder="1" applyAlignment="1">
      <alignment horizontal="centerContinuous" vertical="top"/>
    </xf>
    <xf numFmtId="0" fontId="23" fillId="0" borderId="24" xfId="372" applyNumberFormat="1" applyFont="1" applyBorder="1" applyAlignment="1">
      <alignment horizontal="centerContinuous"/>
    </xf>
    <xf numFmtId="0" fontId="56" fillId="0" borderId="24" xfId="372" applyFont="1" applyBorder="1" applyAlignment="1">
      <alignment horizontal="centerContinuous"/>
    </xf>
    <xf numFmtId="0" fontId="23" fillId="0" borderId="24" xfId="372" applyFont="1" applyBorder="1" applyAlignment="1">
      <alignment horizontal="centerContinuous"/>
    </xf>
    <xf numFmtId="0" fontId="56" fillId="0" borderId="24" xfId="372" applyNumberFormat="1"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Fill="1" applyBorder="1" applyAlignment="1" applyProtection="1">
      <alignment vertical="top"/>
      <protection locked="0"/>
    </xf>
    <xf numFmtId="0" fontId="33" fillId="0" borderId="0" xfId="374" applyFont="1" applyBorder="1"/>
    <xf numFmtId="0" fontId="34" fillId="0" borderId="0" xfId="372" applyFont="1" applyFill="1" applyBorder="1" applyAlignment="1">
      <alignment horizontal="center"/>
    </xf>
    <xf numFmtId="0" fontId="22" fillId="0" borderId="72" xfId="372" applyFont="1" applyFill="1" applyBorder="1" applyProtection="1">
      <protection locked="0"/>
    </xf>
    <xf numFmtId="0" fontId="18" fillId="0" borderId="0" xfId="0" applyFont="1"/>
    <xf numFmtId="0" fontId="22" fillId="15" borderId="0" xfId="372" applyFill="1"/>
    <xf numFmtId="0" fontId="22" fillId="3" borderId="0" xfId="372" applyFill="1"/>
    <xf numFmtId="0" fontId="59" fillId="0" borderId="0" xfId="374" applyFont="1" applyFill="1" applyBorder="1" applyAlignment="1">
      <alignment horizontal="center"/>
    </xf>
    <xf numFmtId="0" fontId="57" fillId="0" borderId="0" xfId="374" applyFont="1" applyFill="1" applyBorder="1"/>
    <xf numFmtId="0" fontId="58" fillId="0" borderId="0" xfId="374" applyFont="1" applyFill="1" applyBorder="1"/>
    <xf numFmtId="0" fontId="59" fillId="0" borderId="33" xfId="374" applyFont="1" applyFill="1" applyBorder="1" applyAlignment="1"/>
    <xf numFmtId="0" fontId="59" fillId="0" borderId="0" xfId="374" applyFont="1" applyFill="1" applyBorder="1" applyAlignment="1"/>
    <xf numFmtId="0" fontId="61" fillId="0" borderId="0" xfId="372" applyFont="1"/>
    <xf numFmtId="0" fontId="61" fillId="0" borderId="0" xfId="372" applyFont="1" applyProtection="1"/>
    <xf numFmtId="0" fontId="22" fillId="16" borderId="0" xfId="372" applyFill="1"/>
    <xf numFmtId="0" fontId="62" fillId="0" borderId="0" xfId="505" applyFont="1"/>
    <xf numFmtId="0" fontId="63" fillId="16" borderId="0" xfId="505" applyFont="1" applyFill="1"/>
    <xf numFmtId="0" fontId="64" fillId="0" borderId="0" xfId="505" applyFont="1" applyAlignment="1">
      <alignment horizontal="left"/>
    </xf>
    <xf numFmtId="0" fontId="64" fillId="0" borderId="0" xfId="505" applyFont="1"/>
    <xf numFmtId="0" fontId="61" fillId="17" borderId="0" xfId="372" applyFont="1" applyFill="1"/>
    <xf numFmtId="0" fontId="22" fillId="18" borderId="0" xfId="372" applyFill="1"/>
    <xf numFmtId="0" fontId="22" fillId="21" borderId="0" xfId="372" applyFill="1"/>
    <xf numFmtId="0" fontId="22" fillId="22" borderId="0" xfId="372" applyFill="1"/>
    <xf numFmtId="0" fontId="22" fillId="4" borderId="0" xfId="372" applyFill="1"/>
    <xf numFmtId="0" fontId="61" fillId="2" borderId="0" xfId="372" applyFont="1" applyFill="1"/>
    <xf numFmtId="0" fontId="65" fillId="0" borderId="0" xfId="372" applyFont="1"/>
    <xf numFmtId="0" fontId="65" fillId="2" borderId="0" xfId="372" applyFont="1" applyFill="1"/>
    <xf numFmtId="0" fontId="22" fillId="0" borderId="76" xfId="372" applyFont="1" applyFill="1" applyBorder="1" applyProtection="1">
      <protection locked="0"/>
    </xf>
    <xf numFmtId="0" fontId="22" fillId="0" borderId="50" xfId="372" applyFont="1" applyFill="1"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1" fontId="50" fillId="10" borderId="56" xfId="372" applyNumberFormat="1" applyFont="1" applyFill="1" applyBorder="1" applyAlignment="1">
      <alignment horizontal="center"/>
    </xf>
    <xf numFmtId="1" fontId="50" fillId="10" borderId="71" xfId="372" applyNumberFormat="1" applyFont="1" applyFill="1" applyBorder="1" applyAlignment="1">
      <alignment horizontal="center"/>
    </xf>
    <xf numFmtId="0" fontId="50" fillId="10" borderId="55" xfId="372" applyFont="1" applyFill="1" applyBorder="1" applyAlignment="1">
      <alignment horizontal="center"/>
    </xf>
    <xf numFmtId="1" fontId="22" fillId="10" borderId="50" xfId="372" applyNumberFormat="1" applyFill="1" applyBorder="1" applyProtection="1">
      <protection locked="0"/>
    </xf>
    <xf numFmtId="0" fontId="41" fillId="10" borderId="50" xfId="372" applyNumberFormat="1" applyFont="1" applyFill="1" applyBorder="1" applyAlignment="1" applyProtection="1">
      <alignment wrapText="1"/>
    </xf>
    <xf numFmtId="0" fontId="26" fillId="0" borderId="0" xfId="372" applyFont="1"/>
    <xf numFmtId="0" fontId="54" fillId="0" borderId="0" xfId="372" applyFont="1" applyProtection="1"/>
    <xf numFmtId="0" fontId="26" fillId="0" borderId="0" xfId="372" applyFont="1" applyAlignment="1" applyProtection="1">
      <alignment horizontal="left"/>
    </xf>
    <xf numFmtId="0" fontId="67" fillId="0" borderId="0" xfId="372" applyFont="1" applyProtection="1"/>
    <xf numFmtId="0" fontId="22" fillId="0" borderId="0" xfId="372" applyFill="1" applyBorder="1" applyProtection="1"/>
    <xf numFmtId="0" fontId="22" fillId="0" borderId="4" xfId="372" applyFill="1" applyBorder="1" applyAlignment="1" applyProtection="1">
      <alignment horizontal="center"/>
    </xf>
    <xf numFmtId="0" fontId="22" fillId="0" borderId="5" xfId="372" applyFill="1" applyBorder="1" applyAlignment="1" applyProtection="1">
      <alignment horizontal="center"/>
    </xf>
    <xf numFmtId="0" fontId="51" fillId="10" borderId="5" xfId="372" applyFont="1" applyFill="1" applyBorder="1" applyProtection="1">
      <protection locked="0"/>
    </xf>
    <xf numFmtId="1" fontId="49" fillId="10" borderId="6" xfId="372" applyNumberFormat="1" applyFont="1" applyFill="1" applyBorder="1" applyAlignment="1" applyProtection="1">
      <alignment horizontal="right" vertical="top" wrapText="1"/>
    </xf>
    <xf numFmtId="0" fontId="22" fillId="0" borderId="2" xfId="372" applyBorder="1" applyAlignment="1" applyProtection="1">
      <alignment horizontal="centerContinuous"/>
    </xf>
    <xf numFmtId="0" fontId="22" fillId="0" borderId="34" xfId="372" applyBorder="1" applyAlignment="1" applyProtection="1">
      <alignment horizontal="centerContinuous"/>
    </xf>
    <xf numFmtId="0" fontId="41" fillId="0" borderId="0" xfId="377" applyFont="1" applyProtection="1"/>
    <xf numFmtId="0" fontId="68" fillId="23" borderId="11" xfId="372" applyFont="1" applyFill="1" applyBorder="1" applyProtection="1"/>
    <xf numFmtId="0" fontId="65" fillId="23" borderId="39" xfId="372" applyFont="1" applyFill="1" applyBorder="1" applyProtection="1"/>
    <xf numFmtId="0" fontId="22" fillId="0" borderId="80" xfId="372" applyBorder="1" applyProtection="1"/>
    <xf numFmtId="0" fontId="22" fillId="0" borderId="81" xfId="372" applyBorder="1" applyProtection="1"/>
    <xf numFmtId="0" fontId="22" fillId="17" borderId="82" xfId="372" applyFill="1" applyBorder="1" applyProtection="1"/>
    <xf numFmtId="0" fontId="22" fillId="17" borderId="83" xfId="372" applyFill="1" applyBorder="1" applyProtection="1"/>
    <xf numFmtId="0" fontId="50" fillId="3" borderId="82" xfId="372" applyFont="1" applyFill="1" applyBorder="1" applyProtection="1"/>
    <xf numFmtId="0" fontId="22" fillId="3" borderId="83" xfId="372" applyFill="1" applyBorder="1" applyProtection="1"/>
    <xf numFmtId="0" fontId="22" fillId="4" borderId="82" xfId="372" applyFill="1" applyBorder="1" applyProtection="1"/>
    <xf numFmtId="0" fontId="22" fillId="4" borderId="83" xfId="372" applyFill="1" applyBorder="1" applyProtection="1"/>
    <xf numFmtId="0" fontId="22" fillId="15" borderId="82" xfId="372" applyFill="1" applyBorder="1" applyProtection="1"/>
    <xf numFmtId="0" fontId="22" fillId="15" borderId="83" xfId="372" applyFill="1" applyBorder="1" applyProtection="1"/>
    <xf numFmtId="0" fontId="22" fillId="16" borderId="82" xfId="372" applyFill="1" applyBorder="1" applyProtection="1"/>
    <xf numFmtId="0" fontId="22" fillId="16" borderId="83" xfId="372" applyFill="1" applyBorder="1" applyProtection="1"/>
    <xf numFmtId="0" fontId="37" fillId="0" borderId="0" xfId="372" applyFont="1" applyFill="1" applyBorder="1" applyAlignment="1" applyProtection="1">
      <alignment horizontal="left"/>
    </xf>
    <xf numFmtId="0" fontId="22" fillId="0" borderId="0" xfId="372" applyFill="1" applyBorder="1" applyAlignment="1" applyProtection="1">
      <alignment horizontal="left"/>
      <protection locked="0"/>
    </xf>
    <xf numFmtId="0" fontId="28" fillId="0" borderId="0" xfId="377" applyFill="1" applyProtection="1"/>
    <xf numFmtId="0" fontId="22" fillId="14" borderId="0" xfId="372" applyFill="1" applyBorder="1"/>
    <xf numFmtId="0" fontId="22" fillId="0" borderId="2" xfId="372" applyFill="1" applyBorder="1" applyProtection="1"/>
    <xf numFmtId="0" fontId="22" fillId="0" borderId="7" xfId="372" applyFill="1" applyBorder="1" applyProtection="1"/>
    <xf numFmtId="0" fontId="37" fillId="0" borderId="34" xfId="372" applyFont="1" applyFill="1" applyBorder="1" applyProtection="1"/>
    <xf numFmtId="0" fontId="22" fillId="0" borderId="19" xfId="372" applyFill="1" applyBorder="1" applyProtection="1"/>
    <xf numFmtId="0" fontId="22" fillId="0" borderId="2" xfId="372" applyFill="1" applyBorder="1" applyAlignment="1" applyProtection="1">
      <alignment horizontal="centerContinuous"/>
    </xf>
    <xf numFmtId="0" fontId="22" fillId="0" borderId="34" xfId="372" applyFill="1" applyBorder="1" applyAlignment="1" applyProtection="1">
      <alignment horizontal="centerContinuous"/>
    </xf>
    <xf numFmtId="0" fontId="47" fillId="0" borderId="77"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16" borderId="4" xfId="374" applyFont="1" applyFill="1" applyBorder="1"/>
    <xf numFmtId="0" fontId="37" fillId="16" borderId="5" xfId="374" applyFont="1" applyFill="1" applyBorder="1"/>
    <xf numFmtId="0" fontId="37" fillId="16" borderId="5" xfId="374" applyFont="1" applyFill="1" applyBorder="1" applyAlignment="1">
      <alignment horizontal="right"/>
    </xf>
    <xf numFmtId="0" fontId="37" fillId="16"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7" borderId="4" xfId="374" applyFont="1" applyFill="1" applyBorder="1"/>
    <xf numFmtId="0" fontId="37" fillId="17" borderId="5" xfId="374" applyFont="1" applyFill="1" applyBorder="1"/>
    <xf numFmtId="0" fontId="53" fillId="17"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applyAlignment="1"/>
    <xf numFmtId="0" fontId="37" fillId="22" borderId="4" xfId="374" applyFont="1" applyFill="1" applyBorder="1"/>
    <xf numFmtId="0" fontId="37" fillId="22" borderId="5" xfId="374" applyFont="1" applyFill="1" applyBorder="1"/>
    <xf numFmtId="0" fontId="37" fillId="22" borderId="5" xfId="374" applyFont="1" applyFill="1" applyBorder="1" applyAlignment="1">
      <alignment horizontal="right"/>
    </xf>
    <xf numFmtId="0" fontId="37" fillId="22" borderId="6" xfId="374" applyFont="1" applyFill="1" applyBorder="1" applyAlignment="1">
      <alignment horizontal="right"/>
    </xf>
    <xf numFmtId="0" fontId="70" fillId="23" borderId="4" xfId="374" applyFont="1" applyFill="1" applyBorder="1"/>
    <xf numFmtId="0" fontId="70" fillId="23" borderId="5" xfId="374" applyFont="1" applyFill="1" applyBorder="1"/>
    <xf numFmtId="0" fontId="70" fillId="23" borderId="5" xfId="372" applyFont="1" applyFill="1" applyBorder="1"/>
    <xf numFmtId="0" fontId="70" fillId="23" borderId="5" xfId="374" applyFont="1" applyFill="1" applyBorder="1" applyAlignment="1">
      <alignment horizontal="right"/>
    </xf>
    <xf numFmtId="0" fontId="70" fillId="23"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5" borderId="5" xfId="374" applyFont="1" applyFill="1" applyBorder="1" applyAlignment="1"/>
    <xf numFmtId="0" fontId="47" fillId="17" borderId="40" xfId="374" applyFont="1" applyFill="1" applyBorder="1"/>
    <xf numFmtId="0" fontId="47" fillId="3" borderId="77" xfId="374" applyFont="1" applyFill="1" applyBorder="1"/>
    <xf numFmtId="0" fontId="48" fillId="5" borderId="44" xfId="374" applyFont="1" applyFill="1" applyBorder="1"/>
    <xf numFmtId="0" fontId="47" fillId="22" borderId="39" xfId="374" applyFont="1" applyFill="1" applyBorder="1"/>
    <xf numFmtId="0" fontId="33" fillId="24" borderId="0" xfId="374" applyFont="1" applyFill="1" applyBorder="1"/>
    <xf numFmtId="0" fontId="60" fillId="24" borderId="0" xfId="374" applyFont="1" applyFill="1" applyBorder="1"/>
    <xf numFmtId="0" fontId="60" fillId="24" borderId="45" xfId="374" applyFont="1" applyFill="1" applyBorder="1"/>
    <xf numFmtId="0" fontId="47" fillId="4" borderId="13" xfId="374" applyFont="1" applyFill="1" applyBorder="1" applyAlignment="1"/>
    <xf numFmtId="0" fontId="37" fillId="17" borderId="6" xfId="374" applyFont="1" applyFill="1" applyBorder="1" applyAlignment="1">
      <alignment horizontal="right"/>
    </xf>
    <xf numFmtId="0" fontId="63" fillId="0" borderId="0" xfId="372" applyFont="1" applyProtection="1"/>
    <xf numFmtId="0" fontId="71" fillId="0" borderId="0" xfId="372" applyFont="1" applyProtection="1"/>
    <xf numFmtId="0" fontId="66" fillId="3" borderId="0" xfId="372" applyFont="1" applyFill="1" applyProtection="1">
      <protection locked="0"/>
    </xf>
    <xf numFmtId="0" fontId="22" fillId="2" borderId="0" xfId="372" applyFill="1"/>
    <xf numFmtId="0" fontId="65" fillId="23" borderId="0" xfId="372" applyFont="1" applyFill="1"/>
    <xf numFmtId="0" fontId="65" fillId="0" borderId="0" xfId="372" applyFont="1" applyProtection="1"/>
    <xf numFmtId="0" fontId="22" fillId="0" borderId="3" xfId="372" applyBorder="1" applyProtection="1"/>
    <xf numFmtId="0" fontId="65" fillId="23" borderId="33" xfId="372" applyFont="1" applyFill="1" applyBorder="1" applyProtection="1"/>
    <xf numFmtId="0" fontId="70" fillId="25" borderId="5" xfId="0" applyFont="1" applyFill="1" applyBorder="1"/>
    <xf numFmtId="0" fontId="70" fillId="25" borderId="5" xfId="0" applyFont="1" applyFill="1" applyBorder="1" applyAlignment="1">
      <alignment horizontal="right"/>
    </xf>
    <xf numFmtId="0" fontId="70" fillId="25" borderId="4" xfId="0" applyFont="1" applyFill="1" applyBorder="1"/>
    <xf numFmtId="0" fontId="73" fillId="27" borderId="5" xfId="0" applyFont="1" applyFill="1" applyBorder="1"/>
    <xf numFmtId="0" fontId="24" fillId="2" borderId="0" xfId="505" applyFont="1" applyFill="1"/>
    <xf numFmtId="0" fontId="72" fillId="26" borderId="13" xfId="0" applyFont="1" applyFill="1" applyBorder="1"/>
    <xf numFmtId="0" fontId="0" fillId="0" borderId="0" xfId="343" applyNumberFormat="1" applyFont="1"/>
    <xf numFmtId="0" fontId="37" fillId="0" borderId="0" xfId="505" applyFont="1" applyAlignment="1">
      <alignment horizontal="justify" vertical="justify"/>
    </xf>
    <xf numFmtId="0" fontId="37" fillId="0" borderId="0" xfId="505" applyFont="1" applyAlignment="1">
      <alignment horizontal="justify" vertical="justify" wrapText="1"/>
    </xf>
    <xf numFmtId="0" fontId="44" fillId="0" borderId="0" xfId="505" applyFont="1" applyAlignment="1">
      <alignment horizontal="justify" vertical="justify"/>
    </xf>
    <xf numFmtId="0" fontId="37" fillId="17" borderId="0" xfId="505" applyFont="1" applyFill="1" applyAlignment="1">
      <alignment horizontal="justify" vertical="justify" wrapText="1"/>
    </xf>
    <xf numFmtId="0" fontId="37" fillId="18" borderId="0" xfId="505" applyFont="1" applyFill="1" applyAlignment="1">
      <alignment horizontal="justify" vertical="justify" wrapText="1"/>
    </xf>
    <xf numFmtId="0" fontId="37" fillId="21" borderId="0" xfId="505" applyFont="1" applyFill="1" applyAlignment="1">
      <alignment horizontal="justify" vertical="justify" wrapText="1"/>
    </xf>
    <xf numFmtId="0" fontId="37" fillId="3" borderId="0" xfId="505" applyFont="1" applyFill="1" applyAlignment="1">
      <alignment horizontal="justify" vertical="justify" wrapText="1"/>
    </xf>
    <xf numFmtId="0" fontId="44" fillId="19" borderId="0" xfId="505" applyFont="1" applyFill="1" applyAlignment="1">
      <alignment horizontal="justify" vertical="justify" wrapText="1"/>
    </xf>
    <xf numFmtId="0" fontId="37" fillId="2" borderId="0" xfId="505" applyFont="1" applyFill="1" applyAlignment="1">
      <alignment horizontal="justify" vertical="justify" wrapText="1"/>
    </xf>
    <xf numFmtId="0" fontId="75" fillId="23" borderId="0" xfId="505" applyFont="1" applyFill="1" applyAlignment="1">
      <alignment horizontal="justify" vertical="justify" wrapText="1"/>
    </xf>
    <xf numFmtId="0" fontId="70" fillId="23" borderId="0" xfId="505" applyFont="1" applyFill="1" applyAlignment="1">
      <alignment horizontal="justify" vertical="justify" wrapText="1"/>
    </xf>
    <xf numFmtId="0" fontId="37" fillId="2" borderId="0" xfId="505" applyFont="1" applyFill="1" applyAlignment="1">
      <alignment horizontal="left" vertical="justify" wrapText="1"/>
    </xf>
    <xf numFmtId="2" fontId="76" fillId="0" borderId="10" xfId="374" applyNumberFormat="1" applyFont="1" applyBorder="1"/>
    <xf numFmtId="0" fontId="37" fillId="0" borderId="0" xfId="505" applyFont="1" applyAlignment="1">
      <alignment horizontal="justify" vertical="justify" wrapText="1"/>
    </xf>
    <xf numFmtId="0" fontId="22" fillId="0" borderId="0" xfId="372" applyFill="1" applyBorder="1" applyAlignment="1" applyProtection="1">
      <alignment horizontal="center"/>
    </xf>
    <xf numFmtId="0" fontId="51" fillId="0" borderId="0" xfId="372" applyFont="1" applyFill="1" applyBorder="1" applyProtection="1">
      <protection locked="0"/>
    </xf>
    <xf numFmtId="1" fontId="49" fillId="0" borderId="0" xfId="372" applyNumberFormat="1" applyFont="1" applyFill="1" applyBorder="1" applyAlignment="1" applyProtection="1">
      <alignment horizontal="right" vertical="top" wrapText="1"/>
    </xf>
    <xf numFmtId="0" fontId="22" fillId="2" borderId="72" xfId="372" applyFont="1" applyFill="1" applyBorder="1" applyProtection="1">
      <protection locked="0"/>
    </xf>
    <xf numFmtId="0" fontId="22" fillId="2" borderId="2" xfId="372" applyFont="1" applyFill="1" applyBorder="1" applyAlignment="1">
      <alignment horizontal="center"/>
    </xf>
    <xf numFmtId="0" fontId="22" fillId="2" borderId="10" xfId="372" applyFont="1" applyFill="1" applyBorder="1" applyAlignment="1">
      <alignment horizontal="center"/>
    </xf>
    <xf numFmtId="0" fontId="22" fillId="2" borderId="10" xfId="372" applyFont="1" applyFill="1" applyBorder="1" applyProtection="1">
      <protection locked="0"/>
    </xf>
    <xf numFmtId="1" fontId="50" fillId="2" borderId="7" xfId="372" applyNumberFormat="1" applyFont="1" applyFill="1" applyBorder="1" applyAlignment="1">
      <alignment horizontal="center"/>
    </xf>
    <xf numFmtId="0" fontId="77" fillId="16" borderId="0" xfId="0" applyFont="1" applyFill="1"/>
    <xf numFmtId="0" fontId="78" fillId="16" borderId="0" xfId="0" applyFont="1" applyFill="1"/>
    <xf numFmtId="0" fontId="78" fillId="16" borderId="0" xfId="0" applyFont="1" applyFill="1" applyAlignment="1">
      <alignment wrapText="1"/>
    </xf>
    <xf numFmtId="0" fontId="22" fillId="2" borderId="54" xfId="372" applyFont="1" applyFill="1" applyBorder="1" applyAlignment="1">
      <alignment horizontal="center"/>
    </xf>
    <xf numFmtId="0" fontId="22" fillId="2" borderId="55" xfId="372" applyFont="1" applyFill="1" applyBorder="1" applyAlignment="1">
      <alignment horizontal="center"/>
    </xf>
    <xf numFmtId="0" fontId="22" fillId="2" borderId="55" xfId="372" applyFont="1" applyFill="1" applyBorder="1" applyProtection="1">
      <protection locked="0"/>
    </xf>
    <xf numFmtId="0" fontId="22" fillId="4" borderId="54" xfId="372" applyFont="1" applyFill="1" applyBorder="1" applyAlignment="1">
      <alignment horizontal="center"/>
    </xf>
    <xf numFmtId="0" fontId="22" fillId="4" borderId="55" xfId="372" applyFont="1" applyFill="1" applyBorder="1" applyAlignment="1">
      <alignment horizontal="center"/>
    </xf>
    <xf numFmtId="0" fontId="22" fillId="4" borderId="55" xfId="372" applyFont="1" applyFill="1" applyBorder="1" applyProtection="1">
      <protection locked="0"/>
    </xf>
    <xf numFmtId="0" fontId="22" fillId="4" borderId="50" xfId="372" applyFont="1" applyFill="1" applyBorder="1" applyProtection="1">
      <protection locked="0"/>
    </xf>
    <xf numFmtId="1" fontId="50" fillId="4" borderId="55" xfId="372" applyNumberFormat="1" applyFont="1" applyFill="1" applyBorder="1" applyAlignment="1">
      <alignment horizontal="center"/>
    </xf>
    <xf numFmtId="0" fontId="22" fillId="4" borderId="76" xfId="372" applyFont="1" applyFill="1" applyBorder="1" applyProtection="1">
      <protection locked="0"/>
    </xf>
    <xf numFmtId="1" fontId="50" fillId="4" borderId="56" xfId="372" applyNumberFormat="1" applyFont="1" applyFill="1" applyBorder="1" applyAlignment="1">
      <alignment horizontal="center"/>
    </xf>
    <xf numFmtId="0" fontId="22" fillId="2" borderId="76" xfId="372" applyFont="1" applyFill="1" applyBorder="1" applyProtection="1">
      <protection locked="0"/>
    </xf>
    <xf numFmtId="1" fontId="50" fillId="2" borderId="55" xfId="372" applyNumberFormat="1" applyFont="1" applyFill="1" applyBorder="1" applyAlignment="1">
      <alignment horizontal="center"/>
    </xf>
    <xf numFmtId="0" fontId="22" fillId="2" borderId="50" xfId="372" applyFont="1" applyFill="1" applyBorder="1" applyProtection="1">
      <protection locked="0"/>
    </xf>
    <xf numFmtId="0" fontId="78" fillId="16" borderId="0" xfId="0" applyFont="1" applyFill="1" applyAlignment="1">
      <alignment horizontal="left" wrapText="1"/>
    </xf>
    <xf numFmtId="0" fontId="22" fillId="2" borderId="2" xfId="372" applyFont="1" applyFill="1" applyBorder="1" applyAlignment="1">
      <alignment horizontal="center"/>
    </xf>
    <xf numFmtId="0" fontId="22" fillId="2" borderId="10" xfId="372" applyFont="1" applyFill="1" applyBorder="1" applyAlignment="1">
      <alignment horizontal="center"/>
    </xf>
    <xf numFmtId="0" fontId="22" fillId="2" borderId="3" xfId="372" applyFont="1" applyFill="1" applyBorder="1" applyAlignment="1">
      <alignment horizontal="center"/>
    </xf>
    <xf numFmtId="0" fontId="22" fillId="2" borderId="0" xfId="372" applyFont="1" applyFill="1" applyBorder="1" applyAlignment="1">
      <alignment horizontal="center"/>
    </xf>
    <xf numFmtId="1" fontId="50" fillId="2" borderId="56" xfId="372" applyNumberFormat="1" applyFont="1" applyFill="1" applyBorder="1" applyAlignment="1">
      <alignment horizontal="center"/>
    </xf>
    <xf numFmtId="0" fontId="22" fillId="2" borderId="0" xfId="372" applyFont="1" applyFill="1" applyBorder="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horizontal="right" vertical="top" wrapText="1"/>
      <protection locked="0"/>
    </xf>
    <xf numFmtId="1" fontId="32" fillId="2" borderId="7" xfId="372" applyNumberFormat="1" applyFont="1" applyFill="1" applyBorder="1" applyAlignment="1" applyProtection="1">
      <alignment vertical="top"/>
      <protection locked="0"/>
    </xf>
    <xf numFmtId="1" fontId="50" fillId="2" borderId="71" xfId="372" applyNumberFormat="1" applyFont="1" applyFill="1" applyBorder="1" applyAlignment="1">
      <alignment horizontal="center"/>
    </xf>
    <xf numFmtId="0" fontId="22" fillId="4" borderId="72" xfId="372" applyFont="1" applyFill="1" applyBorder="1" applyProtection="1">
      <protection locked="0"/>
    </xf>
    <xf numFmtId="1" fontId="50" fillId="4" borderId="71" xfId="372" applyNumberFormat="1" applyFont="1" applyFill="1" applyBorder="1" applyAlignment="1">
      <alignment horizontal="center"/>
    </xf>
    <xf numFmtId="0" fontId="22" fillId="2" borderId="70" xfId="372" applyFont="1" applyFill="1" applyBorder="1" applyAlignment="1">
      <alignment horizontal="center"/>
    </xf>
    <xf numFmtId="0" fontId="22" fillId="2" borderId="72" xfId="372" applyFont="1" applyFill="1" applyBorder="1" applyAlignment="1">
      <alignment horizontal="center"/>
    </xf>
    <xf numFmtId="0" fontId="22" fillId="2" borderId="71" xfId="372" applyFont="1" applyFill="1" applyBorder="1" applyAlignment="1">
      <alignment horizontal="center"/>
    </xf>
    <xf numFmtId="0" fontId="22" fillId="4" borderId="70" xfId="372" applyFont="1" applyFill="1" applyBorder="1" applyAlignment="1">
      <alignment horizontal="center"/>
    </xf>
    <xf numFmtId="0" fontId="22" fillId="4" borderId="72" xfId="372" applyFont="1" applyFill="1" applyBorder="1" applyAlignment="1">
      <alignment horizontal="center"/>
    </xf>
    <xf numFmtId="1" fontId="50" fillId="4" borderId="7" xfId="372" applyNumberFormat="1" applyFont="1" applyFill="1" applyBorder="1" applyAlignment="1">
      <alignment horizontal="center"/>
    </xf>
    <xf numFmtId="0" fontId="65" fillId="14" borderId="0" xfId="372" applyFont="1" applyFill="1"/>
    <xf numFmtId="0" fontId="18" fillId="0" borderId="0" xfId="0" applyFont="1" applyBorder="1" applyAlignment="1">
      <alignment horizontal="center"/>
    </xf>
    <xf numFmtId="0" fontId="22" fillId="0" borderId="75" xfId="372" applyBorder="1"/>
    <xf numFmtId="0" fontId="22" fillId="0" borderId="74" xfId="372" applyBorder="1"/>
    <xf numFmtId="0" fontId="22" fillId="0" borderId="73" xfId="372" applyBorder="1"/>
    <xf numFmtId="0" fontId="22" fillId="0" borderId="51" xfId="372" applyBorder="1"/>
    <xf numFmtId="0" fontId="22" fillId="0" borderId="70" xfId="372" applyBorder="1"/>
    <xf numFmtId="0" fontId="22" fillId="0" borderId="71" xfId="372" applyBorder="1"/>
    <xf numFmtId="0" fontId="22" fillId="0" borderId="46" xfId="372" applyBorder="1"/>
    <xf numFmtId="0" fontId="22" fillId="2" borderId="74" xfId="372" applyFill="1" applyBorder="1"/>
    <xf numFmtId="0" fontId="22" fillId="2" borderId="51" xfId="372" applyFill="1" applyBorder="1"/>
    <xf numFmtId="0" fontId="22" fillId="2" borderId="71" xfId="372" applyFill="1" applyBorder="1"/>
    <xf numFmtId="0" fontId="28" fillId="0" borderId="0" xfId="538" applyProtection="1"/>
    <xf numFmtId="0" fontId="0" fillId="5" borderId="1" xfId="0" applyFill="1" applyBorder="1"/>
    <xf numFmtId="0" fontId="22" fillId="0" borderId="0" xfId="372" applyBorder="1"/>
    <xf numFmtId="166" fontId="0" fillId="5" borderId="5" xfId="0" applyNumberFormat="1" applyFill="1" applyBorder="1" applyAlignment="1">
      <alignment horizontal="left"/>
    </xf>
    <xf numFmtId="177" fontId="0" fillId="0" borderId="0" xfId="0" applyNumberFormat="1"/>
    <xf numFmtId="0" fontId="0" fillId="0" borderId="0" xfId="0" applyNumberFormat="1"/>
    <xf numFmtId="2" fontId="22" fillId="0" borderId="0" xfId="372" applyNumberFormat="1" applyBorder="1" applyProtection="1"/>
    <xf numFmtId="0" fontId="37" fillId="0" borderId="0" xfId="372" applyFont="1" applyBorder="1" applyAlignment="1" applyProtection="1">
      <alignment horizontal="center" wrapText="1"/>
    </xf>
    <xf numFmtId="2" fontId="22" fillId="0" borderId="10" xfId="372" applyNumberFormat="1" applyFill="1" applyBorder="1" applyAlignment="1" applyProtection="1">
      <alignment horizontal="left"/>
      <protection locked="0"/>
    </xf>
    <xf numFmtId="2" fontId="22" fillId="2" borderId="0" xfId="372" applyNumberFormat="1" applyFill="1" applyBorder="1" applyAlignment="1" applyProtection="1">
      <alignment horizontal="left"/>
      <protection locked="0"/>
    </xf>
    <xf numFmtId="0" fontId="22" fillId="0" borderId="88" xfId="372" applyBorder="1" applyProtection="1"/>
    <xf numFmtId="0" fontId="22" fillId="0" borderId="49" xfId="372" applyBorder="1" applyProtection="1"/>
    <xf numFmtId="0" fontId="22" fillId="0" borderId="1" xfId="372" applyBorder="1" applyProtection="1"/>
    <xf numFmtId="0" fontId="22" fillId="0" borderId="4" xfId="372" applyBorder="1" applyAlignment="1" applyProtection="1"/>
    <xf numFmtId="0" fontId="22" fillId="0" borderId="5" xfId="372" applyBorder="1" applyAlignment="1" applyProtection="1"/>
    <xf numFmtId="0" fontId="22" fillId="0" borderId="1" xfId="372" applyFill="1" applyBorder="1" applyProtection="1"/>
    <xf numFmtId="0" fontId="22" fillId="0" borderId="89" xfId="372" applyBorder="1"/>
    <xf numFmtId="0" fontId="22" fillId="29" borderId="0" xfId="372" applyFill="1"/>
    <xf numFmtId="0" fontId="22" fillId="19" borderId="82" xfId="372" applyFill="1" applyBorder="1" applyProtection="1"/>
    <xf numFmtId="0" fontId="22" fillId="19" borderId="83" xfId="372" applyFill="1" applyBorder="1" applyProtection="1"/>
    <xf numFmtId="0" fontId="22" fillId="29" borderId="82" xfId="372" applyFill="1" applyBorder="1" applyProtection="1"/>
    <xf numFmtId="0" fontId="22" fillId="29" borderId="83" xfId="372" applyFill="1" applyBorder="1" applyProtection="1"/>
    <xf numFmtId="0" fontId="61" fillId="0" borderId="85" xfId="372" applyFont="1" applyFill="1" applyBorder="1" applyProtection="1"/>
    <xf numFmtId="0" fontId="65" fillId="23" borderId="84" xfId="372" applyFont="1" applyFill="1" applyBorder="1" applyProtection="1"/>
    <xf numFmtId="0" fontId="61" fillId="0" borderId="86" xfId="372" applyFont="1" applyFill="1" applyBorder="1" applyProtection="1"/>
    <xf numFmtId="0" fontId="22" fillId="0" borderId="90" xfId="372" applyBorder="1" applyProtection="1"/>
    <xf numFmtId="0" fontId="62" fillId="0" borderId="0" xfId="372" applyFont="1" applyAlignment="1" applyProtection="1">
      <alignment horizontal="right"/>
    </xf>
    <xf numFmtId="0" fontId="0" fillId="2" borderId="0" xfId="0" applyFill="1" applyBorder="1" applyAlignment="1">
      <alignment horizontal="left"/>
    </xf>
    <xf numFmtId="0" fontId="0" fillId="2" borderId="0" xfId="0" applyFill="1"/>
    <xf numFmtId="0" fontId="0" fillId="2" borderId="0" xfId="0" applyFill="1" applyBorder="1" applyAlignment="1">
      <alignment horizontal="center" vertical="center"/>
    </xf>
    <xf numFmtId="166" fontId="0" fillId="2" borderId="0" xfId="0" applyNumberFormat="1" applyFill="1" applyBorder="1" applyAlignment="1" applyProtection="1">
      <alignment horizontal="center"/>
      <protection locked="0"/>
    </xf>
    <xf numFmtId="166" fontId="0" fillId="2" borderId="0" xfId="0" applyNumberFormat="1" applyFill="1" applyBorder="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2" fontId="0" fillId="5" borderId="14" xfId="0" applyNumberFormat="1" applyFill="1" applyBorder="1" applyAlignment="1">
      <alignment horizontal="right"/>
    </xf>
    <xf numFmtId="49" fontId="0" fillId="2" borderId="0" xfId="0" applyNumberFormat="1" applyFill="1" applyAlignment="1">
      <alignment horizontal="left" wrapText="1"/>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horizontal="center"/>
    </xf>
    <xf numFmtId="0" fontId="18" fillId="0" borderId="0" xfId="0" applyFont="1" applyAlignment="1">
      <alignment wrapText="1"/>
    </xf>
    <xf numFmtId="2" fontId="18" fillId="0" borderId="0" xfId="0" applyNumberFormat="1" applyFont="1"/>
    <xf numFmtId="0" fontId="0" fillId="0" borderId="0" xfId="0" applyAlignment="1"/>
    <xf numFmtId="0" fontId="82" fillId="0" borderId="0" xfId="372" applyFont="1" applyProtection="1"/>
    <xf numFmtId="0" fontId="18" fillId="2" borderId="0" xfId="0" applyFont="1" applyFill="1"/>
    <xf numFmtId="0" fontId="18" fillId="2" borderId="0" xfId="0" applyFont="1" applyFill="1" applyBorder="1"/>
    <xf numFmtId="0" fontId="22" fillId="0" borderId="0" xfId="372" applyAlignment="1" applyProtection="1">
      <alignment horizontal="left"/>
    </xf>
    <xf numFmtId="0" fontId="22" fillId="0" borderId="91" xfId="372" applyBorder="1"/>
    <xf numFmtId="0" fontId="22" fillId="0" borderId="27" xfId="372" applyBorder="1"/>
    <xf numFmtId="2" fontId="0" fillId="5" borderId="65" xfId="0" applyNumberFormat="1" applyFill="1" applyBorder="1" applyAlignment="1">
      <alignment horizontal="righ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95" xfId="0" applyNumberFormat="1" applyFont="1" applyFill="1" applyBorder="1" applyAlignment="1" applyProtection="1">
      <alignment horizontal="right" wrapText="1"/>
      <protection locked="0"/>
    </xf>
    <xf numFmtId="0" fontId="0" fillId="0" borderId="0" xfId="0" applyFill="1"/>
    <xf numFmtId="0" fontId="0" fillId="0" borderId="0" xfId="0" applyFill="1" applyBorder="1"/>
    <xf numFmtId="2" fontId="22" fillId="0" borderId="0" xfId="372" applyNumberFormat="1" applyFill="1" applyBorder="1" applyAlignment="1" applyProtection="1">
      <alignment horizontal="left"/>
      <protection locked="0"/>
    </xf>
    <xf numFmtId="0" fontId="0" fillId="5" borderId="0" xfId="0" applyFill="1" applyBorder="1" applyAlignment="1"/>
    <xf numFmtId="0" fontId="43" fillId="0" borderId="0" xfId="372" applyFont="1" applyBorder="1" applyAlignment="1" applyProtection="1">
      <alignment horizontal="left"/>
    </xf>
    <xf numFmtId="0" fontId="22" fillId="0" borderId="94" xfId="372" applyBorder="1" applyAlignment="1" applyProtection="1">
      <alignment horizontal="centerContinuous"/>
    </xf>
    <xf numFmtId="0" fontId="52" fillId="0" borderId="60" xfId="372" applyNumberFormat="1" applyFont="1" applyBorder="1" applyAlignment="1" applyProtection="1">
      <alignment horizontal="centerContinuous"/>
    </xf>
    <xf numFmtId="0" fontId="52" fillId="0" borderId="61" xfId="372" applyNumberFormat="1" applyFont="1" applyBorder="1" applyAlignment="1" applyProtection="1">
      <alignment horizontal="centerContinuous"/>
    </xf>
    <xf numFmtId="0" fontId="22" fillId="0" borderId="13" xfId="372" applyFill="1" applyBorder="1" applyAlignment="1" applyProtection="1">
      <alignment horizontal="center"/>
    </xf>
    <xf numFmtId="0" fontId="22" fillId="0" borderId="0" xfId="372" applyFill="1" applyBorder="1" applyAlignment="1" applyProtection="1">
      <alignment horizontal="left"/>
    </xf>
    <xf numFmtId="2" fontId="22" fillId="0" borderId="0" xfId="372" applyNumberFormat="1" applyFill="1" applyBorder="1" applyProtection="1"/>
    <xf numFmtId="2" fontId="7" fillId="0" borderId="0" xfId="0" applyNumberFormat="1" applyFont="1" applyFill="1"/>
    <xf numFmtId="0" fontId="0" fillId="0" borderId="0" xfId="0" applyNumberFormat="1" applyFill="1"/>
    <xf numFmtId="0" fontId="18" fillId="0" borderId="0" xfId="0" applyFont="1" applyFill="1"/>
    <xf numFmtId="0" fontId="22" fillId="10" borderId="75" xfId="372" applyFill="1" applyBorder="1" applyAlignment="1" applyProtection="1">
      <protection locked="0"/>
    </xf>
    <xf numFmtId="0" fontId="22" fillId="10" borderId="76" xfId="372" applyFill="1" applyBorder="1" applyAlignment="1" applyProtection="1">
      <protection locked="0"/>
    </xf>
    <xf numFmtId="0" fontId="22" fillId="10" borderId="74" xfId="372" applyFill="1" applyBorder="1" applyAlignment="1" applyProtection="1">
      <protection locked="0"/>
    </xf>
    <xf numFmtId="2" fontId="68" fillId="2" borderId="0" xfId="372" applyNumberFormat="1" applyFont="1" applyFill="1" applyBorder="1" applyProtection="1"/>
    <xf numFmtId="0" fontId="82" fillId="2" borderId="0" xfId="372" applyFont="1" applyFill="1" applyProtection="1"/>
    <xf numFmtId="2" fontId="82" fillId="2" borderId="0" xfId="372" applyNumberFormat="1" applyFont="1" applyFill="1" applyBorder="1" applyAlignment="1" applyProtection="1">
      <alignment horizontal="left"/>
      <protection locked="0"/>
    </xf>
    <xf numFmtId="0" fontId="0" fillId="4" borderId="0" xfId="0" applyFill="1"/>
    <xf numFmtId="0" fontId="0" fillId="4" borderId="0" xfId="0" applyFill="1" applyAlignment="1"/>
    <xf numFmtId="2" fontId="0" fillId="4" borderId="0" xfId="0" applyNumberFormat="1" applyFill="1"/>
    <xf numFmtId="0" fontId="0" fillId="4" borderId="0" xfId="0" applyNumberFormat="1" applyFill="1"/>
    <xf numFmtId="0" fontId="82" fillId="0" borderId="0" xfId="372" applyFont="1" applyBorder="1" applyProtection="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8" fillId="2" borderId="0" xfId="372" applyFont="1" applyFill="1" applyBorder="1" applyAlignment="1" applyProtection="1"/>
    <xf numFmtId="2" fontId="22" fillId="2" borderId="1" xfId="372" applyNumberFormat="1" applyFont="1" applyFill="1" applyBorder="1" applyAlignment="1" applyProtection="1">
      <alignment horizontal="right"/>
    </xf>
    <xf numFmtId="0" fontId="22" fillId="0" borderId="1" xfId="372" applyFont="1" applyBorder="1" applyAlignment="1" applyProtection="1">
      <alignment horizontal="right"/>
    </xf>
    <xf numFmtId="0" fontId="43" fillId="0" borderId="0" xfId="372" applyFont="1" applyFill="1" applyBorder="1" applyAlignment="1" applyProtection="1"/>
    <xf numFmtId="0" fontId="68" fillId="0" borderId="0" xfId="372" applyFont="1" applyFill="1" applyBorder="1" applyAlignment="1" applyProtection="1"/>
    <xf numFmtId="2" fontId="22" fillId="0" borderId="1" xfId="372" applyNumberFormat="1" applyFont="1" applyBorder="1" applyAlignment="1" applyProtection="1">
      <alignment horizontal="right"/>
    </xf>
    <xf numFmtId="0" fontId="68" fillId="31" borderId="15" xfId="372" applyFont="1" applyFill="1" applyBorder="1" applyAlignment="1" applyProtection="1"/>
    <xf numFmtId="0" fontId="55" fillId="0" borderId="0" xfId="372" applyFont="1" applyFill="1" applyBorder="1" applyAlignment="1" applyProtection="1">
      <alignment wrapText="1"/>
    </xf>
    <xf numFmtId="0" fontId="68" fillId="2" borderId="60" xfId="372" applyFont="1" applyFill="1" applyBorder="1" applyAlignment="1" applyProtection="1"/>
    <xf numFmtId="0" fontId="86" fillId="2" borderId="0" xfId="0" applyFont="1" applyFill="1" applyBorder="1"/>
    <xf numFmtId="0" fontId="74" fillId="2" borderId="0" xfId="0" applyFont="1" applyFill="1" applyBorder="1" applyAlignment="1">
      <alignment horizontal="center" vertical="center"/>
    </xf>
    <xf numFmtId="166" fontId="74" fillId="2" borderId="0" xfId="0" applyNumberFormat="1" applyFont="1" applyFill="1" applyBorder="1" applyAlignment="1" applyProtection="1">
      <alignment horizontal="center"/>
      <protection locked="0"/>
    </xf>
    <xf numFmtId="166" fontId="74" fillId="2" borderId="0" xfId="0" applyNumberFormat="1" applyFont="1" applyFill="1" applyBorder="1" applyAlignment="1">
      <alignment horizontal="center"/>
    </xf>
    <xf numFmtId="0" fontId="74" fillId="2" borderId="0" xfId="0" applyFont="1" applyFill="1" applyBorder="1" applyAlignment="1">
      <alignment horizontal="left"/>
    </xf>
    <xf numFmtId="0" fontId="74" fillId="2" borderId="0" xfId="0" applyFont="1" applyFill="1" applyBorder="1"/>
    <xf numFmtId="0" fontId="79" fillId="35" borderId="22" xfId="0" applyFont="1" applyFill="1" applyBorder="1" applyAlignment="1">
      <alignment horizontal="right"/>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90" fillId="32" borderId="27" xfId="0" applyFont="1" applyFill="1" applyBorder="1" applyAlignment="1">
      <alignment horizontal="center"/>
    </xf>
    <xf numFmtId="166" fontId="0" fillId="5" borderId="27" xfId="0" applyNumberFormat="1" applyFill="1" applyBorder="1" applyAlignment="1">
      <alignment horizontal="left"/>
    </xf>
    <xf numFmtId="0" fontId="90" fillId="32" borderId="63" xfId="0" applyFont="1" applyFill="1" applyBorder="1" applyAlignment="1">
      <alignment horizontal="center"/>
    </xf>
    <xf numFmtId="0" fontId="0" fillId="5" borderId="9" xfId="0" applyFill="1" applyBorder="1"/>
    <xf numFmtId="0" fontId="0" fillId="5" borderId="9" xfId="0" applyFill="1" applyBorder="1" applyAlignment="1">
      <alignment horizontal="center"/>
    </xf>
    <xf numFmtId="0" fontId="0" fillId="4" borderId="9" xfId="0" applyFill="1" applyBorder="1" applyAlignment="1">
      <alignment horizontal="center"/>
    </xf>
    <xf numFmtId="0" fontId="0" fillId="5" borderId="9" xfId="0" applyFill="1" applyBorder="1" applyAlignment="1">
      <alignment horizontal="center" vertical="center"/>
    </xf>
    <xf numFmtId="0" fontId="0" fillId="5" borderId="15" xfId="0" applyFill="1" applyBorder="1" applyAlignment="1">
      <alignment horizontal="center" vertical="center"/>
    </xf>
    <xf numFmtId="166" fontId="0" fillId="3" borderId="16" xfId="0" applyNumberFormat="1" applyFill="1" applyBorder="1" applyAlignment="1" applyProtection="1">
      <alignment horizontal="center"/>
      <protection locked="0"/>
    </xf>
    <xf numFmtId="166" fontId="0" fillId="5" borderId="16" xfId="0" applyNumberFormat="1" applyFill="1" applyBorder="1" applyAlignment="1">
      <alignment horizontal="center"/>
    </xf>
    <xf numFmtId="2" fontId="0" fillId="5" borderId="14" xfId="0" applyNumberFormat="1" applyFill="1" applyBorder="1"/>
    <xf numFmtId="2" fontId="88" fillId="32" borderId="98" xfId="0" applyNumberFormat="1" applyFont="1" applyFill="1" applyBorder="1"/>
    <xf numFmtId="2" fontId="79" fillId="32" borderId="25" xfId="0" applyNumberFormat="1" applyFont="1" applyFill="1" applyBorder="1"/>
    <xf numFmtId="2" fontId="7" fillId="4" borderId="22" xfId="0" applyNumberFormat="1" applyFont="1" applyFill="1" applyBorder="1"/>
    <xf numFmtId="0" fontId="0" fillId="5" borderId="1" xfId="0" applyNumberFormat="1" applyFill="1" applyBorder="1" applyAlignment="1">
      <alignment horizontal="center"/>
    </xf>
    <xf numFmtId="2" fontId="79" fillId="37" borderId="1" xfId="0" applyNumberFormat="1" applyFont="1" applyFill="1" applyBorder="1" applyAlignment="1">
      <alignment horizontal="center" wrapText="1"/>
    </xf>
    <xf numFmtId="2" fontId="79" fillId="37" borderId="1" xfId="0" applyNumberFormat="1" applyFont="1" applyFill="1" applyBorder="1" applyAlignment="1">
      <alignment horizontal="center"/>
    </xf>
    <xf numFmtId="2" fontId="79" fillId="37" borderId="14" xfId="0" applyNumberFormat="1" applyFont="1" applyFill="1" applyBorder="1" applyAlignment="1">
      <alignment horizontal="center"/>
    </xf>
    <xf numFmtId="2" fontId="0" fillId="4" borderId="1" xfId="0" applyNumberFormat="1" applyFill="1" applyBorder="1" applyAlignment="1">
      <alignment horizontal="center"/>
    </xf>
    <xf numFmtId="0" fontId="0" fillId="4" borderId="1" xfId="0" applyNumberFormat="1" applyFill="1" applyBorder="1" applyAlignment="1" applyProtection="1">
      <alignment horizontal="left"/>
      <protection locked="0"/>
    </xf>
    <xf numFmtId="0" fontId="0" fillId="4" borderId="14" xfId="0" applyNumberFormat="1" applyFill="1" applyBorder="1" applyAlignment="1" applyProtection="1">
      <alignment horizontal="left"/>
      <protection locked="0"/>
    </xf>
    <xf numFmtId="0" fontId="61" fillId="0" borderId="0" xfId="372" applyFont="1" applyAlignment="1" applyProtection="1">
      <alignment wrapText="1"/>
    </xf>
    <xf numFmtId="0" fontId="22" fillId="0" borderId="0" xfId="372" applyAlignment="1" applyProtection="1">
      <alignment wrapText="1"/>
    </xf>
    <xf numFmtId="0" fontId="22" fillId="5" borderId="5" xfId="372" applyFill="1" applyBorder="1" applyAlignment="1" applyProtection="1">
      <alignment wrapText="1"/>
    </xf>
    <xf numFmtId="49" fontId="0" fillId="4" borderId="1" xfId="0" applyNumberFormat="1" applyFill="1" applyBorder="1" applyAlignment="1" applyProtection="1">
      <alignment horizontal="left"/>
      <protection locked="0"/>
    </xf>
    <xf numFmtId="49" fontId="0" fillId="4" borderId="14" xfId="0" applyNumberFormat="1" applyFill="1" applyBorder="1" applyAlignment="1" applyProtection="1">
      <alignment horizontal="left"/>
      <protection locked="0"/>
    </xf>
    <xf numFmtId="0" fontId="17" fillId="38" borderId="33" xfId="0" applyFont="1" applyFill="1" applyBorder="1"/>
    <xf numFmtId="0" fontId="17" fillId="38" borderId="0" xfId="0" applyFont="1" applyFill="1" applyBorder="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8" borderId="36" xfId="0" applyFont="1" applyFill="1" applyBorder="1" applyAlignment="1">
      <alignment horizontal="center" wrapText="1"/>
    </xf>
    <xf numFmtId="0" fontId="17" fillId="38" borderId="60" xfId="0" applyFont="1" applyFill="1" applyBorder="1" applyAlignment="1">
      <alignment horizontal="center" wrapText="1"/>
    </xf>
    <xf numFmtId="0" fontId="17" fillId="38" borderId="66"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5" borderId="10" xfId="0" applyFill="1" applyBorder="1" applyAlignment="1">
      <alignment horizontal="left"/>
    </xf>
    <xf numFmtId="0" fontId="18" fillId="0" borderId="0" xfId="0" applyFont="1" applyAlignment="1">
      <alignment horizontal="center"/>
    </xf>
    <xf numFmtId="0" fontId="43" fillId="0" borderId="0" xfId="372" applyFont="1" applyBorder="1" applyAlignment="1" applyProtection="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NumberFormat="1" applyFont="1" applyFill="1" applyBorder="1" applyAlignment="1">
      <alignment horizontal="centerContinuous"/>
    </xf>
    <xf numFmtId="0" fontId="56" fillId="2" borderId="24" xfId="372" applyNumberFormat="1" applyFont="1" applyFill="1" applyBorder="1" applyAlignment="1">
      <alignment horizontal="centerContinuous" vertical="top"/>
    </xf>
    <xf numFmtId="0" fontId="23" fillId="2" borderId="24" xfId="372" applyFont="1" applyFill="1" applyBorder="1" applyAlignment="1">
      <alignment horizontal="centerContinuous"/>
    </xf>
    <xf numFmtId="0" fontId="56" fillId="2" borderId="25" xfId="372" applyNumberFormat="1"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22" fillId="4" borderId="2" xfId="372" applyFont="1" applyFill="1" applyBorder="1" applyAlignment="1">
      <alignment horizontal="center"/>
    </xf>
    <xf numFmtId="0" fontId="22" fillId="4" borderId="10" xfId="372" applyFont="1" applyFill="1" applyBorder="1" applyAlignment="1">
      <alignment horizontal="center"/>
    </xf>
    <xf numFmtId="0" fontId="22" fillId="2" borderId="7" xfId="372" applyFont="1" applyFill="1" applyBorder="1" applyAlignment="1">
      <alignment horizontal="center"/>
    </xf>
    <xf numFmtId="0" fontId="22" fillId="2" borderId="56" xfId="372" applyFont="1" applyFill="1" applyBorder="1" applyAlignment="1">
      <alignment horizontal="center"/>
    </xf>
    <xf numFmtId="0" fontId="50" fillId="2" borderId="56" xfId="372" applyFont="1" applyFill="1" applyBorder="1" applyAlignment="1">
      <alignment horizontal="center"/>
    </xf>
    <xf numFmtId="0" fontId="50" fillId="4" borderId="56" xfId="372" applyFont="1" applyFill="1" applyBorder="1" applyAlignment="1">
      <alignment horizontal="center"/>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0" fontId="0" fillId="5" borderId="87" xfId="0" applyFill="1" applyBorder="1" applyAlignment="1">
      <alignment wrapText="1"/>
    </xf>
    <xf numFmtId="0" fontId="22" fillId="4" borderId="16" xfId="372" applyFill="1" applyBorder="1" applyAlignment="1" applyProtection="1">
      <alignment horizontal="left"/>
    </xf>
    <xf numFmtId="0" fontId="68" fillId="31" borderId="42" xfId="372" applyFont="1" applyFill="1" applyBorder="1" applyAlignment="1" applyProtection="1"/>
    <xf numFmtId="0" fontId="68" fillId="31" borderId="43" xfId="372" applyFont="1" applyFill="1" applyBorder="1" applyAlignment="1" applyProtection="1"/>
    <xf numFmtId="0" fontId="68" fillId="31" borderId="32" xfId="372" applyFont="1" applyFill="1" applyBorder="1" applyAlignment="1" applyProtection="1"/>
    <xf numFmtId="0" fontId="16" fillId="5" borderId="3" xfId="0" applyFont="1" applyFill="1" applyBorder="1" applyAlignment="1"/>
    <xf numFmtId="2" fontId="65" fillId="38" borderId="1" xfId="372" applyNumberFormat="1" applyFont="1" applyFill="1" applyBorder="1" applyAlignment="1" applyProtection="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49" fontId="61" fillId="4" borderId="14"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pplyProtection="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pplyProtection="1">
      <alignment horizontal="center" vertical="center" wrapText="1"/>
    </xf>
    <xf numFmtId="0" fontId="37" fillId="0" borderId="1" xfId="372" applyFont="1" applyBorder="1" applyAlignment="1" applyProtection="1">
      <alignment horizontal="center" vertical="center" wrapText="1"/>
    </xf>
    <xf numFmtId="0" fontId="37" fillId="0" borderId="12" xfId="372" applyFont="1" applyBorder="1" applyAlignment="1" applyProtection="1">
      <alignment horizontal="center" vertical="center" wrapText="1"/>
    </xf>
    <xf numFmtId="0" fontId="37" fillId="0" borderId="9" xfId="372" applyFont="1" applyBorder="1" applyAlignment="1" applyProtection="1">
      <alignment horizontal="center" vertical="center" wrapText="1"/>
    </xf>
    <xf numFmtId="0" fontId="93" fillId="0" borderId="36" xfId="372" applyFont="1" applyBorder="1" applyAlignment="1" applyProtection="1">
      <alignment horizontal="centerContinuous"/>
    </xf>
    <xf numFmtId="0" fontId="83" fillId="4" borderId="59" xfId="372" applyFont="1" applyFill="1" applyBorder="1" applyAlignment="1" applyProtection="1">
      <alignment horizontal="center" vertical="center"/>
    </xf>
    <xf numFmtId="4" fontId="16" fillId="4" borderId="1" xfId="0" applyNumberFormat="1" applyFont="1" applyFill="1" applyBorder="1" applyAlignment="1">
      <alignment horizontal="center"/>
    </xf>
    <xf numFmtId="0" fontId="92" fillId="32" borderId="4" xfId="0" applyFont="1" applyFill="1" applyBorder="1" applyAlignment="1">
      <alignment horizontal="left"/>
    </xf>
    <xf numFmtId="0" fontId="92" fillId="32" borderId="5" xfId="0" applyFont="1" applyFill="1" applyBorder="1" applyAlignment="1">
      <alignment horizontal="left"/>
    </xf>
    <xf numFmtId="0" fontId="92" fillId="32" borderId="40" xfId="0" applyFont="1" applyFill="1" applyBorder="1" applyAlignment="1">
      <alignment horizontal="left"/>
    </xf>
    <xf numFmtId="0" fontId="65" fillId="0" borderId="0" xfId="372" applyFont="1" applyBorder="1"/>
    <xf numFmtId="0" fontId="68" fillId="0" borderId="0" xfId="372" applyFont="1" applyBorder="1" applyAlignment="1" applyProtection="1">
      <alignment horizontal="center"/>
    </xf>
    <xf numFmtId="0" fontId="17" fillId="0" borderId="0" xfId="0" applyFont="1" applyAlignment="1"/>
    <xf numFmtId="0" fontId="80" fillId="0" borderId="0" xfId="372" applyFont="1" applyBorder="1" applyAlignment="1" applyProtection="1">
      <alignment horizontal="center"/>
    </xf>
    <xf numFmtId="0" fontId="0" fillId="0" borderId="0" xfId="0" applyFont="1"/>
    <xf numFmtId="0" fontId="80" fillId="0" borderId="0" xfId="372" applyFont="1" applyBorder="1" applyAlignment="1" applyProtection="1">
      <alignment horizontal="left"/>
    </xf>
    <xf numFmtId="0" fontId="61" fillId="0" borderId="0" xfId="372" applyFont="1" applyBorder="1" applyProtection="1"/>
    <xf numFmtId="0" fontId="61" fillId="0" borderId="0" xfId="372" applyFont="1" applyBorder="1"/>
    <xf numFmtId="2" fontId="22" fillId="4" borderId="42" xfId="372" applyNumberFormat="1" applyFill="1" applyBorder="1" applyAlignment="1" applyProtection="1">
      <alignment horizontal="right"/>
    </xf>
    <xf numFmtId="2" fontId="7" fillId="0" borderId="0" xfId="0" applyNumberFormat="1" applyFont="1" applyProtection="1"/>
    <xf numFmtId="0" fontId="0" fillId="0" borderId="0" xfId="0" applyProtection="1"/>
    <xf numFmtId="0" fontId="0" fillId="0" borderId="0" xfId="0" applyNumberFormat="1" applyProtection="1"/>
    <xf numFmtId="2" fontId="0" fillId="0" borderId="0" xfId="0" applyNumberFormat="1" applyProtection="1"/>
    <xf numFmtId="0" fontId="18" fillId="0" borderId="0" xfId="0" applyFont="1" applyProtection="1"/>
    <xf numFmtId="2" fontId="0" fillId="4" borderId="0" xfId="0" applyNumberFormat="1" applyFill="1" applyProtection="1"/>
    <xf numFmtId="2" fontId="0" fillId="4" borderId="65" xfId="0" applyNumberFormat="1" applyFill="1" applyBorder="1"/>
    <xf numFmtId="0" fontId="62" fillId="0" borderId="0" xfId="505" applyFont="1" applyAlignment="1">
      <alignment horizontal="left" wrapText="1"/>
    </xf>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37" fillId="0" borderId="12" xfId="372" applyFont="1" applyBorder="1" applyAlignment="1" applyProtection="1">
      <alignment horizontal="center" vertical="center" wrapText="1"/>
    </xf>
    <xf numFmtId="0" fontId="0" fillId="0" borderId="0" xfId="0" applyAlignment="1">
      <alignment wrapText="1"/>
    </xf>
    <xf numFmtId="2" fontId="0" fillId="2" borderId="14" xfId="0" applyNumberFormat="1" applyFill="1" applyBorder="1"/>
    <xf numFmtId="4" fontId="0" fillId="5" borderId="18" xfId="0" applyNumberFormat="1" applyFill="1" applyBorder="1" applyAlignment="1">
      <alignment horizontal="right"/>
    </xf>
    <xf numFmtId="0" fontId="0" fillId="0" borderId="0" xfId="0" applyBorder="1"/>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2" borderId="0" xfId="0" applyNumberFormat="1" applyFill="1" applyBorder="1" applyAlignment="1">
      <alignment horizontal="left" wrapText="1"/>
    </xf>
    <xf numFmtId="4" fontId="0" fillId="2" borderId="0" xfId="0" applyNumberFormat="1" applyFill="1" applyBorder="1" applyAlignment="1">
      <alignment horizontal="right"/>
    </xf>
    <xf numFmtId="49" fontId="0" fillId="9" borderId="0" xfId="0" applyNumberFormat="1" applyFill="1" applyBorder="1" applyAlignment="1">
      <alignment wrapText="1"/>
    </xf>
    <xf numFmtId="49" fontId="0" fillId="9" borderId="87" xfId="0" applyNumberFormat="1" applyFill="1" applyBorder="1" applyAlignment="1">
      <alignment wrapText="1"/>
    </xf>
    <xf numFmtId="49" fontId="0" fillId="9" borderId="77" xfId="0" applyNumberFormat="1" applyFill="1" applyBorder="1" applyAlignment="1">
      <alignment wrapText="1"/>
    </xf>
    <xf numFmtId="0" fontId="0" fillId="5" borderId="9" xfId="0" applyFont="1" applyFill="1" applyBorder="1" applyAlignment="1">
      <alignment horizontal="center" vertical="center" wrapText="1"/>
    </xf>
    <xf numFmtId="0" fontId="0" fillId="5" borderId="14" xfId="0" applyFont="1" applyFill="1" applyBorder="1" applyAlignment="1">
      <alignment horizontal="center" wrapText="1"/>
    </xf>
    <xf numFmtId="166" fontId="0" fillId="3" borderId="9" xfId="0" applyNumberFormat="1" applyFont="1" applyFill="1" applyBorder="1" applyProtection="1">
      <protection locked="0"/>
    </xf>
    <xf numFmtId="166" fontId="0" fillId="5" borderId="14" xfId="0" applyNumberFormat="1" applyFont="1" applyFill="1" applyBorder="1"/>
    <xf numFmtId="166" fontId="0" fillId="5" borderId="65" xfId="0" applyNumberFormat="1" applyFont="1" applyFill="1" applyBorder="1"/>
    <xf numFmtId="0" fontId="97" fillId="0" borderId="0" xfId="372" applyFont="1" applyProtection="1"/>
    <xf numFmtId="0" fontId="18" fillId="0" borderId="0" xfId="0" applyFont="1" applyAlignment="1">
      <alignment horizontal="center"/>
    </xf>
    <xf numFmtId="0" fontId="98" fillId="0" borderId="0" xfId="0" applyFont="1"/>
    <xf numFmtId="2" fontId="98" fillId="2" borderId="0" xfId="0" applyNumberFormat="1" applyFont="1" applyFill="1" applyBorder="1" applyAlignment="1"/>
    <xf numFmtId="0" fontId="98" fillId="0" borderId="0" xfId="0" applyFont="1" applyAlignment="1">
      <alignment wrapText="1"/>
    </xf>
    <xf numFmtId="0" fontId="0" fillId="8" borderId="5" xfId="0" applyFill="1" applyBorder="1" applyAlignment="1"/>
    <xf numFmtId="0" fontId="0" fillId="8" borderId="6" xfId="0" applyFill="1" applyBorder="1" applyAlignment="1"/>
    <xf numFmtId="0" fontId="74" fillId="4" borderId="34" xfId="0" applyNumberFormat="1" applyFont="1" applyFill="1" applyBorder="1" applyAlignment="1">
      <alignment vertical="center" wrapText="1"/>
    </xf>
    <xf numFmtId="0" fontId="74" fillId="4" borderId="27" xfId="0" applyNumberFormat="1" applyFont="1" applyFill="1" applyBorder="1" applyAlignment="1">
      <alignment vertical="center" wrapText="1"/>
    </xf>
    <xf numFmtId="0" fontId="0" fillId="4" borderId="14" xfId="0" applyFill="1" applyBorder="1"/>
    <xf numFmtId="4" fontId="0" fillId="5" borderId="14" xfId="0" applyNumberFormat="1" applyFill="1" applyBorder="1" applyAlignment="1">
      <alignment horizontal="right"/>
    </xf>
    <xf numFmtId="0" fontId="74" fillId="4" borderId="77" xfId="0" applyNumberFormat="1" applyFont="1" applyFill="1" applyBorder="1" applyAlignment="1">
      <alignment vertical="center" wrapText="1"/>
    </xf>
    <xf numFmtId="0" fontId="99" fillId="0" borderId="0" xfId="0" applyFont="1" applyAlignment="1">
      <alignment vertical="center" wrapText="1"/>
    </xf>
    <xf numFmtId="0" fontId="87" fillId="35" borderId="23" xfId="0" applyFont="1" applyFill="1" applyBorder="1" applyAlignment="1">
      <alignment vertical="center"/>
    </xf>
    <xf numFmtId="0" fontId="87" fillId="35" borderId="24" xfId="0" applyFont="1" applyFill="1" applyBorder="1" applyAlignment="1">
      <alignment vertical="center"/>
    </xf>
    <xf numFmtId="0" fontId="87" fillId="35" borderId="28" xfId="0" applyFont="1" applyFill="1" applyBorder="1" applyAlignment="1">
      <alignment vertical="center"/>
    </xf>
    <xf numFmtId="0" fontId="7" fillId="4" borderId="52" xfId="0" applyFont="1" applyFill="1" applyBorder="1" applyAlignment="1">
      <alignment horizontal="center" vertical="center" wrapText="1"/>
    </xf>
    <xf numFmtId="4" fontId="88" fillId="32" borderId="25" xfId="0" applyNumberFormat="1" applyFont="1" applyFill="1" applyBorder="1" applyAlignment="1">
      <alignment vertical="center"/>
    </xf>
    <xf numFmtId="0" fontId="88" fillId="32" borderId="52" xfId="0" applyFont="1" applyFill="1" applyBorder="1" applyAlignment="1">
      <alignment vertical="center"/>
    </xf>
    <xf numFmtId="0" fontId="96" fillId="0" borderId="0" xfId="0" applyFont="1"/>
    <xf numFmtId="0" fontId="0" fillId="2" borderId="14" xfId="0" applyFont="1" applyFill="1" applyBorder="1" applyProtection="1">
      <protection locked="0"/>
    </xf>
    <xf numFmtId="0" fontId="0" fillId="2" borderId="14" xfId="0" applyFill="1" applyBorder="1" applyAlignment="1" applyProtection="1">
      <alignment horizontal="right"/>
      <protection locked="0"/>
    </xf>
    <xf numFmtId="0" fontId="81" fillId="2" borderId="13" xfId="0" applyFont="1" applyFill="1" applyBorder="1" applyAlignment="1" applyProtection="1">
      <alignment horizontal="left" vertical="center"/>
      <protection locked="0"/>
    </xf>
    <xf numFmtId="0" fontId="81" fillId="2" borderId="5" xfId="0" applyFont="1" applyFill="1" applyBorder="1" applyAlignment="1" applyProtection="1">
      <alignment horizontal="left" vertical="center"/>
      <protection locked="0"/>
    </xf>
    <xf numFmtId="0" fontId="81" fillId="2" borderId="6" xfId="0" applyFont="1" applyFill="1" applyBorder="1" applyAlignment="1" applyProtection="1">
      <alignment horizontal="left" vertical="center"/>
      <protection locked="0"/>
    </xf>
    <xf numFmtId="0" fontId="0" fillId="2" borderId="65" xfId="0" applyFill="1" applyBorder="1" applyAlignment="1" applyProtection="1">
      <alignment horizontal="right"/>
      <protection locked="0"/>
    </xf>
    <xf numFmtId="0" fontId="0" fillId="2" borderId="53" xfId="0" applyFont="1" applyFill="1" applyBorder="1" applyAlignment="1" applyProtection="1">
      <alignment horizontal="left" vertical="center"/>
      <protection locked="0"/>
    </xf>
    <xf numFmtId="0" fontId="0" fillId="2" borderId="10" xfId="0" applyFont="1" applyFill="1" applyBorder="1" applyAlignment="1" applyProtection="1">
      <alignment horizontal="left" vertical="center"/>
      <protection locked="0"/>
    </xf>
    <xf numFmtId="0" fontId="0" fillId="2" borderId="79" xfId="0" applyFont="1" applyFill="1" applyBorder="1" applyAlignment="1" applyProtection="1">
      <alignment horizontal="left" vertical="center"/>
      <protection locked="0"/>
    </xf>
    <xf numFmtId="0" fontId="0" fillId="2" borderId="29" xfId="0" applyFont="1" applyFill="1" applyBorder="1" applyAlignment="1" applyProtection="1">
      <alignment horizontal="left" vertical="center"/>
      <protection locked="0"/>
    </xf>
    <xf numFmtId="0" fontId="0" fillId="2" borderId="43" xfId="0" applyFont="1" applyFill="1" applyBorder="1" applyAlignment="1" applyProtection="1">
      <alignment horizontal="left" vertical="center"/>
      <protection locked="0"/>
    </xf>
    <xf numFmtId="0" fontId="0" fillId="2" borderId="44" xfId="0" applyFont="1" applyFill="1" applyBorder="1" applyAlignment="1" applyProtection="1">
      <alignment horizontal="left" vertical="center"/>
      <protection locked="0"/>
    </xf>
    <xf numFmtId="0" fontId="81"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Border="1" applyAlignment="1">
      <alignment horizontal="center" vertical="center"/>
    </xf>
    <xf numFmtId="166" fontId="17" fillId="2" borderId="0" xfId="0" applyNumberFormat="1" applyFont="1" applyFill="1" applyBorder="1" applyAlignment="1" applyProtection="1">
      <alignment horizontal="center"/>
      <protection locked="0"/>
    </xf>
    <xf numFmtId="0" fontId="0" fillId="5" borderId="1" xfId="0"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4" xfId="0" applyFill="1" applyBorder="1" applyAlignment="1" applyProtection="1">
      <alignment horizontal="left"/>
      <protection locked="0"/>
    </xf>
    <xf numFmtId="0" fontId="0" fillId="5" borderId="1" xfId="0" applyNumberFormat="1" applyFill="1" applyBorder="1" applyAlignment="1" applyProtection="1">
      <alignment horizontal="left"/>
      <protection locked="0"/>
    </xf>
    <xf numFmtId="0" fontId="0" fillId="5" borderId="14" xfId="0" applyNumberFormat="1" applyFill="1" applyBorder="1" applyAlignment="1" applyProtection="1">
      <alignment horizontal="left"/>
      <protection locked="0"/>
    </xf>
    <xf numFmtId="0" fontId="0" fillId="5" borderId="16" xfId="0" applyNumberFormat="1" applyFill="1" applyBorder="1" applyAlignment="1" applyProtection="1">
      <alignment horizontal="left"/>
      <protection locked="0"/>
    </xf>
    <xf numFmtId="0" fontId="0" fillId="5" borderId="17" xfId="0" applyNumberFormat="1" applyFill="1" applyBorder="1" applyAlignment="1" applyProtection="1">
      <alignment horizontal="left"/>
      <protection locked="0"/>
    </xf>
    <xf numFmtId="0" fontId="0" fillId="5" borderId="16" xfId="0" applyFill="1" applyBorder="1" applyAlignment="1" applyProtection="1">
      <alignment horizontal="left"/>
      <protection locked="0"/>
    </xf>
    <xf numFmtId="0" fontId="0" fillId="5" borderId="17" xfId="0" applyFill="1" applyBorder="1" applyAlignment="1" applyProtection="1">
      <alignment horizontal="left"/>
      <protection locked="0"/>
    </xf>
    <xf numFmtId="49" fontId="0" fillId="5" borderId="14" xfId="0" applyNumberFormat="1" applyFill="1" applyBorder="1" applyAlignment="1" applyProtection="1">
      <alignment horizontal="left"/>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8" borderId="69" xfId="0" applyFont="1" applyFill="1" applyBorder="1"/>
    <xf numFmtId="2" fontId="17" fillId="38" borderId="35" xfId="0" applyNumberFormat="1" applyFont="1" applyFill="1" applyBorder="1"/>
    <xf numFmtId="2" fontId="17" fillId="38" borderId="3" xfId="0" applyNumberFormat="1" applyFont="1" applyFill="1" applyBorder="1"/>
    <xf numFmtId="2" fontId="17" fillId="38" borderId="64" xfId="0" applyNumberFormat="1" applyFont="1" applyFill="1" applyBorder="1"/>
    <xf numFmtId="2" fontId="17" fillId="38" borderId="100" xfId="0" applyNumberFormat="1" applyFont="1" applyFill="1" applyBorder="1"/>
    <xf numFmtId="49" fontId="0" fillId="4" borderId="1" xfId="0" applyNumberFormat="1" applyFill="1" applyBorder="1" applyAlignment="1">
      <alignment horizontal="center"/>
    </xf>
    <xf numFmtId="0" fontId="0" fillId="4" borderId="1" xfId="0" applyNumberFormat="1" applyFill="1" applyBorder="1" applyAlignment="1">
      <alignment horizontal="center"/>
    </xf>
    <xf numFmtId="0" fontId="68" fillId="0" borderId="101" xfId="372" applyFont="1" applyFill="1" applyBorder="1" applyAlignment="1" applyProtection="1"/>
    <xf numFmtId="0" fontId="68" fillId="2" borderId="101" xfId="372" applyFont="1" applyFill="1" applyBorder="1" applyAlignment="1" applyProtection="1"/>
    <xf numFmtId="0" fontId="43" fillId="0" borderId="101" xfId="372" applyFont="1" applyBorder="1" applyAlignment="1" applyProtection="1">
      <alignment horizontal="left"/>
    </xf>
    <xf numFmtId="0" fontId="68" fillId="0" borderId="0" xfId="372" applyFont="1" applyBorder="1" applyAlignment="1" applyProtection="1">
      <alignment horizontal="left"/>
    </xf>
    <xf numFmtId="2" fontId="68" fillId="0" borderId="0" xfId="372" applyNumberFormat="1" applyFont="1" applyBorder="1" applyProtection="1"/>
    <xf numFmtId="0" fontId="65" fillId="0" borderId="0" xfId="372" applyFont="1" applyBorder="1" applyProtection="1"/>
    <xf numFmtId="0" fontId="65" fillId="0" borderId="0" xfId="372" applyFont="1" applyFill="1" applyProtection="1"/>
    <xf numFmtId="0" fontId="65" fillId="2" borderId="0" xfId="372" applyFont="1" applyFill="1" applyBorder="1" applyProtection="1"/>
    <xf numFmtId="0" fontId="68" fillId="0" borderId="87" xfId="372" applyFont="1" applyFill="1" applyBorder="1" applyAlignment="1" applyProtection="1"/>
    <xf numFmtId="0" fontId="68" fillId="2" borderId="87" xfId="372" applyFont="1" applyFill="1" applyBorder="1" applyAlignment="1" applyProtection="1"/>
    <xf numFmtId="0" fontId="43" fillId="0" borderId="87" xfId="372" applyFont="1" applyBorder="1" applyAlignment="1" applyProtection="1">
      <alignment horizontal="left"/>
    </xf>
    <xf numFmtId="0" fontId="65" fillId="0" borderId="0" xfId="372" applyFont="1" applyBorder="1" applyAlignment="1" applyProtection="1"/>
    <xf numFmtId="0" fontId="101" fillId="0" borderId="0" xfId="377" applyFont="1" applyBorder="1" applyProtection="1"/>
    <xf numFmtId="0" fontId="102" fillId="0" borderId="0" xfId="372" applyFont="1" applyBorder="1" applyProtection="1"/>
    <xf numFmtId="0" fontId="103" fillId="0" borderId="0" xfId="538" applyFont="1" applyBorder="1" applyProtection="1"/>
    <xf numFmtId="0" fontId="65" fillId="0" borderId="0" xfId="372" applyFont="1" applyFill="1" applyBorder="1" applyProtection="1"/>
    <xf numFmtId="0" fontId="65" fillId="0" borderId="0" xfId="372" applyFont="1" applyFill="1" applyBorder="1"/>
    <xf numFmtId="0" fontId="103" fillId="0" borderId="0" xfId="372" applyFont="1" applyFill="1" applyBorder="1" applyAlignment="1" applyProtection="1">
      <alignment horizontal="right"/>
    </xf>
    <xf numFmtId="0" fontId="17" fillId="0" borderId="0" xfId="0" applyFont="1" applyBorder="1"/>
    <xf numFmtId="0" fontId="65" fillId="0" borderId="0" xfId="0" applyFont="1" applyBorder="1"/>
    <xf numFmtId="0" fontId="65" fillId="2" borderId="0" xfId="372" applyFont="1" applyFill="1" applyBorder="1" applyAlignment="1" applyProtection="1"/>
    <xf numFmtId="0" fontId="101" fillId="2" borderId="0" xfId="377" applyFont="1" applyFill="1" applyBorder="1" applyProtection="1"/>
    <xf numFmtId="0" fontId="65" fillId="2" borderId="0" xfId="372" applyFont="1" applyFill="1" applyBorder="1"/>
    <xf numFmtId="0" fontId="102" fillId="2" borderId="0" xfId="372" applyFont="1" applyFill="1" applyBorder="1" applyProtection="1"/>
    <xf numFmtId="0" fontId="103" fillId="2" borderId="0" xfId="538" applyFont="1" applyFill="1" applyBorder="1" applyProtection="1"/>
    <xf numFmtId="0" fontId="103" fillId="2" borderId="0" xfId="372" applyFont="1" applyFill="1" applyBorder="1" applyAlignment="1" applyProtection="1">
      <alignment horizontal="right"/>
    </xf>
    <xf numFmtId="0" fontId="17" fillId="2" borderId="0" xfId="0" applyFont="1" applyFill="1" applyBorder="1"/>
    <xf numFmtId="0" fontId="65" fillId="2" borderId="0" xfId="0" applyFont="1" applyFill="1" applyBorder="1"/>
    <xf numFmtId="2" fontId="82" fillId="0" borderId="0" xfId="372" applyNumberFormat="1" applyFont="1" applyBorder="1" applyProtection="1"/>
    <xf numFmtId="2" fontId="68" fillId="2" borderId="60" xfId="372" applyNumberFormat="1" applyFont="1" applyFill="1" applyBorder="1" applyAlignment="1" applyProtection="1"/>
    <xf numFmtId="0" fontId="0" fillId="0" borderId="0" xfId="0" applyFont="1" applyFill="1"/>
    <xf numFmtId="0" fontId="62" fillId="0" borderId="0" xfId="505" applyFont="1" applyAlignment="1">
      <alignment horizontal="left"/>
    </xf>
    <xf numFmtId="0" fontId="98" fillId="0" borderId="0" xfId="0" applyFont="1" applyBorder="1" applyAlignment="1">
      <alignment wrapText="1"/>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6" fillId="0" borderId="0" xfId="505" applyFont="1"/>
    <xf numFmtId="0" fontId="106" fillId="0" borderId="0" xfId="505" applyFont="1" applyAlignment="1">
      <alignment horizontal="left" vertical="center" wrapText="1"/>
    </xf>
    <xf numFmtId="0" fontId="44" fillId="29" borderId="0" xfId="505" applyFont="1" applyFill="1" applyAlignment="1">
      <alignment horizontal="justify" vertical="justify"/>
    </xf>
    <xf numFmtId="0" fontId="77" fillId="16" borderId="0" xfId="0" applyFont="1" applyFill="1" applyAlignment="1">
      <alignment horizontal="left" wrapText="1"/>
    </xf>
    <xf numFmtId="0" fontId="108" fillId="0" borderId="0" xfId="505" applyFont="1" applyAlignment="1">
      <alignment horizontal="center"/>
    </xf>
    <xf numFmtId="0" fontId="109" fillId="0" borderId="0" xfId="505" applyFont="1" applyAlignment="1">
      <alignment horizontal="center"/>
    </xf>
    <xf numFmtId="0" fontId="0" fillId="0" borderId="0" xfId="0" applyBorder="1" applyAlignment="1"/>
    <xf numFmtId="0" fontId="17" fillId="2" borderId="3" xfId="0" applyFont="1" applyFill="1" applyBorder="1" applyAlignment="1">
      <alignment wrapText="1"/>
    </xf>
    <xf numFmtId="0" fontId="17" fillId="2" borderId="0" xfId="0" applyFont="1" applyFill="1" applyBorder="1" applyAlignment="1">
      <alignment wrapText="1"/>
    </xf>
    <xf numFmtId="0" fontId="0" fillId="3" borderId="1" xfId="0" applyFill="1" applyBorder="1" applyProtection="1">
      <protection locked="0"/>
    </xf>
    <xf numFmtId="0" fontId="0" fillId="2" borderId="0" xfId="0" applyFont="1" applyFill="1" applyBorder="1"/>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81" fillId="5" borderId="14" xfId="0" applyFont="1" applyFill="1" applyBorder="1" applyAlignment="1">
      <alignment vertical="center"/>
    </xf>
    <xf numFmtId="0" fontId="79" fillId="38" borderId="22" xfId="0" applyFont="1" applyFill="1" applyBorder="1" applyAlignment="1">
      <alignment horizontal="right"/>
    </xf>
    <xf numFmtId="2" fontId="91" fillId="38" borderId="25" xfId="0" applyNumberFormat="1" applyFont="1" applyFill="1" applyBorder="1" applyAlignment="1">
      <alignment vertical="center"/>
    </xf>
    <xf numFmtId="0" fontId="88" fillId="38" borderId="22" xfId="0" applyFont="1" applyFill="1" applyBorder="1" applyAlignment="1">
      <alignment horizontal="right"/>
    </xf>
    <xf numFmtId="0" fontId="0" fillId="4" borderId="1" xfId="0" applyFont="1" applyFill="1" applyBorder="1"/>
    <xf numFmtId="2" fontId="0" fillId="4" borderId="1" xfId="0" applyNumberFormat="1" applyFont="1" applyFill="1" applyBorder="1"/>
    <xf numFmtId="2" fontId="0" fillId="4" borderId="14" xfId="0" applyNumberFormat="1" applyFont="1" applyFill="1" applyBorder="1"/>
    <xf numFmtId="0" fontId="17" fillId="38" borderId="1" xfId="0" applyFont="1" applyFill="1" applyBorder="1"/>
    <xf numFmtId="2" fontId="17" fillId="38" borderId="1" xfId="0" applyNumberFormat="1" applyFont="1" applyFill="1" applyBorder="1"/>
    <xf numFmtId="2" fontId="17" fillId="38" borderId="14" xfId="0" applyNumberFormat="1" applyFont="1" applyFill="1" applyBorder="1"/>
    <xf numFmtId="2" fontId="110" fillId="32" borderId="0" xfId="0" applyNumberFormat="1" applyFont="1" applyFill="1"/>
    <xf numFmtId="0" fontId="110" fillId="32" borderId="34" xfId="0" applyFont="1" applyFill="1" applyBorder="1" applyAlignment="1">
      <alignment horizontal="center"/>
    </xf>
    <xf numFmtId="0" fontId="17" fillId="32" borderId="27" xfId="0" applyFont="1" applyFill="1" applyBorder="1" applyAlignment="1">
      <alignment horizontal="center" wrapText="1"/>
    </xf>
    <xf numFmtId="2" fontId="0" fillId="4" borderId="4" xfId="0" applyNumberFormat="1" applyFont="1" applyFill="1" applyBorder="1"/>
    <xf numFmtId="2" fontId="17" fillId="38" borderId="4" xfId="0" applyNumberFormat="1" applyFont="1" applyFill="1" applyBorder="1"/>
    <xf numFmtId="0" fontId="17" fillId="32" borderId="33" xfId="0" applyFont="1" applyFill="1" applyBorder="1" applyAlignment="1">
      <alignment horizontal="center" wrapText="1"/>
    </xf>
    <xf numFmtId="0" fontId="17" fillId="32" borderId="0" xfId="0" applyFont="1" applyFill="1" applyBorder="1" applyAlignment="1">
      <alignment horizontal="center" wrapText="1"/>
    </xf>
    <xf numFmtId="0" fontId="17" fillId="32" borderId="87" xfId="0" applyFont="1" applyFill="1" applyBorder="1" applyAlignment="1">
      <alignment horizontal="center" wrapText="1"/>
    </xf>
    <xf numFmtId="2" fontId="0" fillId="0" borderId="102" xfId="0" applyNumberFormat="1" applyBorder="1"/>
    <xf numFmtId="2" fontId="0" fillId="4" borderId="102" xfId="0" applyNumberFormat="1" applyFont="1" applyFill="1" applyBorder="1"/>
    <xf numFmtId="2" fontId="17" fillId="38" borderId="103" xfId="0" applyNumberFormat="1" applyFont="1" applyFill="1" applyBorder="1"/>
    <xf numFmtId="2" fontId="17" fillId="38" borderId="17" xfId="0" applyNumberFormat="1" applyFont="1" applyFill="1" applyBorder="1"/>
    <xf numFmtId="0" fontId="0" fillId="0" borderId="0" xfId="0" applyFont="1" applyProtection="1"/>
    <xf numFmtId="2" fontId="22" fillId="4" borderId="29" xfId="372" applyNumberFormat="1" applyFill="1" applyBorder="1" applyAlignment="1" applyProtection="1"/>
    <xf numFmtId="2" fontId="22" fillId="4" borderId="43" xfId="372" applyNumberFormat="1" applyFill="1" applyBorder="1" applyAlignment="1" applyProtection="1"/>
    <xf numFmtId="2" fontId="22" fillId="4" borderId="44" xfId="372" applyNumberFormat="1" applyFill="1" applyBorder="1" applyAlignment="1" applyProtection="1"/>
    <xf numFmtId="0" fontId="61" fillId="4" borderId="1" xfId="372" applyNumberFormat="1" applyFont="1" applyFill="1" applyBorder="1" applyAlignment="1" applyProtection="1">
      <alignment horizontal="right"/>
      <protection locked="0"/>
    </xf>
    <xf numFmtId="0" fontId="112" fillId="0" borderId="0" xfId="372" applyFont="1" applyBorder="1" applyAlignment="1" applyProtection="1">
      <alignment horizontal="left"/>
    </xf>
    <xf numFmtId="9" fontId="112" fillId="0" borderId="0" xfId="372" applyNumberFormat="1" applyFont="1" applyBorder="1" applyAlignment="1" applyProtection="1">
      <alignment horizontal="left"/>
    </xf>
    <xf numFmtId="0" fontId="112" fillId="0" borderId="0" xfId="372" applyNumberFormat="1" applyFont="1" applyBorder="1" applyAlignment="1" applyProtection="1">
      <alignment horizontal="left"/>
    </xf>
    <xf numFmtId="2" fontId="112" fillId="0" borderId="0" xfId="372" applyNumberFormat="1" applyFont="1" applyBorder="1" applyProtection="1"/>
    <xf numFmtId="0" fontId="94" fillId="0" borderId="0" xfId="372" applyFont="1" applyBorder="1" applyAlignment="1" applyProtection="1">
      <alignment horizontal="center" wrapText="1"/>
    </xf>
    <xf numFmtId="49" fontId="18" fillId="0" borderId="0" xfId="0" applyNumberFormat="1" applyFont="1"/>
    <xf numFmtId="49" fontId="61" fillId="4" borderId="40" xfId="372" applyNumberFormat="1" applyFont="1" applyFill="1" applyBorder="1" applyAlignment="1" applyProtection="1">
      <alignment horizontal="right"/>
      <protection locked="0"/>
    </xf>
    <xf numFmtId="0" fontId="80" fillId="2" borderId="0" xfId="372" applyFont="1" applyFill="1" applyBorder="1" applyAlignment="1" applyProtection="1"/>
    <xf numFmtId="2" fontId="22" fillId="2" borderId="1" xfId="372" applyNumberFormat="1" applyFill="1" applyBorder="1" applyAlignment="1" applyProtection="1"/>
    <xf numFmtId="49" fontId="61" fillId="4" borderId="4" xfId="372" applyNumberFormat="1" applyFont="1" applyFill="1" applyBorder="1" applyAlignment="1" applyProtection="1">
      <alignment horizontal="right"/>
      <protection locked="0"/>
    </xf>
    <xf numFmtId="2" fontId="22" fillId="4" borderId="14" xfId="372" applyNumberFormat="1" applyFill="1" applyBorder="1" applyAlignment="1" applyProtection="1"/>
    <xf numFmtId="2" fontId="22" fillId="0" borderId="0" xfId="372" applyNumberFormat="1" applyFill="1" applyBorder="1" applyAlignment="1" applyProtection="1">
      <alignment horizontal="right"/>
    </xf>
    <xf numFmtId="0" fontId="62" fillId="0" borderId="1" xfId="372" applyFont="1" applyBorder="1" applyAlignment="1" applyProtection="1">
      <alignment horizontal="center" vertical="center" wrapText="1"/>
    </xf>
    <xf numFmtId="0" fontId="62" fillId="0" borderId="40" xfId="372" applyFont="1" applyBorder="1" applyAlignment="1" applyProtection="1">
      <alignment horizontal="center" vertical="center" wrapText="1"/>
    </xf>
    <xf numFmtId="0" fontId="2" fillId="0" borderId="0" xfId="0" applyFont="1" applyAlignment="1"/>
    <xf numFmtId="0" fontId="2" fillId="0" borderId="0" xfId="0" applyFont="1"/>
    <xf numFmtId="0" fontId="83" fillId="0" borderId="38" xfId="372" applyFont="1" applyFill="1" applyBorder="1" applyAlignment="1" applyProtection="1">
      <alignment horizontal="center" vertical="center" wrapText="1"/>
    </xf>
    <xf numFmtId="0" fontId="17" fillId="0" borderId="0" xfId="0" applyFont="1" applyFill="1"/>
    <xf numFmtId="0" fontId="83" fillId="2" borderId="38" xfId="372" applyFont="1" applyFill="1" applyBorder="1" applyAlignment="1" applyProtection="1">
      <alignment horizontal="center" vertical="center" wrapText="1"/>
    </xf>
    <xf numFmtId="2" fontId="7" fillId="2" borderId="0" xfId="0" applyNumberFormat="1" applyFont="1" applyFill="1"/>
    <xf numFmtId="2" fontId="110" fillId="32" borderId="27" xfId="0" applyNumberFormat="1" applyFont="1" applyFill="1" applyBorder="1"/>
    <xf numFmtId="0" fontId="61" fillId="2" borderId="0" xfId="372" applyFont="1" applyFill="1" applyBorder="1"/>
    <xf numFmtId="0" fontId="2" fillId="2" borderId="0" xfId="0" applyFont="1" applyFill="1" applyBorder="1"/>
    <xf numFmtId="0" fontId="61" fillId="0" borderId="0" xfId="372" applyFont="1" applyFill="1"/>
    <xf numFmtId="0" fontId="61" fillId="0" borderId="0" xfId="372" applyFont="1" applyFill="1" applyBorder="1"/>
    <xf numFmtId="0" fontId="2" fillId="0" borderId="0" xfId="0" applyFont="1" applyBorder="1"/>
    <xf numFmtId="2" fontId="80" fillId="2" borderId="0" xfId="372" applyNumberFormat="1" applyFont="1" applyFill="1" applyBorder="1" applyProtection="1"/>
    <xf numFmtId="0" fontId="80" fillId="2" borderId="60" xfId="372" applyFont="1" applyFill="1" applyBorder="1" applyAlignment="1" applyProtection="1"/>
    <xf numFmtId="0" fontId="50" fillId="0" borderId="54" xfId="372" applyFont="1" applyBorder="1" applyProtection="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65" xfId="0" applyNumberFormat="1" applyFill="1" applyBorder="1" applyAlignment="1">
      <alignment horizontal="right"/>
    </xf>
    <xf numFmtId="0" fontId="70" fillId="39" borderId="4" xfId="0" applyFont="1" applyFill="1" applyBorder="1"/>
    <xf numFmtId="0" fontId="70" fillId="39" borderId="5" xfId="0" applyFont="1" applyFill="1" applyBorder="1"/>
    <xf numFmtId="0" fontId="70" fillId="39" borderId="5" xfId="0" applyFont="1" applyFill="1" applyBorder="1" applyAlignment="1">
      <alignment horizontal="right"/>
    </xf>
    <xf numFmtId="0" fontId="70" fillId="39" borderId="6" xfId="0" applyFont="1" applyFill="1" applyBorder="1" applyAlignment="1">
      <alignment horizontal="right"/>
    </xf>
    <xf numFmtId="0" fontId="22" fillId="0" borderId="50" xfId="372" applyFill="1" applyBorder="1" applyAlignment="1" applyProtection="1">
      <alignment horizontal="center"/>
    </xf>
    <xf numFmtId="0" fontId="51" fillId="10" borderId="50" xfId="372" applyFont="1" applyFill="1" applyBorder="1" applyProtection="1">
      <protection locked="0"/>
    </xf>
    <xf numFmtId="0" fontId="30" fillId="0" borderId="36" xfId="373" applyFont="1" applyBorder="1" applyAlignment="1">
      <alignment horizontal="centerContinuous"/>
    </xf>
    <xf numFmtId="0" fontId="31" fillId="0" borderId="60" xfId="373" applyFont="1" applyBorder="1" applyAlignment="1">
      <alignment horizontal="centerContinuous"/>
    </xf>
    <xf numFmtId="167" fontId="26" fillId="0" borderId="60" xfId="373" applyNumberFormat="1" applyFont="1" applyBorder="1" applyAlignment="1">
      <alignment horizontal="centerContinuous"/>
    </xf>
    <xf numFmtId="167" fontId="24" fillId="0" borderId="60" xfId="373" applyNumberFormat="1" applyFont="1" applyBorder="1" applyAlignment="1">
      <alignment horizontal="centerContinuous" vertical="top"/>
    </xf>
    <xf numFmtId="0" fontId="22" fillId="0" borderId="105" xfId="372" applyFill="1" applyBorder="1" applyAlignment="1" applyProtection="1">
      <alignment horizontal="center"/>
    </xf>
    <xf numFmtId="0" fontId="22" fillId="0" borderId="106" xfId="372" applyFill="1" applyBorder="1" applyAlignment="1" applyProtection="1">
      <alignment horizontal="center"/>
    </xf>
    <xf numFmtId="0" fontId="51" fillId="10" borderId="106" xfId="372" applyFont="1" applyFill="1" applyBorder="1" applyProtection="1">
      <protection locked="0"/>
    </xf>
    <xf numFmtId="0" fontId="41" fillId="10" borderId="106" xfId="372" applyNumberFormat="1" applyFont="1" applyFill="1" applyBorder="1" applyAlignment="1" applyProtection="1">
      <alignment wrapText="1"/>
    </xf>
    <xf numFmtId="1" fontId="22" fillId="10" borderId="107" xfId="372" applyNumberFormat="1" applyFill="1" applyBorder="1" applyProtection="1">
      <protection locked="0"/>
    </xf>
    <xf numFmtId="0" fontId="22" fillId="0" borderId="82" xfId="372" applyFill="1" applyBorder="1" applyAlignment="1" applyProtection="1">
      <alignment horizontal="center"/>
    </xf>
    <xf numFmtId="1" fontId="22" fillId="10" borderId="83" xfId="372" applyNumberFormat="1" applyFill="1" applyBorder="1" applyProtection="1">
      <protection locked="0"/>
    </xf>
    <xf numFmtId="0" fontId="22" fillId="0" borderId="108" xfId="372" applyFill="1" applyBorder="1" applyAlignment="1" applyProtection="1">
      <alignment horizontal="center"/>
    </xf>
    <xf numFmtId="0" fontId="22" fillId="0" borderId="109" xfId="372" applyFill="1" applyBorder="1" applyAlignment="1" applyProtection="1">
      <alignment horizontal="center"/>
    </xf>
    <xf numFmtId="0" fontId="51" fillId="10" borderId="109" xfId="372" applyFont="1" applyFill="1" applyBorder="1" applyProtection="1">
      <protection locked="0"/>
    </xf>
    <xf numFmtId="0" fontId="41" fillId="10" borderId="109" xfId="372" applyNumberFormat="1" applyFont="1" applyFill="1" applyBorder="1" applyAlignment="1" applyProtection="1">
      <alignment wrapText="1"/>
    </xf>
    <xf numFmtId="1" fontId="22" fillId="10" borderId="110" xfId="372" applyNumberFormat="1" applyFill="1" applyBorder="1" applyProtection="1">
      <protection locked="0"/>
    </xf>
    <xf numFmtId="0" fontId="22" fillId="0" borderId="36" xfId="372" applyFill="1" applyBorder="1" applyAlignment="1" applyProtection="1">
      <alignment horizontal="center"/>
    </xf>
    <xf numFmtId="0" fontId="22" fillId="0" borderId="60" xfId="372" applyFill="1" applyBorder="1" applyAlignment="1" applyProtection="1">
      <alignment horizontal="center"/>
    </xf>
    <xf numFmtId="0" fontId="51" fillId="10" borderId="60" xfId="372" applyFont="1" applyFill="1" applyBorder="1" applyProtection="1">
      <protection locked="0"/>
    </xf>
    <xf numFmtId="0" fontId="22" fillId="0" borderId="111" xfId="372" applyFill="1" applyBorder="1" applyAlignment="1" applyProtection="1">
      <alignment horizontal="center"/>
    </xf>
    <xf numFmtId="1" fontId="22" fillId="10" borderId="106" xfId="372" applyNumberFormat="1" applyFill="1" applyBorder="1" applyProtection="1">
      <protection locked="0"/>
    </xf>
    <xf numFmtId="1" fontId="22" fillId="10" borderId="109" xfId="372" applyNumberFormat="1" applyFill="1" applyBorder="1" applyProtection="1">
      <protection locked="0"/>
    </xf>
    <xf numFmtId="1" fontId="32" fillId="0" borderId="0" xfId="372" applyNumberFormat="1" applyFont="1" applyFill="1" applyBorder="1" applyAlignment="1" applyProtection="1">
      <alignment horizontal="right" vertical="top" wrapText="1"/>
      <protection locked="0"/>
    </xf>
    <xf numFmtId="1" fontId="30" fillId="0" borderId="36" xfId="373" applyNumberFormat="1" applyFont="1" applyBorder="1" applyAlignment="1">
      <alignment horizontal="centerContinuous"/>
    </xf>
    <xf numFmtId="1" fontId="32" fillId="0" borderId="0" xfId="372" applyNumberFormat="1" applyFont="1" applyFill="1" applyBorder="1" applyAlignment="1" applyProtection="1">
      <alignment vertical="top"/>
      <protection locked="0"/>
    </xf>
    <xf numFmtId="167" fontId="24" fillId="0" borderId="66" xfId="373" applyNumberFormat="1" applyFont="1" applyBorder="1" applyAlignment="1">
      <alignment horizontal="centerContinuous" vertical="top"/>
    </xf>
    <xf numFmtId="0" fontId="69" fillId="27" borderId="40" xfId="0" applyFont="1" applyFill="1" applyBorder="1"/>
    <xf numFmtId="0" fontId="65" fillId="25" borderId="6" xfId="0" applyFont="1" applyFill="1" applyBorder="1" applyAlignment="1">
      <alignment horizontal="right"/>
    </xf>
    <xf numFmtId="0" fontId="69" fillId="40" borderId="45" xfId="374" applyFont="1" applyFill="1" applyBorder="1" applyAlignment="1"/>
    <xf numFmtId="0" fontId="69" fillId="40" borderId="78" xfId="374" applyFont="1" applyFill="1" applyBorder="1"/>
    <xf numFmtId="0" fontId="47" fillId="29" borderId="41" xfId="374" applyFont="1" applyFill="1" applyBorder="1" applyAlignment="1"/>
    <xf numFmtId="0" fontId="47" fillId="29" borderId="45" xfId="374" applyFont="1" applyFill="1" applyBorder="1" applyAlignment="1"/>
    <xf numFmtId="0" fontId="37" fillId="29" borderId="4" xfId="374" applyFont="1" applyFill="1" applyBorder="1"/>
    <xf numFmtId="0" fontId="37" fillId="29" borderId="5" xfId="374" applyFont="1" applyFill="1" applyBorder="1"/>
    <xf numFmtId="0" fontId="37" fillId="29" borderId="5" xfId="374" applyFont="1" applyFill="1" applyBorder="1" applyAlignment="1">
      <alignment horizontal="right"/>
    </xf>
    <xf numFmtId="0" fontId="37" fillId="29" borderId="6" xfId="374" applyFont="1" applyFill="1" applyBorder="1" applyAlignment="1">
      <alignment horizontal="right"/>
    </xf>
    <xf numFmtId="0" fontId="65" fillId="2" borderId="0" xfId="372" applyFont="1" applyFill="1" applyBorder="1" applyAlignment="1" applyProtection="1">
      <alignment horizontal="center"/>
    </xf>
    <xf numFmtId="0" fontId="65" fillId="2" borderId="0" xfId="372" applyFont="1" applyFill="1" applyBorder="1" applyProtection="1">
      <protection locked="0"/>
    </xf>
    <xf numFmtId="0" fontId="65" fillId="2" borderId="0" xfId="372" applyFont="1" applyFill="1" applyBorder="1" applyAlignment="1" applyProtection="1">
      <alignment wrapText="1"/>
      <protection locked="0"/>
    </xf>
    <xf numFmtId="0" fontId="22" fillId="0" borderId="109" xfId="372" applyFont="1" applyFill="1" applyBorder="1" applyAlignment="1" applyProtection="1">
      <alignment wrapText="1"/>
      <protection locked="0"/>
    </xf>
    <xf numFmtId="0" fontId="22" fillId="0" borderId="106" xfId="372" applyFont="1" applyFill="1" applyBorder="1" applyAlignment="1" applyProtection="1">
      <alignment wrapText="1"/>
      <protection locked="0"/>
    </xf>
    <xf numFmtId="0" fontId="22" fillId="0" borderId="50" xfId="372" applyFont="1" applyFill="1" applyBorder="1" applyAlignment="1" applyProtection="1">
      <alignment wrapText="1"/>
      <protection locked="0"/>
    </xf>
    <xf numFmtId="1" fontId="65" fillId="2" borderId="0" xfId="372" applyNumberFormat="1" applyFont="1" applyFill="1" applyBorder="1" applyProtection="1">
      <protection locked="0"/>
    </xf>
    <xf numFmtId="167" fontId="24" fillId="0" borderId="61" xfId="373" applyNumberFormat="1" applyFont="1" applyBorder="1" applyAlignment="1">
      <alignment horizontal="centerContinuous" vertical="top"/>
    </xf>
    <xf numFmtId="0" fontId="70" fillId="40" borderId="0" xfId="505" applyFont="1" applyFill="1" applyAlignment="1">
      <alignment horizontal="justify" vertical="justify" wrapText="1"/>
    </xf>
    <xf numFmtId="49" fontId="0" fillId="5" borderId="16" xfId="0" applyNumberFormat="1" applyFill="1" applyBorder="1" applyAlignment="1" applyProtection="1">
      <alignment horizontal="left"/>
      <protection locked="0"/>
    </xf>
    <xf numFmtId="49" fontId="0" fillId="5" borderId="17" xfId="0" applyNumberFormat="1" applyFill="1" applyBorder="1" applyAlignment="1" applyProtection="1">
      <alignment horizontal="left"/>
      <protection locked="0"/>
    </xf>
    <xf numFmtId="0" fontId="24" fillId="0" borderId="0" xfId="505" applyFont="1" applyAlignment="1">
      <alignment wrapText="1"/>
    </xf>
    <xf numFmtId="0" fontId="45" fillId="0" borderId="0" xfId="505" applyFont="1"/>
    <xf numFmtId="0" fontId="65" fillId="0" borderId="0" xfId="0" applyFont="1"/>
    <xf numFmtId="0" fontId="65" fillId="0" borderId="0" xfId="372" applyFont="1" applyFill="1"/>
    <xf numFmtId="0" fontId="22" fillId="10" borderId="76" xfId="372" applyFont="1" applyFill="1" applyBorder="1" applyAlignment="1">
      <alignment horizontal="center"/>
    </xf>
    <xf numFmtId="1" fontId="50" fillId="10" borderId="76" xfId="372" applyNumberFormat="1" applyFont="1" applyFill="1" applyBorder="1" applyAlignment="1">
      <alignment horizontal="center"/>
    </xf>
    <xf numFmtId="0" fontId="22" fillId="10" borderId="75" xfId="372" applyFont="1" applyFill="1" applyBorder="1" applyAlignment="1">
      <alignment horizontal="center"/>
    </xf>
    <xf numFmtId="0" fontId="22" fillId="10" borderId="50" xfId="372" applyFont="1" applyFill="1" applyBorder="1" applyAlignment="1">
      <alignment horizontal="center"/>
    </xf>
    <xf numFmtId="1" fontId="50" fillId="10" borderId="50" xfId="372" applyNumberFormat="1" applyFont="1" applyFill="1" applyBorder="1" applyAlignment="1">
      <alignment horizontal="center"/>
    </xf>
    <xf numFmtId="0" fontId="22" fillId="10" borderId="73" xfId="372" applyFont="1" applyFill="1" applyBorder="1" applyAlignment="1">
      <alignment horizontal="center"/>
    </xf>
    <xf numFmtId="0" fontId="22" fillId="10" borderId="70" xfId="372" applyFont="1" applyFill="1" applyBorder="1" applyAlignment="1">
      <alignment horizontal="center"/>
    </xf>
    <xf numFmtId="0" fontId="22" fillId="10" borderId="72" xfId="372" applyFont="1" applyFill="1" applyBorder="1" applyAlignment="1">
      <alignment horizontal="center"/>
    </xf>
    <xf numFmtId="0" fontId="62" fillId="0" borderId="0" xfId="505" applyFont="1" applyAlignment="1">
      <alignment horizontal="left" vertical="center" wrapText="1"/>
    </xf>
    <xf numFmtId="2" fontId="113" fillId="2" borderId="0" xfId="0" applyNumberFormat="1" applyFont="1" applyFill="1" applyBorder="1" applyAlignment="1"/>
    <xf numFmtId="4" fontId="114" fillId="32" borderId="18" xfId="0" applyNumberFormat="1" applyFont="1" applyFill="1" applyBorder="1" applyAlignment="1">
      <alignment vertical="center" wrapText="1"/>
    </xf>
    <xf numFmtId="0" fontId="17" fillId="0" borderId="0" xfId="0" applyFont="1" applyAlignment="1">
      <alignment horizontal="left"/>
    </xf>
    <xf numFmtId="0" fontId="22" fillId="4" borderId="7" xfId="372" applyFill="1" applyBorder="1" applyAlignment="1" applyProtection="1">
      <alignment horizontal="center"/>
    </xf>
    <xf numFmtId="0" fontId="115" fillId="0" borderId="0" xfId="372" applyFont="1" applyBorder="1" applyAlignment="1" applyProtection="1">
      <alignment horizontal="center"/>
    </xf>
    <xf numFmtId="0" fontId="116" fillId="0" borderId="0" xfId="0" applyFont="1"/>
    <xf numFmtId="0" fontId="115" fillId="0" borderId="0" xfId="372" applyFont="1" applyBorder="1" applyAlignment="1" applyProtection="1">
      <alignment horizontal="left"/>
    </xf>
    <xf numFmtId="0" fontId="118" fillId="0" borderId="0" xfId="372" applyFont="1" applyBorder="1" applyAlignment="1" applyProtection="1">
      <alignment horizontal="left"/>
    </xf>
    <xf numFmtId="0" fontId="120" fillId="0" borderId="0" xfId="372" applyFont="1" applyBorder="1" applyAlignment="1" applyProtection="1">
      <alignment horizontal="left"/>
    </xf>
    <xf numFmtId="0" fontId="119" fillId="0" borderId="0" xfId="0" applyFont="1" applyAlignment="1">
      <alignment horizontal="left"/>
    </xf>
    <xf numFmtId="0" fontId="122" fillId="0" borderId="0" xfId="372" applyFont="1" applyBorder="1" applyAlignment="1" applyProtection="1">
      <alignment horizontal="left"/>
    </xf>
    <xf numFmtId="0" fontId="121" fillId="0" borderId="0" xfId="0" applyFont="1" applyAlignment="1">
      <alignment horizontal="left"/>
    </xf>
    <xf numFmtId="0" fontId="116" fillId="0" borderId="0" xfId="0" applyFont="1" applyAlignment="1">
      <alignment horizontal="left"/>
    </xf>
    <xf numFmtId="0" fontId="117" fillId="0" borderId="0" xfId="0" applyFont="1" applyAlignment="1">
      <alignment horizontal="left"/>
    </xf>
    <xf numFmtId="2" fontId="65" fillId="40" borderId="1" xfId="372" applyNumberFormat="1" applyFont="1" applyFill="1" applyBorder="1" applyProtection="1"/>
    <xf numFmtId="0" fontId="65" fillId="4" borderId="0" xfId="372" applyFont="1" applyFill="1"/>
    <xf numFmtId="0" fontId="65" fillId="16" borderId="0" xfId="372" applyFont="1" applyFill="1"/>
    <xf numFmtId="0" fontId="65" fillId="15" borderId="0" xfId="372" applyFont="1" applyFill="1"/>
    <xf numFmtId="0" fontId="65" fillId="17" borderId="0" xfId="372" applyFont="1" applyFill="1"/>
    <xf numFmtId="0" fontId="65" fillId="18" borderId="0" xfId="372" applyFont="1" applyFill="1"/>
    <xf numFmtId="0" fontId="65" fillId="21" borderId="0" xfId="372" applyFont="1" applyFill="1"/>
    <xf numFmtId="0" fontId="65" fillId="3" borderId="0" xfId="372" applyFont="1" applyFill="1"/>
    <xf numFmtId="0" fontId="65" fillId="22" borderId="0" xfId="372" applyFont="1" applyFill="1"/>
    <xf numFmtId="0" fontId="65" fillId="29" borderId="0" xfId="372" applyFont="1" applyFill="1"/>
    <xf numFmtId="2" fontId="0" fillId="5" borderId="64" xfId="0" applyNumberFormat="1" applyFill="1" applyBorder="1" applyAlignment="1">
      <alignment horizontal="right"/>
    </xf>
    <xf numFmtId="0" fontId="0" fillId="8" borderId="13" xfId="0" applyFill="1" applyBorder="1" applyAlignment="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112" fillId="0" borderId="0" xfId="372" applyFont="1" applyBorder="1" applyAlignment="1" applyProtection="1">
      <alignment horizontal="center"/>
    </xf>
    <xf numFmtId="0" fontId="18" fillId="0" borderId="0" xfId="0" applyFont="1" applyAlignment="1"/>
    <xf numFmtId="0" fontId="18" fillId="0" borderId="0" xfId="0" applyFont="1" applyAlignment="1">
      <alignment horizontal="left"/>
    </xf>
    <xf numFmtId="0" fontId="82" fillId="0" borderId="0" xfId="372" applyFont="1"/>
    <xf numFmtId="0" fontId="112" fillId="0" borderId="0" xfId="372" applyFont="1" applyAlignment="1">
      <alignment horizontal="center"/>
    </xf>
    <xf numFmtId="0" fontId="37" fillId="0" borderId="12" xfId="372" applyFont="1" applyBorder="1" applyAlignment="1" applyProtection="1">
      <alignment horizontal="center" vertical="center" wrapText="1"/>
    </xf>
    <xf numFmtId="0" fontId="61" fillId="5" borderId="5" xfId="372" applyFont="1" applyFill="1" applyBorder="1" applyAlignment="1" applyProtection="1">
      <alignment horizontal="left" wrapText="1"/>
    </xf>
    <xf numFmtId="0" fontId="22" fillId="5" borderId="5" xfId="372" applyFont="1" applyFill="1" applyBorder="1" applyAlignment="1" applyProtection="1">
      <alignment horizontal="left" wrapText="1"/>
    </xf>
    <xf numFmtId="0" fontId="22" fillId="5" borderId="10" xfId="372" applyFont="1" applyFill="1" applyBorder="1" applyAlignment="1" applyProtection="1">
      <alignment horizontal="left" wrapText="1"/>
    </xf>
    <xf numFmtId="0" fontId="61" fillId="5" borderId="10" xfId="372" applyFont="1" applyFill="1" applyBorder="1" applyAlignment="1">
      <alignment horizontal="left" wrapText="1"/>
    </xf>
    <xf numFmtId="0" fontId="61" fillId="5" borderId="10" xfId="372" applyFont="1" applyFill="1" applyBorder="1" applyAlignment="1" applyProtection="1">
      <alignment horizontal="left" wrapText="1"/>
    </xf>
    <xf numFmtId="0" fontId="61" fillId="5" borderId="79" xfId="372" applyFont="1" applyFill="1" applyBorder="1" applyAlignment="1" applyProtection="1">
      <alignment horizontal="left" wrapText="1"/>
    </xf>
    <xf numFmtId="0" fontId="22" fillId="5" borderId="5" xfId="372" applyFill="1" applyBorder="1" applyAlignment="1" applyProtection="1">
      <alignment horizontal="left" wrapText="1"/>
    </xf>
    <xf numFmtId="0" fontId="61" fillId="5" borderId="5" xfId="372" applyFont="1" applyFill="1" applyBorder="1" applyAlignment="1">
      <alignment horizontal="left" wrapText="1"/>
    </xf>
    <xf numFmtId="0" fontId="22" fillId="5" borderId="5" xfId="372"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22" fillId="5" borderId="10" xfId="372" applyFill="1" applyBorder="1" applyAlignment="1">
      <alignment horizontal="left" wrapText="1"/>
    </xf>
    <xf numFmtId="0" fontId="37" fillId="0" borderId="0" xfId="505" applyFont="1" applyAlignment="1">
      <alignment horizontal="justify" vertical="justify" wrapText="1"/>
    </xf>
    <xf numFmtId="0" fontId="37" fillId="29" borderId="0" xfId="505" applyFont="1" applyFill="1" applyAlignment="1">
      <alignment horizontal="left" vertical="justify" wrapText="1"/>
    </xf>
    <xf numFmtId="0" fontId="62" fillId="0" borderId="0" xfId="505" applyFont="1" applyAlignment="1">
      <alignment horizontal="left" vertical="center" wrapText="1"/>
    </xf>
    <xf numFmtId="0" fontId="24" fillId="0" borderId="0" xfId="505" applyFont="1" applyAlignment="1">
      <alignment horizontal="center"/>
    </xf>
    <xf numFmtId="0" fontId="62" fillId="0" borderId="0" xfId="505" applyFont="1" applyAlignment="1">
      <alignment horizontal="left" wrapText="1"/>
    </xf>
    <xf numFmtId="0" fontId="37" fillId="15" borderId="0" xfId="505" applyFont="1" applyFill="1" applyAlignment="1">
      <alignment horizontal="justify" vertical="justify" wrapText="1"/>
    </xf>
    <xf numFmtId="0" fontId="37" fillId="19" borderId="0" xfId="505" applyFont="1" applyFill="1" applyAlignment="1">
      <alignment horizontal="justify" vertical="justify" wrapText="1"/>
    </xf>
    <xf numFmtId="0" fontId="0" fillId="0" borderId="0" xfId="0" applyBorder="1" applyAlignment="1">
      <alignment horizontal="left"/>
    </xf>
    <xf numFmtId="0" fontId="22" fillId="10" borderId="75" xfId="372" applyFill="1" applyBorder="1" applyAlignment="1" applyProtection="1">
      <alignment horizontal="left"/>
      <protection locked="0"/>
    </xf>
    <xf numFmtId="0" fontId="22" fillId="10" borderId="76"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2" xfId="372" applyFill="1" applyBorder="1" applyAlignment="1" applyProtection="1">
      <alignment horizontal="left"/>
      <protection locked="0"/>
    </xf>
    <xf numFmtId="0" fontId="22" fillId="10" borderId="10"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37" fillId="0" borderId="2" xfId="372" applyFont="1" applyFill="1" applyBorder="1" applyAlignment="1" applyProtection="1">
      <alignment horizontal="left"/>
    </xf>
    <xf numFmtId="0" fontId="37" fillId="0" borderId="10" xfId="372" applyFont="1" applyFill="1" applyBorder="1" applyAlignment="1" applyProtection="1">
      <alignment horizontal="left"/>
    </xf>
    <xf numFmtId="0" fontId="37" fillId="0" borderId="7" xfId="372" applyFont="1" applyFill="1" applyBorder="1" applyAlignment="1" applyProtection="1">
      <alignment horizontal="left"/>
    </xf>
    <xf numFmtId="0" fontId="37" fillId="0" borderId="34" xfId="372" applyFont="1" applyFill="1" applyBorder="1" applyAlignment="1" applyProtection="1">
      <alignment horizontal="left"/>
    </xf>
    <xf numFmtId="0" fontId="37" fillId="0" borderId="27" xfId="372" applyFont="1" applyFill="1" applyBorder="1" applyAlignment="1" applyProtection="1">
      <alignment horizontal="left"/>
    </xf>
    <xf numFmtId="0" fontId="37" fillId="0" borderId="19" xfId="372" applyFont="1" applyFill="1" applyBorder="1" applyAlignment="1" applyProtection="1">
      <alignment horizontal="left"/>
    </xf>
    <xf numFmtId="0" fontId="37" fillId="0" borderId="2" xfId="372" applyFont="1" applyBorder="1" applyAlignment="1" applyProtection="1">
      <alignment horizontal="left"/>
    </xf>
    <xf numFmtId="0" fontId="37" fillId="0" borderId="10" xfId="372" applyFont="1" applyBorder="1" applyAlignment="1" applyProtection="1">
      <alignment horizontal="left"/>
    </xf>
    <xf numFmtId="0" fontId="37" fillId="0" borderId="7" xfId="372" applyFont="1" applyBorder="1" applyAlignment="1" applyProtection="1">
      <alignment horizontal="left"/>
    </xf>
    <xf numFmtId="0" fontId="37" fillId="0" borderId="34" xfId="372" applyFont="1" applyBorder="1" applyAlignment="1" applyProtection="1">
      <alignment horizontal="left"/>
    </xf>
    <xf numFmtId="0" fontId="37" fillId="0" borderId="27" xfId="372" applyFont="1" applyBorder="1" applyAlignment="1" applyProtection="1">
      <alignment horizontal="left"/>
    </xf>
    <xf numFmtId="0" fontId="37" fillId="0" borderId="19" xfId="372" applyFont="1" applyBorder="1" applyAlignment="1" applyProtection="1">
      <alignment horizontal="left"/>
    </xf>
    <xf numFmtId="0" fontId="22" fillId="0" borderId="4" xfId="372" applyBorder="1" applyAlignment="1" applyProtection="1">
      <alignment horizontal="left"/>
    </xf>
    <xf numFmtId="0" fontId="22" fillId="0" borderId="5" xfId="372" applyBorder="1" applyAlignment="1" applyProtection="1">
      <alignment horizontal="left"/>
    </xf>
    <xf numFmtId="0" fontId="37" fillId="0" borderId="46" xfId="372" applyFont="1" applyBorder="1" applyAlignment="1">
      <alignment horizontal="left" wrapText="1"/>
    </xf>
    <xf numFmtId="0" fontId="37" fillId="0" borderId="46" xfId="372" applyFont="1" applyFill="1" applyBorder="1" applyAlignment="1">
      <alignment horizontal="left" wrapText="1"/>
    </xf>
    <xf numFmtId="0" fontId="44" fillId="0" borderId="46" xfId="372" applyFont="1" applyBorder="1" applyAlignment="1">
      <alignment horizontal="left" vertical="center" wrapText="1"/>
    </xf>
    <xf numFmtId="0" fontId="22" fillId="0" borderId="70" xfId="372" applyBorder="1" applyAlignment="1" applyProtection="1">
      <alignment horizontal="left"/>
      <protection locked="0"/>
    </xf>
    <xf numFmtId="0" fontId="22" fillId="0" borderId="72" xfId="372" applyBorder="1" applyAlignment="1" applyProtection="1">
      <alignment horizontal="left"/>
      <protection locked="0"/>
    </xf>
    <xf numFmtId="0" fontId="22" fillId="0" borderId="71" xfId="372" applyBorder="1" applyAlignment="1" applyProtection="1">
      <alignment horizontal="left"/>
      <protection locked="0"/>
    </xf>
    <xf numFmtId="0" fontId="37" fillId="0" borderId="46" xfId="372" applyFont="1" applyBorder="1" applyAlignment="1">
      <alignment horizontal="left" vertical="top" wrapText="1"/>
    </xf>
    <xf numFmtId="0" fontId="95" fillId="0" borderId="24" xfId="0" applyFont="1" applyFill="1" applyBorder="1" applyAlignment="1">
      <alignment horizontal="center" vertical="center"/>
    </xf>
    <xf numFmtId="0" fontId="104" fillId="32" borderId="68" xfId="0" applyFont="1" applyFill="1" applyBorder="1" applyAlignment="1">
      <alignment horizontal="center" vertical="center" textRotation="90"/>
    </xf>
    <xf numFmtId="0" fontId="104" fillId="32" borderId="69"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5" borderId="4" xfId="0" applyFont="1" applyFill="1" applyBorder="1" applyAlignment="1" applyProtection="1">
      <alignment horizontal="center"/>
    </xf>
    <xf numFmtId="0" fontId="0" fillId="5" borderId="5" xfId="0" applyFont="1" applyFill="1" applyBorder="1" applyAlignment="1" applyProtection="1">
      <alignment horizontal="center"/>
    </xf>
    <xf numFmtId="0" fontId="0" fillId="5" borderId="40" xfId="0" applyFont="1" applyFill="1" applyBorder="1" applyAlignment="1" applyProtection="1">
      <alignment horizontal="center"/>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Border="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ont="1" applyFill="1" applyBorder="1" applyAlignment="1">
      <alignment horizontal="center"/>
    </xf>
    <xf numFmtId="0" fontId="0" fillId="4" borderId="6" xfId="0" applyFont="1" applyFill="1" applyBorder="1" applyAlignment="1">
      <alignment horizontal="center"/>
    </xf>
    <xf numFmtId="0" fontId="0" fillId="4" borderId="40" xfId="0" applyFont="1"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7" xfId="0" applyFont="1" applyFill="1" applyBorder="1" applyAlignment="1">
      <alignment horizontal="left" wrapText="1"/>
    </xf>
    <xf numFmtId="0" fontId="104" fillId="32" borderId="67"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92" fillId="32" borderId="37" xfId="0" applyFont="1" applyFill="1" applyBorder="1" applyAlignment="1">
      <alignment horizontal="left"/>
    </xf>
    <xf numFmtId="0" fontId="92" fillId="32" borderId="38" xfId="0" applyFont="1" applyFill="1" applyBorder="1" applyAlignment="1">
      <alignment horizontal="left"/>
    </xf>
    <xf numFmtId="0" fontId="92" fillId="32"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Border="1" applyAlignment="1">
      <alignment horizontal="left" wrapText="1"/>
    </xf>
    <xf numFmtId="0" fontId="0" fillId="5" borderId="87"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9"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pplyProtection="1">
      <alignment horizontal="center"/>
    </xf>
    <xf numFmtId="165" fontId="0" fillId="5" borderId="5" xfId="0" applyNumberFormat="1" applyFill="1" applyBorder="1" applyAlignment="1" applyProtection="1">
      <alignment horizontal="center"/>
    </xf>
    <xf numFmtId="165" fontId="0" fillId="5" borderId="40" xfId="0" applyNumberFormat="1" applyFill="1" applyBorder="1" applyAlignment="1" applyProtection="1">
      <alignment horizontal="center"/>
    </xf>
    <xf numFmtId="0" fontId="98" fillId="0" borderId="0" xfId="0" applyFont="1" applyBorder="1" applyAlignment="1">
      <alignment horizontal="left" wrapText="1"/>
    </xf>
    <xf numFmtId="0" fontId="98" fillId="0" borderId="45" xfId="0" applyFont="1" applyBorder="1" applyAlignment="1">
      <alignment horizontal="left" wrapText="1"/>
    </xf>
    <xf numFmtId="0" fontId="0" fillId="0" borderId="0" xfId="0" applyBorder="1" applyAlignment="1">
      <alignment horizontal="center" wrapText="1"/>
    </xf>
    <xf numFmtId="0" fontId="0" fillId="0" borderId="45" xfId="0" applyBorder="1" applyAlignment="1">
      <alignment horizontal="center" wrapText="1"/>
    </xf>
    <xf numFmtId="0" fontId="99" fillId="0" borderId="0" xfId="0" applyFont="1" applyAlignment="1">
      <alignment horizontal="left" vertical="center" wrapText="1"/>
    </xf>
    <xf numFmtId="0" fontId="0" fillId="0" borderId="0" xfId="0" applyAlignment="1">
      <alignment horizont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ont="1" applyFill="1" applyBorder="1" applyAlignment="1">
      <alignment horizontal="left" wrapText="1"/>
    </xf>
    <xf numFmtId="0" fontId="0" fillId="5" borderId="4" xfId="0" applyFont="1" applyFill="1" applyBorder="1" applyAlignment="1">
      <alignment horizontal="left" wrapText="1"/>
    </xf>
    <xf numFmtId="0" fontId="0" fillId="5" borderId="5" xfId="0" applyFont="1" applyFill="1" applyBorder="1" applyAlignment="1">
      <alignment horizontal="left" wrapText="1"/>
    </xf>
    <xf numFmtId="0" fontId="0" fillId="5" borderId="6" xfId="0" applyFont="1" applyFill="1" applyBorder="1" applyAlignment="1">
      <alignment horizontal="left" wrapText="1"/>
    </xf>
    <xf numFmtId="0" fontId="105" fillId="32" borderId="61" xfId="0" applyFont="1" applyFill="1" applyBorder="1" applyAlignment="1">
      <alignment horizontal="center" vertical="center" textRotation="90"/>
    </xf>
    <xf numFmtId="0" fontId="105" fillId="32" borderId="46" xfId="0" applyFont="1" applyFill="1" applyBorder="1" applyAlignment="1">
      <alignment horizontal="center" vertical="center" textRotation="90"/>
    </xf>
    <xf numFmtId="0" fontId="0" fillId="5" borderId="1" xfId="0" applyFont="1"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6" fillId="0" borderId="0" xfId="0" applyFont="1" applyAlignment="1">
      <alignment horizontal="left" vertical="center" wrapText="1"/>
    </xf>
    <xf numFmtId="0" fontId="90" fillId="32" borderId="11" xfId="0" applyFont="1" applyFill="1" applyBorder="1" applyAlignment="1">
      <alignment horizontal="center"/>
    </xf>
    <xf numFmtId="0" fontId="90" fillId="32" borderId="38" xfId="0" applyFont="1" applyFill="1" applyBorder="1" applyAlignment="1">
      <alignment horizontal="center"/>
    </xf>
    <xf numFmtId="0" fontId="90" fillId="32" borderId="39" xfId="0" applyFont="1" applyFill="1" applyBorder="1" applyAlignment="1">
      <alignment horizontal="center"/>
    </xf>
    <xf numFmtId="0" fontId="74" fillId="4" borderId="13" xfId="0" applyFont="1" applyFill="1" applyBorder="1" applyAlignment="1">
      <alignment horizontal="left" wrapText="1"/>
    </xf>
    <xf numFmtId="0" fontId="74" fillId="4" borderId="5" xfId="0" applyFont="1" applyFill="1" applyBorder="1" applyAlignment="1">
      <alignment horizontal="left" wrapText="1"/>
    </xf>
    <xf numFmtId="0" fontId="74" fillId="4" borderId="40" xfId="0" applyFont="1" applyFill="1" applyBorder="1" applyAlignment="1">
      <alignment horizontal="left"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81" fillId="2" borderId="4" xfId="0" applyFont="1" applyFill="1" applyBorder="1" applyAlignment="1" applyProtection="1">
      <alignment horizontal="left" vertical="center"/>
      <protection locked="0"/>
    </xf>
    <xf numFmtId="0" fontId="81"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81" fillId="2" borderId="13" xfId="0" applyFont="1" applyFill="1" applyBorder="1" applyAlignment="1" applyProtection="1">
      <alignment horizontal="left" vertical="center"/>
      <protection locked="0"/>
    </xf>
    <xf numFmtId="0" fontId="81" fillId="2" borderId="5" xfId="0" applyFont="1" applyFill="1" applyBorder="1" applyAlignment="1" applyProtection="1">
      <alignment horizontal="left" vertical="center"/>
      <protection locked="0"/>
    </xf>
    <xf numFmtId="0" fontId="96" fillId="0" borderId="60" xfId="0" applyFont="1" applyBorder="1" applyAlignment="1">
      <alignment horizontal="left" vertical="center" wrapText="1"/>
    </xf>
    <xf numFmtId="0" fontId="0" fillId="5" borderId="13" xfId="0" applyFill="1" applyBorder="1" applyAlignment="1">
      <alignment horizontal="center"/>
    </xf>
    <xf numFmtId="0" fontId="0" fillId="5" borderId="6" xfId="0" applyFill="1" applyBorder="1" applyAlignment="1">
      <alignment horizontal="center"/>
    </xf>
    <xf numFmtId="166" fontId="0" fillId="8" borderId="4" xfId="0" applyNumberFormat="1" applyFill="1" applyBorder="1" applyAlignment="1">
      <alignment horizontal="center" wrapText="1"/>
    </xf>
    <xf numFmtId="166" fontId="0" fillId="8" borderId="5" xfId="0" applyNumberFormat="1" applyFill="1" applyBorder="1" applyAlignment="1">
      <alignment horizontal="center" wrapText="1"/>
    </xf>
    <xf numFmtId="166" fontId="0" fillId="8" borderId="40" xfId="0" applyNumberFormat="1" applyFill="1" applyBorder="1" applyAlignment="1">
      <alignment horizontal="center" wrapText="1"/>
    </xf>
    <xf numFmtId="0" fontId="90" fillId="32" borderId="13" xfId="0" applyFont="1" applyFill="1" applyBorder="1" applyAlignment="1">
      <alignment horizontal="left"/>
    </xf>
    <xf numFmtId="0" fontId="90" fillId="32" borderId="5" xfId="0" applyFont="1" applyFill="1" applyBorder="1" applyAlignment="1">
      <alignment horizontal="left"/>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90" fillId="32" borderId="13" xfId="0" applyFont="1" applyFill="1" applyBorder="1" applyAlignment="1">
      <alignment horizontal="center"/>
    </xf>
    <xf numFmtId="0" fontId="90" fillId="32" borderId="5" xfId="0" applyFont="1" applyFill="1" applyBorder="1" applyAlignment="1">
      <alignment horizontal="center"/>
    </xf>
    <xf numFmtId="0" fontId="17" fillId="32" borderId="5" xfId="0" applyFont="1" applyFill="1" applyBorder="1" applyAlignment="1">
      <alignment horizontal="center"/>
    </xf>
    <xf numFmtId="0" fontId="17" fillId="32" borderId="40" xfId="0" applyFont="1" applyFill="1" applyBorder="1" applyAlignment="1">
      <alignment horizontal="center"/>
    </xf>
    <xf numFmtId="0" fontId="7" fillId="4" borderId="59" xfId="0" applyFont="1" applyFill="1" applyBorder="1" applyAlignment="1">
      <alignment horizontal="center" vertical="center" wrapText="1"/>
    </xf>
    <xf numFmtId="0" fontId="96" fillId="0" borderId="45" xfId="0" applyFont="1" applyBorder="1" applyAlignment="1">
      <alignment horizontal="left" vertical="center" wrapText="1"/>
    </xf>
    <xf numFmtId="0" fontId="0" fillId="0" borderId="0" xfId="0" applyBorder="1" applyAlignment="1">
      <alignment horizontal="center"/>
    </xf>
    <xf numFmtId="0" fontId="0" fillId="0" borderId="45" xfId="0" applyBorder="1" applyAlignment="1">
      <alignment horizontal="center"/>
    </xf>
    <xf numFmtId="0" fontId="100" fillId="32" borderId="36" xfId="0" applyFont="1" applyFill="1" applyBorder="1" applyAlignment="1">
      <alignment horizontal="center" vertical="center"/>
    </xf>
    <xf numFmtId="0" fontId="100" fillId="32" borderId="60" xfId="0" applyFont="1" applyFill="1" applyBorder="1" applyAlignment="1">
      <alignment horizontal="center" vertical="center"/>
    </xf>
    <xf numFmtId="0" fontId="100" fillId="32" borderId="66" xfId="0" applyFont="1" applyFill="1" applyBorder="1" applyAlignment="1">
      <alignment horizontal="center" vertical="center"/>
    </xf>
    <xf numFmtId="0" fontId="81" fillId="4" borderId="13" xfId="0" applyFont="1" applyFill="1" applyBorder="1" applyAlignment="1">
      <alignment horizontal="left" vertical="center" wrapText="1"/>
    </xf>
    <xf numFmtId="0" fontId="81" fillId="4" borderId="5" xfId="0" applyFont="1" applyFill="1" applyBorder="1" applyAlignment="1">
      <alignment horizontal="left" vertical="center" wrapText="1"/>
    </xf>
    <xf numFmtId="0" fontId="81" fillId="4" borderId="6" xfId="0" applyFont="1" applyFill="1" applyBorder="1" applyAlignment="1">
      <alignment horizontal="left" vertical="center" wrapText="1"/>
    </xf>
    <xf numFmtId="0" fontId="61" fillId="5" borderId="29" xfId="372" applyNumberFormat="1" applyFont="1" applyFill="1" applyBorder="1" applyAlignment="1" applyProtection="1">
      <alignment horizontal="left" wrapText="1"/>
    </xf>
    <xf numFmtId="0" fontId="61" fillId="5" borderId="43" xfId="372" applyNumberFormat="1" applyFont="1" applyFill="1" applyBorder="1" applyAlignment="1" applyProtection="1">
      <alignment horizontal="left" wrapText="1"/>
    </xf>
    <xf numFmtId="0" fontId="96" fillId="0" borderId="0" xfId="0" applyFont="1" applyBorder="1" applyAlignment="1">
      <alignment horizontal="left" vertical="center" wrapText="1"/>
    </xf>
    <xf numFmtId="0" fontId="37" fillId="5" borderId="5" xfId="372" applyFont="1" applyFill="1" applyBorder="1" applyAlignment="1" applyProtection="1">
      <alignment horizontal="center"/>
    </xf>
    <xf numFmtId="0" fontId="37" fillId="0" borderId="93" xfId="372" applyFont="1" applyBorder="1" applyAlignment="1" applyProtection="1">
      <alignment horizontal="center" vertical="center" wrapText="1"/>
    </xf>
    <xf numFmtId="0" fontId="37" fillId="0" borderId="12" xfId="372" applyFont="1" applyBorder="1" applyAlignment="1" applyProtection="1">
      <alignment horizontal="center" vertical="center" wrapText="1"/>
    </xf>
    <xf numFmtId="176" fontId="22" fillId="0" borderId="0" xfId="372" applyNumberFormat="1" applyAlignment="1" applyProtection="1">
      <alignment horizontal="center"/>
    </xf>
    <xf numFmtId="176" fontId="22" fillId="0" borderId="0" xfId="372" applyNumberFormat="1" applyBorder="1" applyAlignment="1" applyProtection="1">
      <alignment horizontal="center"/>
    </xf>
    <xf numFmtId="0" fontId="43" fillId="5" borderId="58" xfId="372" applyFont="1" applyFill="1" applyBorder="1" applyAlignment="1" applyProtection="1">
      <alignment horizontal="center"/>
    </xf>
    <xf numFmtId="0" fontId="43" fillId="5" borderId="59" xfId="372" applyFont="1" applyFill="1" applyBorder="1" applyAlignment="1" applyProtection="1">
      <alignment horizontal="center"/>
    </xf>
    <xf numFmtId="0" fontId="43" fillId="5" borderId="52" xfId="372" applyFont="1" applyFill="1" applyBorder="1" applyAlignment="1" applyProtection="1">
      <alignment horizontal="center"/>
    </xf>
    <xf numFmtId="0" fontId="85" fillId="32" borderId="36" xfId="372" applyNumberFormat="1" applyFont="1" applyFill="1" applyBorder="1" applyAlignment="1" applyProtection="1">
      <alignment horizontal="center"/>
    </xf>
    <xf numFmtId="0" fontId="85" fillId="32" borderId="60" xfId="372" applyNumberFormat="1" applyFont="1" applyFill="1" applyBorder="1" applyAlignment="1" applyProtection="1">
      <alignment horizontal="center"/>
    </xf>
    <xf numFmtId="0" fontId="85" fillId="32" borderId="66" xfId="372" applyNumberFormat="1" applyFont="1" applyFill="1" applyBorder="1" applyAlignment="1" applyProtection="1">
      <alignment horizontal="center"/>
    </xf>
    <xf numFmtId="0" fontId="94" fillId="3" borderId="4" xfId="372" applyFont="1" applyFill="1" applyBorder="1" applyAlignment="1" applyProtection="1">
      <alignment horizontal="center" vertical="center" wrapText="1"/>
    </xf>
    <xf numFmtId="0" fontId="94" fillId="3" borderId="5" xfId="372" applyFont="1" applyFill="1" applyBorder="1" applyAlignment="1" applyProtection="1">
      <alignment horizontal="center" vertical="center" wrapText="1"/>
    </xf>
    <xf numFmtId="0" fontId="94" fillId="3" borderId="40" xfId="372" applyFont="1" applyFill="1" applyBorder="1" applyAlignment="1" applyProtection="1">
      <alignment horizontal="center" vertical="center" wrapText="1"/>
    </xf>
    <xf numFmtId="0" fontId="61" fillId="5" borderId="5" xfId="372" applyFont="1" applyFill="1" applyBorder="1" applyAlignment="1" applyProtection="1">
      <alignment horizontal="left" wrapText="1"/>
    </xf>
    <xf numFmtId="49" fontId="85" fillId="32" borderId="23" xfId="372" applyNumberFormat="1" applyFont="1" applyFill="1" applyBorder="1" applyAlignment="1" applyProtection="1">
      <alignment horizontal="center"/>
    </xf>
    <xf numFmtId="49" fontId="85" fillId="32" borderId="24" xfId="372" applyNumberFormat="1" applyFont="1" applyFill="1" applyBorder="1" applyAlignment="1" applyProtection="1">
      <alignment horizontal="center"/>
    </xf>
    <xf numFmtId="0" fontId="37" fillId="0" borderId="4" xfId="372" applyFont="1" applyBorder="1" applyAlignment="1" applyProtection="1">
      <alignment horizontal="center" vertical="center" wrapText="1"/>
    </xf>
    <xf numFmtId="0" fontId="37" fillId="0" borderId="6" xfId="372" applyFont="1" applyBorder="1" applyAlignment="1" applyProtection="1">
      <alignment horizontal="center" vertical="center" wrapText="1"/>
    </xf>
    <xf numFmtId="0" fontId="94" fillId="3" borderId="6" xfId="372" applyFont="1" applyFill="1" applyBorder="1" applyAlignment="1" applyProtection="1">
      <alignment horizontal="center" vertical="center" wrapText="1"/>
    </xf>
    <xf numFmtId="0" fontId="37" fillId="0" borderId="35" xfId="372" applyFont="1" applyBorder="1" applyAlignment="1" applyProtection="1">
      <alignment horizontal="center" vertical="center" wrapText="1"/>
    </xf>
    <xf numFmtId="0" fontId="93" fillId="0" borderId="33" xfId="372" applyFont="1" applyBorder="1" applyAlignment="1" applyProtection="1">
      <alignment horizontal="center" vertical="center" wrapText="1"/>
    </xf>
    <xf numFmtId="0" fontId="93" fillId="0" borderId="0" xfId="372" applyFont="1" applyBorder="1" applyAlignment="1" applyProtection="1">
      <alignment horizontal="center" vertical="center" wrapText="1"/>
    </xf>
    <xf numFmtId="0" fontId="93" fillId="0" borderId="46" xfId="372" applyFont="1" applyBorder="1" applyAlignment="1" applyProtection="1">
      <alignment horizontal="center" vertical="center" wrapText="1"/>
    </xf>
    <xf numFmtId="0" fontId="93" fillId="0" borderId="63" xfId="372" applyFont="1" applyBorder="1" applyAlignment="1" applyProtection="1">
      <alignment horizontal="center" vertical="center" wrapText="1"/>
    </xf>
    <xf numFmtId="0" fontId="93" fillId="0" borderId="27" xfId="372" applyFont="1" applyBorder="1" applyAlignment="1" applyProtection="1">
      <alignment horizontal="center" vertical="center" wrapText="1"/>
    </xf>
    <xf numFmtId="0" fontId="93" fillId="0" borderId="19" xfId="372" applyFont="1" applyBorder="1" applyAlignment="1" applyProtection="1">
      <alignment horizontal="center" vertical="center" wrapText="1"/>
    </xf>
    <xf numFmtId="0" fontId="18" fillId="0" borderId="0" xfId="0" applyFont="1" applyAlignment="1">
      <alignment horizontal="center"/>
    </xf>
    <xf numFmtId="0" fontId="37" fillId="0" borderId="94" xfId="372" applyFont="1" applyBorder="1" applyAlignment="1" applyProtection="1">
      <alignment horizontal="center" vertical="center" wrapText="1"/>
    </xf>
    <xf numFmtId="0" fontId="37" fillId="0" borderId="34" xfId="372" applyFont="1" applyBorder="1" applyAlignment="1" applyProtection="1">
      <alignment horizontal="center" vertical="center" wrapText="1"/>
    </xf>
    <xf numFmtId="0" fontId="37" fillId="0" borderId="8" xfId="372" applyFont="1" applyBorder="1" applyAlignment="1" applyProtection="1">
      <alignment horizontal="center" vertical="center" wrapText="1"/>
    </xf>
    <xf numFmtId="0" fontId="62" fillId="0" borderId="63" xfId="372" applyFont="1" applyBorder="1" applyAlignment="1" applyProtection="1">
      <alignment horizontal="center" vertical="center" wrapText="1"/>
    </xf>
    <xf numFmtId="0" fontId="62" fillId="0" borderId="27" xfId="372" applyFont="1" applyBorder="1" applyAlignment="1" applyProtection="1">
      <alignment horizontal="center" vertical="center" wrapText="1"/>
    </xf>
    <xf numFmtId="0" fontId="62" fillId="0" borderId="77" xfId="372" applyFont="1" applyBorder="1" applyAlignment="1" applyProtection="1">
      <alignment horizontal="center" vertical="center" wrapText="1"/>
    </xf>
    <xf numFmtId="0" fontId="94" fillId="3" borderId="13" xfId="372" applyFont="1" applyFill="1" applyBorder="1" applyAlignment="1" applyProtection="1">
      <alignment horizontal="center" vertical="center" wrapText="1"/>
    </xf>
    <xf numFmtId="0" fontId="83" fillId="0" borderId="94" xfId="372" applyFont="1" applyBorder="1" applyAlignment="1" applyProtection="1">
      <alignment horizontal="center" vertical="center"/>
    </xf>
    <xf numFmtId="0" fontId="83" fillId="0" borderId="60" xfId="372" applyFont="1" applyBorder="1" applyAlignment="1" applyProtection="1">
      <alignment horizontal="center" vertical="center"/>
    </xf>
    <xf numFmtId="0" fontId="83" fillId="0" borderId="61" xfId="372" applyFont="1" applyBorder="1" applyAlignment="1" applyProtection="1">
      <alignment horizontal="center" vertical="center"/>
    </xf>
    <xf numFmtId="0" fontId="83" fillId="0" borderId="3" xfId="372" applyFont="1" applyBorder="1" applyAlignment="1" applyProtection="1">
      <alignment horizontal="center" vertical="center"/>
    </xf>
    <xf numFmtId="0" fontId="83" fillId="0" borderId="0" xfId="372" applyFont="1" applyBorder="1" applyAlignment="1" applyProtection="1">
      <alignment horizontal="center" vertical="center"/>
    </xf>
    <xf numFmtId="0" fontId="83" fillId="0" borderId="46" xfId="372" applyFont="1" applyBorder="1" applyAlignment="1" applyProtection="1">
      <alignment horizontal="center" vertical="center"/>
    </xf>
    <xf numFmtId="0" fontId="83" fillId="0" borderId="34" xfId="372" applyFont="1" applyBorder="1" applyAlignment="1" applyProtection="1">
      <alignment horizontal="center" vertical="center"/>
    </xf>
    <xf numFmtId="0" fontId="83" fillId="0" borderId="27" xfId="372" applyFont="1" applyBorder="1" applyAlignment="1" applyProtection="1">
      <alignment horizontal="center" vertical="center"/>
    </xf>
    <xf numFmtId="0" fontId="83" fillId="0" borderId="19" xfId="372" applyFont="1" applyBorder="1" applyAlignment="1" applyProtection="1">
      <alignment horizontal="center" vertical="center"/>
    </xf>
    <xf numFmtId="0" fontId="22" fillId="4" borderId="29" xfId="372" applyFill="1" applyBorder="1" applyAlignment="1" applyProtection="1">
      <alignment horizontal="left"/>
    </xf>
    <xf numFmtId="0" fontId="22" fillId="4" borderId="43" xfId="372" applyFill="1" applyBorder="1" applyAlignment="1" applyProtection="1">
      <alignment horizontal="left"/>
    </xf>
    <xf numFmtId="0" fontId="22" fillId="4" borderId="32" xfId="372" applyFill="1" applyBorder="1" applyAlignment="1" applyProtection="1">
      <alignment horizontal="left"/>
    </xf>
    <xf numFmtId="0" fontId="65" fillId="2" borderId="0" xfId="372" applyFont="1" applyFill="1" applyBorder="1" applyAlignment="1" applyProtection="1">
      <alignment horizontal="left"/>
    </xf>
    <xf numFmtId="0" fontId="22" fillId="0" borderId="9" xfId="372" applyFont="1" applyBorder="1" applyAlignment="1" applyProtection="1">
      <alignment horizontal="left"/>
    </xf>
    <xf numFmtId="0" fontId="22" fillId="0" borderId="1" xfId="372" applyFont="1" applyBorder="1" applyAlignment="1" applyProtection="1">
      <alignment horizontal="left"/>
    </xf>
    <xf numFmtId="2" fontId="22" fillId="2" borderId="1" xfId="372" applyNumberFormat="1" applyFont="1" applyFill="1" applyBorder="1" applyAlignment="1" applyProtection="1">
      <alignment horizontal="center"/>
    </xf>
    <xf numFmtId="2" fontId="22" fillId="2" borderId="4" xfId="372" applyNumberFormat="1" applyFont="1" applyFill="1" applyBorder="1" applyAlignment="1" applyProtection="1">
      <alignment horizontal="center"/>
    </xf>
    <xf numFmtId="2" fontId="22" fillId="2" borderId="14" xfId="372" applyNumberFormat="1" applyFont="1" applyFill="1" applyBorder="1" applyAlignment="1" applyProtection="1">
      <alignment horizontal="center"/>
    </xf>
    <xf numFmtId="2" fontId="22" fillId="0" borderId="1" xfId="372" applyNumberFormat="1" applyFont="1" applyBorder="1" applyAlignment="1" applyProtection="1">
      <alignment horizontal="center"/>
    </xf>
    <xf numFmtId="2" fontId="22" fillId="0" borderId="4" xfId="372" applyNumberFormat="1" applyFont="1" applyBorder="1" applyAlignment="1" applyProtection="1">
      <alignment horizontal="center"/>
    </xf>
    <xf numFmtId="2" fontId="22" fillId="0" borderId="14" xfId="372" applyNumberFormat="1" applyFont="1" applyBorder="1" applyAlignment="1" applyProtection="1">
      <alignment horizontal="center"/>
    </xf>
    <xf numFmtId="0" fontId="65" fillId="40" borderId="9" xfId="372" applyFont="1" applyFill="1" applyBorder="1" applyAlignment="1" applyProtection="1">
      <alignment horizontal="left"/>
    </xf>
    <xf numFmtId="0" fontId="65" fillId="40" borderId="1" xfId="372" applyFont="1" applyFill="1" applyBorder="1" applyAlignment="1" applyProtection="1">
      <alignment horizontal="left"/>
    </xf>
    <xf numFmtId="2" fontId="65" fillId="40" borderId="1" xfId="372" applyNumberFormat="1" applyFont="1" applyFill="1" applyBorder="1" applyAlignment="1" applyProtection="1">
      <alignment horizontal="center"/>
    </xf>
    <xf numFmtId="2" fontId="65" fillId="40" borderId="4" xfId="372" applyNumberFormat="1" applyFont="1" applyFill="1" applyBorder="1" applyAlignment="1" applyProtection="1">
      <alignment horizontal="center"/>
    </xf>
    <xf numFmtId="2" fontId="65" fillId="40" borderId="14" xfId="372" applyNumberFormat="1" applyFont="1" applyFill="1" applyBorder="1" applyAlignment="1" applyProtection="1">
      <alignment horizontal="center"/>
    </xf>
    <xf numFmtId="2" fontId="22" fillId="30" borderId="4" xfId="372" applyNumberFormat="1" applyFont="1" applyFill="1" applyBorder="1" applyAlignment="1" applyProtection="1">
      <alignment horizontal="center"/>
    </xf>
    <xf numFmtId="2" fontId="22" fillId="30" borderId="5" xfId="372" applyNumberFormat="1" applyFont="1" applyFill="1" applyBorder="1" applyAlignment="1" applyProtection="1">
      <alignment horizontal="center"/>
    </xf>
    <xf numFmtId="2" fontId="22" fillId="30" borderId="40" xfId="372" applyNumberFormat="1" applyFont="1" applyFill="1" applyBorder="1" applyAlignment="1" applyProtection="1">
      <alignment horizontal="center"/>
    </xf>
    <xf numFmtId="0" fontId="22" fillId="30" borderId="13" xfId="372" applyFont="1" applyFill="1" applyBorder="1" applyAlignment="1" applyProtection="1">
      <alignment horizontal="left"/>
    </xf>
    <xf numFmtId="0" fontId="22" fillId="30" borderId="5" xfId="372" applyFont="1" applyFill="1" applyBorder="1" applyAlignment="1" applyProtection="1">
      <alignment horizontal="left"/>
    </xf>
    <xf numFmtId="0" fontId="22" fillId="30" borderId="6" xfId="372" applyFont="1" applyFill="1" applyBorder="1" applyAlignment="1" applyProtection="1">
      <alignment horizontal="left"/>
    </xf>
    <xf numFmtId="2" fontId="65" fillId="40" borderId="5" xfId="372" applyNumberFormat="1" applyFont="1" applyFill="1" applyBorder="1" applyAlignment="1" applyProtection="1">
      <alignment horizontal="center"/>
    </xf>
    <xf numFmtId="2" fontId="65" fillId="40" borderId="40" xfId="372" applyNumberFormat="1" applyFont="1" applyFill="1" applyBorder="1" applyAlignment="1" applyProtection="1">
      <alignment horizontal="center"/>
    </xf>
    <xf numFmtId="0" fontId="65" fillId="40" borderId="13" xfId="372" applyFont="1" applyFill="1" applyBorder="1" applyAlignment="1" applyProtection="1">
      <alignment horizontal="left"/>
    </xf>
    <xf numFmtId="0" fontId="65" fillId="40" borderId="5" xfId="372" applyFont="1" applyFill="1" applyBorder="1" applyAlignment="1" applyProtection="1">
      <alignment horizontal="left"/>
    </xf>
    <xf numFmtId="0" fontId="65" fillId="40" borderId="6" xfId="372" applyFont="1" applyFill="1" applyBorder="1" applyAlignment="1" applyProtection="1">
      <alignment horizontal="left"/>
    </xf>
    <xf numFmtId="2" fontId="68" fillId="31" borderId="16" xfId="372" applyNumberFormat="1" applyFont="1" applyFill="1" applyBorder="1" applyAlignment="1" applyProtection="1">
      <alignment horizontal="center"/>
    </xf>
    <xf numFmtId="2" fontId="68" fillId="31" borderId="42" xfId="372" applyNumberFormat="1" applyFont="1" applyFill="1" applyBorder="1" applyAlignment="1" applyProtection="1">
      <alignment horizontal="center"/>
    </xf>
    <xf numFmtId="2" fontId="68" fillId="31" borderId="17" xfId="372" applyNumberFormat="1" applyFont="1" applyFill="1" applyBorder="1" applyAlignment="1" applyProtection="1">
      <alignment horizontal="center"/>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65" fillId="34" borderId="9" xfId="372" applyFont="1" applyFill="1" applyBorder="1" applyAlignment="1" applyProtection="1">
      <alignment horizontal="left"/>
    </xf>
    <xf numFmtId="0" fontId="65" fillId="34" borderId="1" xfId="372" applyFont="1" applyFill="1" applyBorder="1" applyAlignment="1" applyProtection="1">
      <alignment horizontal="left"/>
    </xf>
    <xf numFmtId="2" fontId="65" fillId="34" borderId="1" xfId="372" applyNumberFormat="1" applyFont="1" applyFill="1" applyBorder="1" applyAlignment="1" applyProtection="1">
      <alignment horizontal="center"/>
    </xf>
    <xf numFmtId="2" fontId="65" fillId="34" borderId="14" xfId="372" applyNumberFormat="1" applyFont="1" applyFill="1" applyBorder="1" applyAlignment="1" applyProtection="1">
      <alignment horizontal="center"/>
    </xf>
    <xf numFmtId="0" fontId="83" fillId="4" borderId="58" xfId="372" applyFont="1" applyFill="1" applyBorder="1" applyAlignment="1" applyProtection="1">
      <alignment horizontal="center" vertical="center"/>
    </xf>
    <xf numFmtId="0" fontId="83" fillId="4" borderId="59" xfId="372" applyFont="1" applyFill="1" applyBorder="1" applyAlignment="1" applyProtection="1">
      <alignment horizontal="center" vertical="center"/>
    </xf>
    <xf numFmtId="0" fontId="83" fillId="4" borderId="37" xfId="372" applyFont="1" applyFill="1" applyBorder="1" applyAlignment="1" applyProtection="1">
      <alignment horizontal="center" vertical="center"/>
    </xf>
    <xf numFmtId="0" fontId="83" fillId="4" borderId="52" xfId="372" applyFont="1" applyFill="1" applyBorder="1" applyAlignment="1" applyProtection="1">
      <alignment horizontal="center" vertical="center"/>
    </xf>
    <xf numFmtId="0" fontId="22" fillId="30" borderId="9" xfId="372" applyFont="1" applyFill="1" applyBorder="1" applyAlignment="1" applyProtection="1">
      <alignment horizontal="left"/>
    </xf>
    <xf numFmtId="0" fontId="22" fillId="30" borderId="1" xfId="372" applyFont="1" applyFill="1" applyBorder="1" applyAlignment="1" applyProtection="1">
      <alignment horizontal="left"/>
    </xf>
    <xf numFmtId="2" fontId="61" fillId="30" borderId="1" xfId="372" applyNumberFormat="1" applyFont="1" applyFill="1" applyBorder="1" applyAlignment="1" applyProtection="1">
      <alignment horizontal="center"/>
    </xf>
    <xf numFmtId="2" fontId="61" fillId="30" borderId="4" xfId="372" applyNumberFormat="1" applyFont="1" applyFill="1" applyBorder="1" applyAlignment="1" applyProtection="1">
      <alignment horizontal="center"/>
    </xf>
    <xf numFmtId="2" fontId="61" fillId="30" borderId="14" xfId="372" applyNumberFormat="1" applyFont="1" applyFill="1" applyBorder="1" applyAlignment="1" applyProtection="1">
      <alignment horizontal="center"/>
    </xf>
    <xf numFmtId="0" fontId="61" fillId="3" borderId="9" xfId="372" applyFont="1" applyFill="1" applyBorder="1" applyAlignment="1" applyProtection="1">
      <alignment horizontal="left"/>
      <protection locked="0"/>
    </xf>
    <xf numFmtId="0" fontId="61" fillId="3" borderId="1" xfId="372" applyFont="1" applyFill="1" applyBorder="1" applyAlignment="1" applyProtection="1">
      <alignment horizontal="left"/>
      <protection locked="0"/>
    </xf>
    <xf numFmtId="0" fontId="61" fillId="3" borderId="1" xfId="372" applyFont="1" applyFill="1" applyBorder="1" applyAlignment="1" applyProtection="1">
      <alignment horizontal="center"/>
      <protection locked="0"/>
    </xf>
    <xf numFmtId="0" fontId="61" fillId="3" borderId="14" xfId="372" applyFont="1" applyFill="1" applyBorder="1" applyAlignment="1" applyProtection="1">
      <alignment horizontal="center"/>
      <protection locked="0"/>
    </xf>
    <xf numFmtId="0" fontId="65" fillId="32" borderId="41" xfId="372" applyFont="1" applyFill="1" applyBorder="1" applyAlignment="1" applyProtection="1">
      <alignment horizontal="left"/>
    </xf>
    <xf numFmtId="0" fontId="65" fillId="32" borderId="45" xfId="372" applyFont="1" applyFill="1" applyBorder="1" applyAlignment="1" applyProtection="1">
      <alignment horizontal="left"/>
    </xf>
    <xf numFmtId="0" fontId="65" fillId="32" borderId="104" xfId="372" applyFont="1" applyFill="1" applyBorder="1" applyAlignment="1" applyProtection="1">
      <alignment horizontal="left"/>
    </xf>
    <xf numFmtId="2" fontId="65" fillId="32" borderId="99" xfId="372" applyNumberFormat="1" applyFont="1" applyFill="1" applyBorder="1" applyAlignment="1" applyProtection="1">
      <alignment horizontal="center"/>
    </xf>
    <xf numFmtId="2" fontId="65" fillId="32" borderId="45" xfId="372" applyNumberFormat="1" applyFont="1" applyFill="1" applyBorder="1" applyAlignment="1" applyProtection="1">
      <alignment horizontal="center"/>
    </xf>
    <xf numFmtId="2" fontId="65" fillId="32" borderId="78" xfId="372" applyNumberFormat="1" applyFont="1" applyFill="1" applyBorder="1" applyAlignment="1" applyProtection="1">
      <alignment horizontal="center"/>
    </xf>
    <xf numFmtId="0" fontId="80" fillId="4" borderId="9" xfId="372" applyFont="1" applyFill="1" applyBorder="1" applyAlignment="1" applyProtection="1">
      <alignment horizontal="left"/>
    </xf>
    <xf numFmtId="0" fontId="80" fillId="4" borderId="1" xfId="372" applyFont="1" applyFill="1" applyBorder="1" applyAlignment="1" applyProtection="1">
      <alignment horizontal="left"/>
    </xf>
    <xf numFmtId="0" fontId="80" fillId="4" borderId="14" xfId="372" applyFont="1" applyFill="1" applyBorder="1" applyAlignment="1" applyProtection="1">
      <alignment horizontal="left"/>
    </xf>
    <xf numFmtId="0" fontId="61" fillId="4" borderId="9" xfId="372" applyFont="1" applyFill="1" applyBorder="1" applyAlignment="1" applyProtection="1">
      <alignment horizontal="left"/>
    </xf>
    <xf numFmtId="0" fontId="61" fillId="4" borderId="1" xfId="372" applyFont="1" applyFill="1" applyBorder="1" applyAlignment="1" applyProtection="1">
      <alignment horizontal="left"/>
    </xf>
    <xf numFmtId="2" fontId="61" fillId="4" borderId="1" xfId="372" applyNumberFormat="1" applyFont="1" applyFill="1" applyBorder="1" applyAlignment="1" applyProtection="1">
      <alignment horizontal="center"/>
    </xf>
    <xf numFmtId="2" fontId="61" fillId="4" borderId="14" xfId="372" applyNumberFormat="1" applyFont="1" applyFill="1" applyBorder="1" applyAlignment="1" applyProtection="1">
      <alignment horizontal="center"/>
    </xf>
    <xf numFmtId="0" fontId="83" fillId="4" borderId="58" xfId="372" applyFont="1" applyFill="1" applyBorder="1" applyAlignment="1" applyProtection="1">
      <alignment horizontal="center" vertical="center" wrapText="1"/>
    </xf>
    <xf numFmtId="0" fontId="83" fillId="4" borderId="59" xfId="372" applyFont="1" applyFill="1" applyBorder="1" applyAlignment="1" applyProtection="1">
      <alignment horizontal="center" vertical="center" wrapText="1"/>
    </xf>
    <xf numFmtId="0" fontId="83" fillId="4" borderId="52" xfId="372" applyFont="1" applyFill="1" applyBorder="1" applyAlignment="1" applyProtection="1">
      <alignment horizontal="center" vertical="center" wrapText="1"/>
    </xf>
    <xf numFmtId="0" fontId="22" fillId="28" borderId="9" xfId="372" applyFont="1" applyFill="1" applyBorder="1" applyAlignment="1" applyProtection="1">
      <alignment horizontal="left"/>
    </xf>
    <xf numFmtId="0" fontId="22" fillId="28" borderId="1" xfId="372" applyFont="1" applyFill="1" applyBorder="1" applyAlignment="1" applyProtection="1">
      <alignment horizontal="left"/>
    </xf>
    <xf numFmtId="2" fontId="22" fillId="28" borderId="1" xfId="372" applyNumberFormat="1" applyFont="1" applyFill="1" applyBorder="1" applyAlignment="1" applyProtection="1">
      <alignment horizontal="center"/>
    </xf>
    <xf numFmtId="2" fontId="22" fillId="28" borderId="14" xfId="372" applyNumberFormat="1" applyFont="1" applyFill="1" applyBorder="1" applyAlignment="1" applyProtection="1">
      <alignment horizontal="center"/>
    </xf>
    <xf numFmtId="0" fontId="61" fillId="33" borderId="9" xfId="372" applyFont="1" applyFill="1" applyBorder="1" applyAlignment="1" applyProtection="1">
      <alignment horizontal="left"/>
    </xf>
    <xf numFmtId="0" fontId="61" fillId="33" borderId="1" xfId="372" applyFont="1" applyFill="1" applyBorder="1" applyAlignment="1" applyProtection="1">
      <alignment horizontal="left"/>
    </xf>
    <xf numFmtId="2" fontId="61" fillId="33" borderId="1" xfId="372" applyNumberFormat="1" applyFont="1" applyFill="1" applyBorder="1" applyAlignment="1" applyProtection="1">
      <alignment horizontal="center"/>
    </xf>
    <xf numFmtId="2" fontId="61" fillId="33" borderId="14" xfId="372" applyNumberFormat="1" applyFont="1" applyFill="1" applyBorder="1" applyAlignment="1" applyProtection="1">
      <alignment horizontal="center"/>
    </xf>
    <xf numFmtId="0" fontId="61" fillId="20" borderId="9" xfId="372" applyFont="1" applyFill="1" applyBorder="1" applyAlignment="1" applyProtection="1">
      <alignment horizontal="left"/>
    </xf>
    <xf numFmtId="0" fontId="61" fillId="20" borderId="1" xfId="372" applyFont="1" applyFill="1" applyBorder="1" applyAlignment="1" applyProtection="1">
      <alignment horizontal="left"/>
    </xf>
    <xf numFmtId="0" fontId="94" fillId="3" borderId="3" xfId="372" applyFont="1" applyFill="1" applyBorder="1" applyAlignment="1" applyProtection="1">
      <alignment horizontal="center" vertical="center" wrapText="1"/>
    </xf>
    <xf numFmtId="0" fontId="94" fillId="3" borderId="0" xfId="372" applyFont="1" applyFill="1" applyBorder="1" applyAlignment="1" applyProtection="1">
      <alignment horizontal="center" vertical="center" wrapText="1"/>
    </xf>
    <xf numFmtId="0" fontId="94" fillId="3" borderId="87" xfId="372" applyFont="1" applyFill="1" applyBorder="1" applyAlignment="1" applyProtection="1">
      <alignment horizontal="center" vertical="center" wrapText="1"/>
    </xf>
    <xf numFmtId="0" fontId="84" fillId="0" borderId="0" xfId="372" applyFont="1" applyBorder="1" applyAlignment="1" applyProtection="1">
      <alignment horizontal="center"/>
    </xf>
    <xf numFmtId="0" fontId="85" fillId="32" borderId="23" xfId="372" applyNumberFormat="1" applyFont="1" applyFill="1" applyBorder="1" applyAlignment="1" applyProtection="1">
      <alignment horizontal="center"/>
    </xf>
    <xf numFmtId="0" fontId="85" fillId="32" borderId="24" xfId="372" applyNumberFormat="1" applyFont="1" applyFill="1" applyBorder="1" applyAlignment="1" applyProtection="1">
      <alignment horizontal="center"/>
    </xf>
    <xf numFmtId="0" fontId="43" fillId="5" borderId="11" xfId="372" applyFont="1" applyFill="1" applyBorder="1" applyAlignment="1" applyProtection="1">
      <alignment horizontal="center"/>
    </xf>
    <xf numFmtId="0" fontId="43" fillId="5" borderId="38" xfId="372" applyFont="1" applyFill="1" applyBorder="1" applyAlignment="1" applyProtection="1">
      <alignment horizontal="center"/>
    </xf>
    <xf numFmtId="0" fontId="43" fillId="5" borderId="39" xfId="372" applyFont="1" applyFill="1" applyBorder="1" applyAlignment="1" applyProtection="1">
      <alignment horizontal="center"/>
    </xf>
    <xf numFmtId="2" fontId="61" fillId="20" borderId="1" xfId="372" applyNumberFormat="1" applyFont="1" applyFill="1" applyBorder="1" applyAlignment="1" applyProtection="1">
      <alignment horizontal="center"/>
    </xf>
    <xf numFmtId="2" fontId="61" fillId="20" borderId="14" xfId="372" applyNumberFormat="1" applyFont="1" applyFill="1" applyBorder="1" applyAlignment="1" applyProtection="1">
      <alignment horizontal="center"/>
    </xf>
    <xf numFmtId="0" fontId="65" fillId="0" borderId="0" xfId="372" applyFont="1" applyBorder="1" applyAlignment="1" applyProtection="1">
      <alignment horizontal="left"/>
    </xf>
    <xf numFmtId="0" fontId="43" fillId="5" borderId="4" xfId="372" applyFont="1" applyFill="1" applyBorder="1" applyAlignment="1" applyProtection="1">
      <alignment horizontal="center"/>
    </xf>
    <xf numFmtId="0" fontId="43" fillId="5" borderId="5" xfId="372" applyFont="1" applyFill="1" applyBorder="1" applyAlignment="1" applyProtection="1">
      <alignment horizontal="center"/>
    </xf>
    <xf numFmtId="0" fontId="43" fillId="5" borderId="6" xfId="372" applyFont="1" applyFill="1" applyBorder="1" applyAlignment="1" applyProtection="1">
      <alignment horizontal="center"/>
    </xf>
    <xf numFmtId="0" fontId="37" fillId="0" borderId="62" xfId="372" applyFont="1" applyBorder="1" applyAlignment="1" applyProtection="1">
      <alignment horizontal="center" vertical="center" wrapText="1"/>
    </xf>
    <xf numFmtId="0" fontId="37" fillId="0" borderId="18" xfId="372" applyFont="1" applyBorder="1" applyAlignment="1" applyProtection="1">
      <alignment horizontal="center" vertical="center" wrapText="1"/>
    </xf>
    <xf numFmtId="2" fontId="22" fillId="30" borderId="1" xfId="372" applyNumberFormat="1" applyFont="1" applyFill="1" applyBorder="1" applyAlignment="1" applyProtection="1">
      <alignment horizontal="center"/>
    </xf>
    <xf numFmtId="2" fontId="22" fillId="30" borderId="14" xfId="372" applyNumberFormat="1" applyFont="1" applyFill="1" applyBorder="1" applyAlignment="1" applyProtection="1">
      <alignment horizontal="center"/>
    </xf>
    <xf numFmtId="0" fontId="83" fillId="4" borderId="11" xfId="372" applyFont="1" applyFill="1" applyBorder="1" applyAlignment="1" applyProtection="1">
      <alignment horizontal="center" vertical="center" wrapText="1"/>
    </xf>
    <xf numFmtId="0" fontId="83" fillId="4" borderId="38" xfId="372" applyFont="1" applyFill="1" applyBorder="1" applyAlignment="1" applyProtection="1">
      <alignment horizontal="center" vertical="center" wrapText="1"/>
    </xf>
    <xf numFmtId="0" fontId="83" fillId="4" borderId="39" xfId="372" applyFont="1" applyFill="1" applyBorder="1" applyAlignment="1" applyProtection="1">
      <alignment horizontal="center" vertical="center" wrapText="1"/>
    </xf>
    <xf numFmtId="2" fontId="22" fillId="0" borderId="5" xfId="372" applyNumberFormat="1" applyFont="1" applyBorder="1" applyAlignment="1" applyProtection="1">
      <alignment horizontal="center"/>
    </xf>
    <xf numFmtId="2" fontId="22" fillId="0" borderId="40" xfId="372" applyNumberFormat="1" applyFont="1" applyBorder="1" applyAlignment="1" applyProtection="1">
      <alignment horizontal="center"/>
    </xf>
    <xf numFmtId="0" fontId="95" fillId="32" borderId="36" xfId="0" applyFont="1" applyFill="1" applyBorder="1" applyAlignment="1">
      <alignment horizontal="center" vertical="center" textRotation="90"/>
    </xf>
    <xf numFmtId="0" fontId="95" fillId="32" borderId="33" xfId="0" applyFont="1" applyFill="1" applyBorder="1" applyAlignment="1">
      <alignment horizontal="center" vertical="center" textRotation="90"/>
    </xf>
    <xf numFmtId="0" fontId="95" fillId="32" borderId="41" xfId="0" applyFont="1" applyFill="1" applyBorder="1" applyAlignment="1">
      <alignment horizontal="center" vertical="center" textRotation="90"/>
    </xf>
    <xf numFmtId="0" fontId="95" fillId="32" borderId="36" xfId="0" applyFont="1" applyFill="1" applyBorder="1" applyAlignment="1">
      <alignment horizontal="center" vertical="center"/>
    </xf>
    <xf numFmtId="0" fontId="95" fillId="32" borderId="33" xfId="0" applyFont="1" applyFill="1" applyBorder="1" applyAlignment="1">
      <alignment horizontal="center" vertical="center"/>
    </xf>
    <xf numFmtId="49" fontId="0" fillId="2" borderId="1"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9" xfId="0" applyFill="1" applyBorder="1" applyAlignment="1">
      <alignment horizontal="left" vertical="center" wrapText="1"/>
    </xf>
    <xf numFmtId="0" fontId="0" fillId="4" borderId="99" xfId="0" applyFill="1" applyBorder="1" applyAlignment="1">
      <alignment horizontal="left" vertical="center" wrapText="1"/>
    </xf>
    <xf numFmtId="0" fontId="0" fillId="4" borderId="45" xfId="0" applyFill="1" applyBorder="1" applyAlignment="1">
      <alignment horizontal="left" vertical="center" wrapText="1"/>
    </xf>
    <xf numFmtId="0" fontId="0" fillId="4" borderId="78" xfId="0" applyFill="1" applyBorder="1" applyAlignment="1">
      <alignment horizontal="left" vertical="center" wrapText="1"/>
    </xf>
    <xf numFmtId="49" fontId="0" fillId="5" borderId="4" xfId="0" applyNumberFormat="1" applyFill="1" applyBorder="1" applyAlignment="1">
      <alignment horizontal="left" wrapText="1"/>
    </xf>
    <xf numFmtId="49" fontId="0" fillId="5" borderId="6" xfId="0" applyNumberFormat="1" applyFill="1" applyBorder="1" applyAlignment="1">
      <alignment horizontal="left" wrapText="1"/>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49" fontId="0" fillId="5" borderId="5" xfId="0" applyNumberFormat="1" applyFill="1" applyBorder="1" applyAlignment="1">
      <alignment horizontal="left"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0" fontId="74" fillId="4" borderId="33" xfId="0" applyFont="1" applyFill="1" applyBorder="1" applyAlignment="1">
      <alignment horizontal="center" wrapText="1"/>
    </xf>
    <xf numFmtId="0" fontId="74" fillId="4" borderId="0" xfId="0" applyFont="1" applyFill="1" applyBorder="1" applyAlignment="1">
      <alignment horizontal="center" wrapText="1"/>
    </xf>
    <xf numFmtId="0" fontId="74" fillId="4" borderId="87"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18" fillId="0" borderId="0" xfId="0" applyFont="1" applyBorder="1" applyAlignment="1">
      <alignment horizontal="center"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49" fontId="74" fillId="4" borderId="3" xfId="0" applyNumberFormat="1" applyFont="1" applyFill="1" applyBorder="1" applyAlignment="1">
      <alignment horizontal="center" wrapText="1"/>
    </xf>
    <xf numFmtId="49" fontId="74" fillId="4" borderId="0" xfId="0" applyNumberFormat="1" applyFont="1" applyFill="1" applyBorder="1" applyAlignment="1">
      <alignment horizontal="center" wrapText="1"/>
    </xf>
    <xf numFmtId="49" fontId="74" fillId="4" borderId="87" xfId="0" applyNumberFormat="1" applyFont="1" applyFill="1" applyBorder="1" applyAlignment="1">
      <alignment horizontal="center" wrapText="1"/>
    </xf>
    <xf numFmtId="49" fontId="6" fillId="4" borderId="94" xfId="0" applyNumberFormat="1" applyFont="1" applyFill="1" applyBorder="1" applyAlignment="1">
      <alignment horizontal="center" wrapText="1"/>
    </xf>
    <xf numFmtId="49" fontId="6" fillId="4" borderId="60" xfId="0" applyNumberFormat="1" applyFont="1" applyFill="1" applyBorder="1" applyAlignment="1">
      <alignment horizontal="center" wrapText="1"/>
    </xf>
    <xf numFmtId="49" fontId="6" fillId="4" borderId="66"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0" fontId="0" fillId="5" borderId="41" xfId="0" applyNumberFormat="1" applyFill="1" applyBorder="1" applyAlignment="1">
      <alignment horizontal="left"/>
    </xf>
    <xf numFmtId="0" fontId="0" fillId="5" borderId="45" xfId="0" applyNumberFormat="1" applyFill="1" applyBorder="1" applyAlignment="1">
      <alignment horizontal="left"/>
    </xf>
    <xf numFmtId="0" fontId="0" fillId="5" borderId="104" xfId="0" applyNumberFormat="1" applyFill="1" applyBorder="1" applyAlignment="1">
      <alignment horizontal="left"/>
    </xf>
    <xf numFmtId="2" fontId="0" fillId="7" borderId="13" xfId="0" applyNumberFormat="1" applyFill="1" applyBorder="1" applyAlignment="1">
      <alignment horizontal="center"/>
    </xf>
    <xf numFmtId="2" fontId="0" fillId="7" borderId="40" xfId="0" applyNumberForma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0" fillId="7" borderId="29" xfId="0" applyNumberFormat="1" applyFill="1" applyBorder="1" applyAlignment="1">
      <alignment horizontal="center"/>
    </xf>
    <xf numFmtId="2" fontId="0" fillId="7" borderId="44" xfId="0" applyNumberFormat="1" applyFill="1" applyBorder="1" applyAlignment="1">
      <alignment horizontal="center"/>
    </xf>
    <xf numFmtId="2" fontId="0" fillId="4" borderId="13" xfId="0" applyNumberFormat="1" applyFill="1" applyBorder="1" applyAlignment="1">
      <alignment horizontal="center" wrapText="1"/>
    </xf>
    <xf numFmtId="2" fontId="0" fillId="4" borderId="40" xfId="0" applyNumberFormat="1" applyFill="1" applyBorder="1" applyAlignment="1">
      <alignment horizontal="center" wrapText="1"/>
    </xf>
    <xf numFmtId="49" fontId="0" fillId="7" borderId="4" xfId="0" applyNumberFormat="1" applyFill="1" applyBorder="1" applyAlignment="1">
      <alignment horizontal="left" wrapText="1"/>
    </xf>
    <xf numFmtId="49" fontId="0" fillId="7" borderId="5" xfId="0" applyNumberFormat="1" applyFill="1" applyBorder="1" applyAlignment="1">
      <alignment horizontal="left" wrapText="1"/>
    </xf>
    <xf numFmtId="0" fontId="98" fillId="0" borderId="0" xfId="0" applyFont="1" applyAlignment="1">
      <alignment horizontal="left" wrapText="1"/>
    </xf>
    <xf numFmtId="2" fontId="98" fillId="2" borderId="0" xfId="0" applyNumberFormat="1" applyFont="1" applyFill="1" applyBorder="1" applyAlignment="1">
      <alignment horizontal="left" wrapText="1"/>
    </xf>
    <xf numFmtId="1" fontId="0" fillId="5" borderId="1" xfId="0" applyNumberFormat="1" applyFill="1" applyBorder="1" applyAlignment="1" applyProtection="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pplyProtection="1">
      <alignment horizontal="right"/>
    </xf>
    <xf numFmtId="2" fontId="0" fillId="5" borderId="40" xfId="0" applyNumberFormat="1" applyFill="1" applyBorder="1" applyAlignment="1" applyProtection="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4" fillId="4" borderId="2" xfId="0" applyNumberFormat="1" applyFont="1" applyFill="1" applyBorder="1" applyAlignment="1">
      <alignment horizontal="center" vertical="center" wrapText="1"/>
    </xf>
    <xf numFmtId="0" fontId="74" fillId="4" borderId="10" xfId="0" applyNumberFormat="1" applyFont="1" applyFill="1" applyBorder="1" applyAlignment="1">
      <alignment horizontal="center" vertical="center" wrapText="1"/>
    </xf>
    <xf numFmtId="0" fontId="74" fillId="4" borderId="79" xfId="0" applyNumberFormat="1" applyFont="1" applyFill="1" applyBorder="1" applyAlignment="1">
      <alignment horizontal="center" vertical="center" wrapText="1"/>
    </xf>
    <xf numFmtId="2" fontId="98" fillId="2" borderId="0" xfId="0" applyNumberFormat="1" applyFont="1" applyFill="1" applyBorder="1" applyAlignment="1">
      <alignment horizontal="left"/>
    </xf>
    <xf numFmtId="2" fontId="99" fillId="2" borderId="45" xfId="0" applyNumberFormat="1" applyFont="1" applyFill="1" applyBorder="1" applyAlignment="1">
      <alignment horizontal="left" wrapText="1"/>
    </xf>
    <xf numFmtId="0" fontId="113" fillId="2" borderId="45" xfId="0" applyFont="1" applyFill="1" applyBorder="1" applyAlignment="1">
      <alignment horizontal="center" vertical="center"/>
    </xf>
    <xf numFmtId="0" fontId="98" fillId="0" borderId="60" xfId="0" applyFont="1" applyBorder="1" applyAlignment="1">
      <alignment horizontal="left"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6"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2" fontId="0" fillId="5" borderId="40" xfId="0" applyNumberFormat="1" applyFill="1" applyBorder="1" applyAlignment="1">
      <alignment horizontal="center"/>
    </xf>
    <xf numFmtId="0" fontId="95" fillId="32" borderId="68" xfId="0" applyFont="1" applyFill="1" applyBorder="1" applyAlignment="1">
      <alignment horizontal="center" vertical="center"/>
    </xf>
    <xf numFmtId="0" fontId="95" fillId="32" borderId="69" xfId="0" applyFont="1" applyFill="1" applyBorder="1" applyAlignment="1">
      <alignment horizontal="center" vertical="center"/>
    </xf>
    <xf numFmtId="0" fontId="95" fillId="32" borderId="67" xfId="0" applyFont="1" applyFill="1" applyBorder="1" applyAlignment="1">
      <alignment horizontal="center" vertical="center"/>
    </xf>
    <xf numFmtId="0" fontId="0" fillId="5" borderId="1" xfId="0" applyFill="1" applyBorder="1" applyAlignment="1">
      <alignment horizontal="right"/>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2" fontId="0" fillId="5" borderId="13" xfId="0" applyNumberFormat="1" applyFill="1" applyBorder="1" applyAlignment="1">
      <alignment horizontal="center"/>
    </xf>
    <xf numFmtId="0" fontId="90" fillId="32" borderId="36" xfId="0" applyFont="1" applyFill="1" applyBorder="1" applyAlignment="1">
      <alignment horizontal="center" vertical="center"/>
    </xf>
    <xf numFmtId="0" fontId="90" fillId="32" borderId="60" xfId="0" applyFont="1" applyFill="1" applyBorder="1" applyAlignment="1">
      <alignment horizontal="center" vertical="center"/>
    </xf>
    <xf numFmtId="0" fontId="90" fillId="32" borderId="61" xfId="0" applyFont="1" applyFill="1" applyBorder="1" applyAlignment="1">
      <alignment horizontal="center" vertical="center"/>
    </xf>
    <xf numFmtId="0" fontId="88" fillId="32" borderId="62" xfId="0" applyFont="1" applyFill="1" applyBorder="1" applyAlignment="1">
      <alignment horizontal="center" vertical="center" wrapText="1"/>
    </xf>
    <xf numFmtId="0" fontId="88" fillId="32" borderId="64" xfId="0" applyFont="1" applyFill="1" applyBorder="1" applyAlignment="1">
      <alignment horizontal="center" vertical="center" wrapText="1"/>
    </xf>
    <xf numFmtId="0" fontId="17" fillId="32" borderId="33" xfId="0" applyFont="1" applyFill="1" applyBorder="1" applyAlignment="1">
      <alignment horizontal="left" vertical="center" wrapText="1"/>
    </xf>
    <xf numFmtId="0" fontId="17" fillId="32" borderId="0" xfId="0" applyFont="1" applyFill="1" applyAlignment="1">
      <alignment horizontal="left" vertical="center" wrapText="1"/>
    </xf>
    <xf numFmtId="0" fontId="17" fillId="32" borderId="46" xfId="0" applyFont="1" applyFill="1" applyBorder="1" applyAlignment="1">
      <alignment horizontal="left" vertical="center" wrapText="1"/>
    </xf>
    <xf numFmtId="0" fontId="114" fillId="32" borderId="41" xfId="0" applyFont="1" applyFill="1" applyBorder="1" applyAlignment="1">
      <alignment horizontal="left" vertical="center" wrapText="1"/>
    </xf>
    <xf numFmtId="0" fontId="114" fillId="32" borderId="45" xfId="0" applyFont="1" applyFill="1" applyBorder="1" applyAlignment="1">
      <alignment horizontal="left" vertical="center" wrapText="1"/>
    </xf>
    <xf numFmtId="0" fontId="114" fillId="32" borderId="104" xfId="0" applyFont="1" applyFill="1" applyBorder="1" applyAlignment="1">
      <alignment horizontal="left" vertical="center" wrapText="1"/>
    </xf>
    <xf numFmtId="0" fontId="0" fillId="2" borderId="26" xfId="0" applyFont="1" applyFill="1" applyBorder="1" applyAlignment="1" applyProtection="1">
      <alignment horizontal="left" vertical="center"/>
      <protection locked="0"/>
    </xf>
    <xf numFmtId="0" fontId="0" fillId="2" borderId="12" xfId="0" applyFont="1" applyFill="1" applyBorder="1" applyAlignment="1" applyProtection="1">
      <alignment horizontal="left" vertical="center"/>
      <protection locked="0"/>
    </xf>
    <xf numFmtId="0" fontId="81" fillId="2" borderId="9" xfId="0"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91" fillId="32" borderId="36" xfId="0" applyFont="1" applyFill="1" applyBorder="1" applyAlignment="1">
      <alignment horizontal="left"/>
    </xf>
    <xf numFmtId="0" fontId="91" fillId="32" borderId="60" xfId="0" applyFont="1" applyFill="1" applyBorder="1" applyAlignment="1">
      <alignment horizontal="left"/>
    </xf>
    <xf numFmtId="0" fontId="91" fillId="32" borderId="66" xfId="0" applyFont="1" applyFill="1" applyBorder="1" applyAlignment="1">
      <alignment horizontal="left"/>
    </xf>
    <xf numFmtId="0" fontId="91" fillId="38" borderId="23" xfId="0" applyFont="1" applyFill="1" applyBorder="1" applyAlignment="1">
      <alignment horizontal="left" vertical="center"/>
    </xf>
    <xf numFmtId="0" fontId="91" fillId="38" borderId="24" xfId="0" applyFont="1" applyFill="1" applyBorder="1" applyAlignment="1">
      <alignment horizontal="left" vertical="center"/>
    </xf>
    <xf numFmtId="0" fontId="0" fillId="2" borderId="36" xfId="0" applyFont="1" applyFill="1" applyBorder="1" applyAlignment="1" applyProtection="1">
      <alignment horizontal="left" vertical="center"/>
      <protection locked="0"/>
    </xf>
    <xf numFmtId="0" fontId="0" fillId="2" borderId="60" xfId="0" applyFont="1" applyFill="1" applyBorder="1" applyAlignment="1" applyProtection="1">
      <alignment horizontal="left" vertical="center"/>
      <protection locked="0"/>
    </xf>
    <xf numFmtId="0" fontId="0" fillId="2" borderId="66" xfId="0" applyFont="1" applyFill="1" applyBorder="1" applyAlignment="1" applyProtection="1">
      <alignment horizontal="left" vertical="center"/>
      <protection locked="0"/>
    </xf>
    <xf numFmtId="0" fontId="88" fillId="32" borderId="20" xfId="0" applyFont="1" applyFill="1" applyBorder="1" applyAlignment="1">
      <alignment horizontal="left" vertical="center" wrapText="1"/>
    </xf>
    <xf numFmtId="0" fontId="88" fillId="32" borderId="21" xfId="0" applyFont="1" applyFill="1" applyBorder="1" applyAlignment="1">
      <alignment horizontal="left" vertical="center" wrapText="1"/>
    </xf>
    <xf numFmtId="0" fontId="88" fillId="32" borderId="95" xfId="0" applyFont="1" applyFill="1" applyBorder="1" applyAlignment="1">
      <alignment horizontal="left" vertical="center"/>
    </xf>
    <xf numFmtId="0" fontId="88" fillId="32" borderId="24" xfId="0" applyFont="1" applyFill="1" applyBorder="1" applyAlignment="1">
      <alignment horizontal="left" vertical="center"/>
    </xf>
    <xf numFmtId="0" fontId="89" fillId="38" borderId="23" xfId="0" applyFont="1" applyFill="1" applyBorder="1" applyAlignment="1">
      <alignment horizontal="left" vertical="center"/>
    </xf>
    <xf numFmtId="0" fontId="89" fillId="38" borderId="24" xfId="0" applyFont="1" applyFill="1" applyBorder="1" applyAlignment="1">
      <alignment horizontal="left" vertical="center"/>
    </xf>
    <xf numFmtId="0" fontId="89" fillId="38" borderId="28" xfId="0" applyFont="1" applyFill="1" applyBorder="1" applyAlignment="1">
      <alignment horizontal="left" vertical="center"/>
    </xf>
    <xf numFmtId="0" fontId="88" fillId="32" borderId="58" xfId="0" applyFont="1" applyFill="1" applyBorder="1" applyAlignment="1">
      <alignment horizontal="left" vertical="center"/>
    </xf>
    <xf numFmtId="0" fontId="88" fillId="32" borderId="59" xfId="0" applyFont="1" applyFill="1" applyBorder="1" applyAlignment="1">
      <alignment horizontal="left" vertical="center"/>
    </xf>
    <xf numFmtId="0" fontId="81" fillId="5" borderId="13" xfId="0" applyFont="1" applyFill="1" applyBorder="1" applyAlignment="1">
      <alignment horizontal="left" vertical="center"/>
    </xf>
    <xf numFmtId="0" fontId="81" fillId="5" borderId="5" xfId="0" applyFont="1" applyFill="1" applyBorder="1" applyAlignment="1">
      <alignment horizontal="left" vertical="center"/>
    </xf>
    <xf numFmtId="0" fontId="81" fillId="5" borderId="6" xfId="0" applyFont="1" applyFill="1" applyBorder="1" applyAlignment="1">
      <alignment horizontal="left" vertical="center"/>
    </xf>
    <xf numFmtId="0" fontId="81" fillId="5" borderId="4" xfId="0" applyFont="1" applyFill="1" applyBorder="1" applyAlignment="1">
      <alignment horizontal="left" vertical="center"/>
    </xf>
    <xf numFmtId="0" fontId="87" fillId="38" borderId="23" xfId="0" applyFont="1" applyFill="1" applyBorder="1" applyAlignment="1">
      <alignment horizontal="left" vertical="center"/>
    </xf>
    <xf numFmtId="0" fontId="87" fillId="38" borderId="24" xfId="0" applyFont="1" applyFill="1" applyBorder="1" applyAlignment="1">
      <alignment horizontal="left" vertical="center"/>
    </xf>
    <xf numFmtId="0" fontId="87" fillId="38" borderId="28" xfId="0" applyFont="1" applyFill="1" applyBorder="1" applyAlignment="1">
      <alignment horizontal="left" vertical="center"/>
    </xf>
    <xf numFmtId="0" fontId="95" fillId="32" borderId="0" xfId="0" applyFont="1" applyFill="1" applyAlignment="1">
      <alignment horizontal="center" vertical="center" textRotation="90" wrapText="1"/>
    </xf>
    <xf numFmtId="0" fontId="0" fillId="0" borderId="9" xfId="0" applyFill="1" applyBorder="1" applyAlignment="1">
      <alignment horizontal="left"/>
    </xf>
    <xf numFmtId="0" fontId="0" fillId="0" borderId="1" xfId="0" applyFill="1"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95" fillId="32" borderId="87" xfId="0" applyFont="1" applyFill="1" applyBorder="1" applyAlignment="1">
      <alignment horizontal="center" vertical="center" textRotation="90"/>
    </xf>
    <xf numFmtId="0" fontId="110" fillId="32" borderId="36" xfId="0" applyFont="1" applyFill="1" applyBorder="1" applyAlignment="1">
      <alignment horizontal="center"/>
    </xf>
    <xf numFmtId="0" fontId="110" fillId="32" borderId="60" xfId="0" applyFont="1" applyFill="1" applyBorder="1" applyAlignment="1">
      <alignment horizontal="center"/>
    </xf>
    <xf numFmtId="0" fontId="110" fillId="32" borderId="66" xfId="0" applyFont="1" applyFill="1" applyBorder="1" applyAlignment="1">
      <alignment horizontal="center"/>
    </xf>
    <xf numFmtId="14" fontId="110" fillId="32" borderId="33" xfId="0" applyNumberFormat="1" applyFont="1" applyFill="1" applyBorder="1" applyAlignment="1">
      <alignment horizontal="center"/>
    </xf>
    <xf numFmtId="14" fontId="110" fillId="32" borderId="0" xfId="0" applyNumberFormat="1" applyFont="1" applyFill="1" applyBorder="1" applyAlignment="1">
      <alignment horizontal="center"/>
    </xf>
    <xf numFmtId="14" fontId="110" fillId="32" borderId="87" xfId="0" applyNumberFormat="1" applyFont="1" applyFill="1" applyBorder="1" applyAlignment="1">
      <alignment horizontal="center"/>
    </xf>
    <xf numFmtId="0" fontId="0" fillId="2" borderId="58" xfId="0" applyFont="1" applyFill="1" applyBorder="1" applyAlignment="1">
      <alignment horizontal="left"/>
    </xf>
    <xf numFmtId="0" fontId="0" fillId="2" borderId="59" xfId="0" applyFont="1"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0" fontId="0" fillId="0" borderId="16" xfId="0" applyBorder="1" applyAlignment="1">
      <alignment horizontal="left"/>
    </xf>
    <xf numFmtId="0" fontId="110" fillId="32" borderId="58" xfId="0" applyFont="1" applyFill="1" applyBorder="1" applyAlignment="1">
      <alignment horizontal="center" vertical="center" textRotation="90"/>
    </xf>
    <xf numFmtId="0" fontId="110" fillId="32" borderId="26" xfId="0" applyFont="1" applyFill="1" applyBorder="1" applyAlignment="1">
      <alignment horizontal="center" vertical="center" textRotation="90"/>
    </xf>
    <xf numFmtId="0" fontId="110" fillId="32" borderId="9" xfId="0" applyFont="1" applyFill="1" applyBorder="1" applyAlignment="1">
      <alignment horizontal="center" vertical="center" textRotation="90"/>
    </xf>
    <xf numFmtId="0" fontId="110" fillId="32" borderId="15" xfId="0" applyFont="1" applyFill="1" applyBorder="1" applyAlignment="1">
      <alignment horizontal="center" vertical="center" textRotation="90"/>
    </xf>
    <xf numFmtId="0" fontId="110" fillId="32" borderId="94" xfId="0" applyFont="1" applyFill="1" applyBorder="1" applyAlignment="1">
      <alignment horizontal="center"/>
    </xf>
    <xf numFmtId="0" fontId="110" fillId="32" borderId="37" xfId="0" applyFont="1" applyFill="1" applyBorder="1" applyAlignment="1">
      <alignment horizontal="center"/>
    </xf>
    <xf numFmtId="0" fontId="110" fillId="32" borderId="38" xfId="0" applyFont="1" applyFill="1" applyBorder="1" applyAlignment="1">
      <alignment horizontal="center"/>
    </xf>
    <xf numFmtId="0" fontId="110" fillId="32" borderId="39" xfId="0" applyFont="1" applyFill="1" applyBorder="1" applyAlignment="1">
      <alignment horizontal="center"/>
    </xf>
    <xf numFmtId="0" fontId="110" fillId="32" borderId="0" xfId="0" applyFont="1" applyFill="1" applyAlignment="1">
      <alignment horizontal="left"/>
    </xf>
    <xf numFmtId="0" fontId="110" fillId="32" borderId="27" xfId="0" applyFont="1" applyFill="1" applyBorder="1" applyAlignment="1">
      <alignment horizontal="left"/>
    </xf>
    <xf numFmtId="0" fontId="17" fillId="32" borderId="11" xfId="0" applyFont="1" applyFill="1" applyBorder="1" applyAlignment="1">
      <alignment horizontal="center"/>
    </xf>
    <xf numFmtId="0" fontId="17" fillId="32" borderId="38" xfId="0" applyFont="1" applyFill="1" applyBorder="1" applyAlignment="1">
      <alignment horizontal="center"/>
    </xf>
    <xf numFmtId="0" fontId="17" fillId="32" borderId="39"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92" fillId="32" borderId="5" xfId="0" applyFont="1" applyFill="1" applyBorder="1" applyAlignment="1">
      <alignment horizontal="center"/>
    </xf>
    <xf numFmtId="175" fontId="92" fillId="32" borderId="5" xfId="0" applyNumberFormat="1" applyFont="1" applyFill="1" applyBorder="1" applyAlignment="1">
      <alignment horizontal="center"/>
    </xf>
    <xf numFmtId="0" fontId="0" fillId="2" borderId="9" xfId="0" applyFont="1"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100" fillId="32" borderId="58" xfId="0" applyFont="1" applyFill="1" applyBorder="1" applyAlignment="1">
      <alignment horizontal="center"/>
    </xf>
    <xf numFmtId="0" fontId="100" fillId="32" borderId="59" xfId="0" applyFont="1" applyFill="1" applyBorder="1" applyAlignment="1">
      <alignment horizontal="center"/>
    </xf>
    <xf numFmtId="0" fontId="100" fillId="32" borderId="52" xfId="0" applyFont="1" applyFill="1" applyBorder="1" applyAlignment="1">
      <alignment horizontal="center"/>
    </xf>
    <xf numFmtId="0" fontId="0" fillId="5" borderId="9" xfId="0" applyFont="1" applyFill="1" applyBorder="1" applyAlignment="1">
      <alignment horizontal="left"/>
    </xf>
    <xf numFmtId="0" fontId="0" fillId="5" borderId="1" xfId="0" applyFont="1" applyFill="1" applyBorder="1" applyAlignment="1">
      <alignment horizontal="left"/>
    </xf>
    <xf numFmtId="0" fontId="0" fillId="4" borderId="9" xfId="0" applyFont="1" applyFill="1" applyBorder="1" applyAlignment="1">
      <alignment horizontal="left"/>
    </xf>
    <xf numFmtId="0" fontId="0" fillId="4" borderId="1" xfId="0" applyFont="1" applyFill="1" applyBorder="1" applyAlignment="1">
      <alignment horizontal="left"/>
    </xf>
    <xf numFmtId="0" fontId="88" fillId="32" borderId="9" xfId="0" applyFont="1" applyFill="1" applyBorder="1" applyAlignment="1">
      <alignment horizontal="left"/>
    </xf>
    <xf numFmtId="0" fontId="88" fillId="32" borderId="1" xfId="0" applyFont="1" applyFill="1" applyBorder="1" applyAlignment="1">
      <alignment horizontal="left"/>
    </xf>
    <xf numFmtId="0" fontId="88" fillId="32" borderId="14" xfId="0" applyFont="1"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95" fillId="32" borderId="87" xfId="0" applyFont="1" applyFill="1" applyBorder="1" applyAlignment="1">
      <alignment horizontal="center" vertical="center"/>
    </xf>
    <xf numFmtId="0" fontId="79" fillId="32" borderId="23" xfId="0" applyFont="1" applyFill="1" applyBorder="1" applyAlignment="1">
      <alignment horizontal="left" wrapText="1"/>
    </xf>
    <xf numFmtId="0" fontId="79" fillId="32" borderId="24" xfId="0" applyFont="1" applyFill="1" applyBorder="1" applyAlignment="1">
      <alignment horizontal="left" wrapText="1"/>
    </xf>
    <xf numFmtId="0" fontId="0" fillId="4" borderId="92"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88" fillId="32" borderId="97" xfId="0" applyFont="1" applyFill="1" applyBorder="1" applyAlignment="1">
      <alignment horizontal="left"/>
    </xf>
    <xf numFmtId="0" fontId="88" fillId="32" borderId="96" xfId="0" applyFont="1" applyFill="1" applyBorder="1" applyAlignment="1">
      <alignment horizontal="left"/>
    </xf>
    <xf numFmtId="0" fontId="14" fillId="36" borderId="26" xfId="0" applyFont="1" applyFill="1" applyBorder="1" applyAlignment="1">
      <alignment horizontal="left" vertical="center" wrapText="1"/>
    </xf>
    <xf numFmtId="0" fontId="14" fillId="36" borderId="12"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91" fillId="32" borderId="9" xfId="0" applyFont="1" applyFill="1" applyBorder="1" applyAlignment="1">
      <alignment horizontal="left"/>
    </xf>
    <xf numFmtId="0" fontId="91" fillId="32" borderId="1" xfId="0" applyFont="1" applyFill="1" applyBorder="1" applyAlignment="1">
      <alignment horizontal="left"/>
    </xf>
    <xf numFmtId="0" fontId="91" fillId="32" borderId="14" xfId="0" applyFont="1" applyFill="1" applyBorder="1" applyAlignment="1">
      <alignment horizontal="left"/>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3" xfId="374" applyFont="1" applyBorder="1" applyAlignment="1">
      <alignment horizontal="left"/>
    </xf>
    <xf numFmtId="0" fontId="47" fillId="0" borderId="27" xfId="374" applyFont="1" applyBorder="1" applyAlignment="1">
      <alignment horizontal="left"/>
    </xf>
    <xf numFmtId="0" fontId="47" fillId="22" borderId="11" xfId="374" applyFont="1" applyFill="1" applyBorder="1" applyAlignment="1">
      <alignment horizontal="left"/>
    </xf>
    <xf numFmtId="0" fontId="47" fillId="22" borderId="38" xfId="374" applyFont="1" applyFill="1" applyBorder="1" applyAlignment="1">
      <alignment horizontal="left"/>
    </xf>
    <xf numFmtId="0" fontId="47" fillId="17" borderId="13" xfId="374" applyFont="1" applyFill="1" applyBorder="1" applyAlignment="1">
      <alignment horizontal="left"/>
    </xf>
    <xf numFmtId="0" fontId="47" fillId="17" borderId="5" xfId="374" applyFont="1" applyFill="1" applyBorder="1" applyAlignment="1">
      <alignment horizontal="left"/>
    </xf>
    <xf numFmtId="0" fontId="47" fillId="3" borderId="63" xfId="374" applyFont="1" applyFill="1" applyBorder="1" applyAlignment="1">
      <alignment horizontal="left"/>
    </xf>
    <xf numFmtId="0" fontId="47" fillId="3" borderId="27" xfId="374" applyFont="1" applyFill="1" applyBorder="1" applyAlignment="1">
      <alignment horizontal="left"/>
    </xf>
    <xf numFmtId="0" fontId="47" fillId="15" borderId="5" xfId="374" applyFont="1" applyFill="1" applyBorder="1" applyAlignment="1">
      <alignment horizontal="right"/>
    </xf>
    <xf numFmtId="0" fontId="47" fillId="15" borderId="40" xfId="374" applyFont="1" applyFill="1" applyBorder="1" applyAlignment="1">
      <alignment horizontal="right"/>
    </xf>
    <xf numFmtId="0" fontId="72" fillId="26" borderId="5" xfId="0" applyFont="1" applyFill="1" applyBorder="1" applyAlignment="1">
      <alignment horizontal="right"/>
    </xf>
    <xf numFmtId="0" fontId="72" fillId="26" borderId="47" xfId="0" applyFont="1" applyFill="1" applyBorder="1" applyAlignment="1">
      <alignment horizontal="right"/>
    </xf>
    <xf numFmtId="0" fontId="47" fillId="4" borderId="5" xfId="374" applyFont="1" applyFill="1" applyBorder="1" applyAlignment="1">
      <alignment horizontal="right"/>
    </xf>
    <xf numFmtId="0" fontId="0" fillId="6" borderId="4" xfId="0" applyFont="1" applyFill="1" applyBorder="1" applyAlignment="1">
      <alignment horizontal="left" vertical="center"/>
    </xf>
    <xf numFmtId="0" fontId="0" fillId="6" borderId="5" xfId="0" applyFont="1" applyFill="1" applyBorder="1" applyAlignment="1">
      <alignment horizontal="left" vertical="center"/>
    </xf>
    <xf numFmtId="0" fontId="0" fillId="6" borderId="6" xfId="0" applyFont="1" applyFill="1" applyBorder="1" applyAlignment="1">
      <alignment horizontal="left" vertical="center"/>
    </xf>
    <xf numFmtId="0" fontId="0" fillId="5" borderId="4" xfId="0" applyFont="1" applyFill="1" applyBorder="1" applyAlignment="1">
      <alignment horizontal="left" vertical="center"/>
    </xf>
    <xf numFmtId="0" fontId="0" fillId="5" borderId="5" xfId="0" applyFont="1" applyFill="1" applyBorder="1" applyAlignment="1">
      <alignment horizontal="left" vertical="center"/>
    </xf>
    <xf numFmtId="0" fontId="0" fillId="5" borderId="6" xfId="0" applyFont="1"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0" fillId="5" borderId="4" xfId="0" applyFont="1" applyFill="1" applyBorder="1" applyAlignment="1">
      <alignment horizontal="left" vertical="center" wrapText="1"/>
    </xf>
    <xf numFmtId="0" fontId="0"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50" fillId="2" borderId="50" xfId="372" applyFont="1" applyFill="1" applyBorder="1" applyAlignment="1" applyProtection="1">
      <alignment horizontal="center"/>
      <protection locked="0"/>
    </xf>
    <xf numFmtId="0" fontId="50" fillId="2" borderId="51"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xf numFmtId="0" fontId="50" fillId="2" borderId="50" xfId="372" applyFont="1" applyFill="1" applyBorder="1" applyAlignment="1" applyProtection="1">
      <alignment horizontal="left"/>
      <protection locked="0"/>
    </xf>
    <xf numFmtId="0" fontId="50" fillId="2" borderId="51" xfId="372" applyFont="1" applyFill="1" applyBorder="1" applyAlignment="1" applyProtection="1">
      <alignment horizontal="left"/>
      <protection locked="0"/>
    </xf>
    <xf numFmtId="0" fontId="53" fillId="0" borderId="93" xfId="372" applyFont="1" applyBorder="1" applyAlignment="1">
      <alignment horizontal="center" vertical="center" wrapText="1"/>
    </xf>
    <xf numFmtId="0" fontId="53" fillId="0" borderId="35" xfId="372" applyFont="1" applyBorder="1" applyAlignment="1">
      <alignment horizontal="center" vertical="center" wrapText="1"/>
    </xf>
    <xf numFmtId="0" fontId="61" fillId="5" borderId="0" xfId="372" applyFont="1" applyFill="1" applyAlignment="1">
      <alignment wrapText="1"/>
    </xf>
    <xf numFmtId="0" fontId="0" fillId="5" borderId="0" xfId="0" applyFill="1" applyAlignment="1">
      <alignment horizontal="left" wrapText="1"/>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073">
    <dxf>
      <font>
        <color theme="1"/>
      </font>
      <fill>
        <patternFill>
          <bgColor rgb="FFFF2F82"/>
        </patternFill>
      </fill>
    </dxf>
    <dxf>
      <font>
        <color theme="1"/>
      </font>
      <fill>
        <patternFill>
          <bgColor theme="3" tint="0.59996337778862885"/>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none">
          <bgColor auto="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4" tint="0.39994506668294322"/>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auto="1"/>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4" tint="0.79998168889431442"/>
        </patternFill>
      </fill>
    </dxf>
    <dxf>
      <font>
        <color theme="1"/>
      </font>
      <fill>
        <patternFill>
          <bgColor theme="7" tint="0.59996337778862885"/>
        </patternFill>
      </fill>
    </dxf>
    <dxf>
      <font>
        <color theme="1"/>
      </font>
      <fill>
        <patternFill>
          <bgColor theme="0" tint="-0.14996795556505021"/>
        </patternFill>
      </fill>
    </dxf>
    <dxf>
      <font>
        <color theme="0"/>
      </font>
      <fill>
        <patternFill>
          <bgColor theme="6" tint="-0.2499465926084170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0"/>
      </font>
      <fill>
        <patternFill patternType="solid">
          <fgColor indexed="64"/>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fgColor auto="1"/>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fgColor auto="1"/>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fgColor indexed="64"/>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79998168889431442"/>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14</xdr:row>
      <xdr:rowOff>67106</xdr:rowOff>
    </xdr:from>
    <xdr:to>
      <xdr:col>0</xdr:col>
      <xdr:colOff>694702</xdr:colOff>
      <xdr:row>15</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13</xdr:row>
      <xdr:rowOff>32563</xdr:rowOff>
    </xdr:from>
    <xdr:to>
      <xdr:col>0</xdr:col>
      <xdr:colOff>694702</xdr:colOff>
      <xdr:row>13</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27</xdr:row>
      <xdr:rowOff>54273</xdr:rowOff>
    </xdr:from>
    <xdr:to>
      <xdr:col>0</xdr:col>
      <xdr:colOff>769337</xdr:colOff>
      <xdr:row>29</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30</xdr:row>
      <xdr:rowOff>221486</xdr:rowOff>
    </xdr:from>
    <xdr:to>
      <xdr:col>0</xdr:col>
      <xdr:colOff>784455</xdr:colOff>
      <xdr:row>32</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33</xdr:row>
      <xdr:rowOff>130256</xdr:rowOff>
    </xdr:from>
    <xdr:to>
      <xdr:col>1</xdr:col>
      <xdr:colOff>19021</xdr:colOff>
      <xdr:row>34</xdr:row>
      <xdr:rowOff>347351</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1679223</xdr:colOff>
      <xdr:row>17</xdr:row>
      <xdr:rowOff>70556</xdr:rowOff>
    </xdr:from>
    <xdr:to>
      <xdr:col>11</xdr:col>
      <xdr:colOff>292383</xdr:colOff>
      <xdr:row>23</xdr:row>
      <xdr:rowOff>76340</xdr:rowOff>
    </xdr:to>
    <xdr:sp macro="" textlink="">
      <xdr:nvSpPr>
        <xdr:cNvPr id="2" name="Tekstfelt 1">
          <a:extLst>
            <a:ext uri="{FF2B5EF4-FFF2-40B4-BE49-F238E27FC236}">
              <a16:creationId xmlns:a16="http://schemas.microsoft.com/office/drawing/2014/main" id="{F305FB2E-0FC3-6F4A-85B4-5AD4601F75FE}"/>
            </a:ext>
          </a:extLst>
        </xdr:cNvPr>
        <xdr:cNvSpPr txBox="1"/>
      </xdr:nvSpPr>
      <xdr:spPr>
        <a:xfrm rot="20935205">
          <a:off x="3443112" y="849488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239888</xdr:colOff>
      <xdr:row>16</xdr:row>
      <xdr:rowOff>28222</xdr:rowOff>
    </xdr:from>
    <xdr:to>
      <xdr:col>11</xdr:col>
      <xdr:colOff>786270</xdr:colOff>
      <xdr:row>22</xdr:row>
      <xdr:rowOff>34007</xdr:rowOff>
    </xdr:to>
    <xdr:sp macro="" textlink="">
      <xdr:nvSpPr>
        <xdr:cNvPr id="2" name="Tekstfelt 1">
          <a:extLst>
            <a:ext uri="{FF2B5EF4-FFF2-40B4-BE49-F238E27FC236}">
              <a16:creationId xmlns:a16="http://schemas.microsoft.com/office/drawing/2014/main" id="{90429C0A-11EB-DB4F-9746-07081A4D2FDA}"/>
            </a:ext>
          </a:extLst>
        </xdr:cNvPr>
        <xdr:cNvSpPr txBox="1"/>
      </xdr:nvSpPr>
      <xdr:spPr>
        <a:xfrm rot="20935205">
          <a:off x="3936999" y="8396111"/>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366890</xdr:colOff>
      <xdr:row>20</xdr:row>
      <xdr:rowOff>169333</xdr:rowOff>
    </xdr:from>
    <xdr:to>
      <xdr:col>12</xdr:col>
      <xdr:colOff>80717</xdr:colOff>
      <xdr:row>26</xdr:row>
      <xdr:rowOff>175118</xdr:rowOff>
    </xdr:to>
    <xdr:sp macro="" textlink="">
      <xdr:nvSpPr>
        <xdr:cNvPr id="2" name="Tekstfelt 1">
          <a:extLst>
            <a:ext uri="{FF2B5EF4-FFF2-40B4-BE49-F238E27FC236}">
              <a16:creationId xmlns:a16="http://schemas.microsoft.com/office/drawing/2014/main" id="{C04D770C-DEC0-2F4C-AB0E-22C336EDB300}"/>
            </a:ext>
          </a:extLst>
        </xdr:cNvPr>
        <xdr:cNvSpPr txBox="1"/>
      </xdr:nvSpPr>
      <xdr:spPr>
        <a:xfrm rot="20935205">
          <a:off x="4064001" y="9327444"/>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70555</xdr:colOff>
      <xdr:row>18</xdr:row>
      <xdr:rowOff>112888</xdr:rowOff>
    </xdr:from>
    <xdr:to>
      <xdr:col>12</xdr:col>
      <xdr:colOff>362938</xdr:colOff>
      <xdr:row>24</xdr:row>
      <xdr:rowOff>118673</xdr:rowOff>
    </xdr:to>
    <xdr:sp macro="" textlink="">
      <xdr:nvSpPr>
        <xdr:cNvPr id="2" name="Tekstfelt 1">
          <a:extLst>
            <a:ext uri="{FF2B5EF4-FFF2-40B4-BE49-F238E27FC236}">
              <a16:creationId xmlns:a16="http://schemas.microsoft.com/office/drawing/2014/main" id="{95997F8A-B1E0-D64A-A7D0-36CD608A57BE}"/>
            </a:ext>
          </a:extLst>
        </xdr:cNvPr>
        <xdr:cNvSpPr txBox="1"/>
      </xdr:nvSpPr>
      <xdr:spPr>
        <a:xfrm rot="20935205">
          <a:off x="4346222" y="888999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508000</xdr:colOff>
      <xdr:row>16</xdr:row>
      <xdr:rowOff>183444</xdr:rowOff>
    </xdr:from>
    <xdr:to>
      <xdr:col>12</xdr:col>
      <xdr:colOff>221827</xdr:colOff>
      <xdr:row>22</xdr:row>
      <xdr:rowOff>189229</xdr:rowOff>
    </xdr:to>
    <xdr:sp macro="" textlink="">
      <xdr:nvSpPr>
        <xdr:cNvPr id="2" name="Tekstfelt 1">
          <a:extLst>
            <a:ext uri="{FF2B5EF4-FFF2-40B4-BE49-F238E27FC236}">
              <a16:creationId xmlns:a16="http://schemas.microsoft.com/office/drawing/2014/main" id="{5CE1DBBE-7E85-354D-95D9-A88D0D79B6C8}"/>
            </a:ext>
          </a:extLst>
        </xdr:cNvPr>
        <xdr:cNvSpPr txBox="1"/>
      </xdr:nvSpPr>
      <xdr:spPr>
        <a:xfrm rot="20935205">
          <a:off x="4205111" y="85090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169332</xdr:colOff>
      <xdr:row>18</xdr:row>
      <xdr:rowOff>169333</xdr:rowOff>
    </xdr:from>
    <xdr:to>
      <xdr:col>12</xdr:col>
      <xdr:colOff>461715</xdr:colOff>
      <xdr:row>24</xdr:row>
      <xdr:rowOff>175118</xdr:rowOff>
    </xdr:to>
    <xdr:sp macro="" textlink="">
      <xdr:nvSpPr>
        <xdr:cNvPr id="2" name="Tekstfelt 1">
          <a:extLst>
            <a:ext uri="{FF2B5EF4-FFF2-40B4-BE49-F238E27FC236}">
              <a16:creationId xmlns:a16="http://schemas.microsoft.com/office/drawing/2014/main" id="{D9C15986-6C97-1E4F-A463-346A2A8C3343}"/>
            </a:ext>
          </a:extLst>
        </xdr:cNvPr>
        <xdr:cNvSpPr txBox="1"/>
      </xdr:nvSpPr>
      <xdr:spPr>
        <a:xfrm rot="20935205">
          <a:off x="4444999" y="8932333"/>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28222</xdr:colOff>
      <xdr:row>16</xdr:row>
      <xdr:rowOff>183444</xdr:rowOff>
    </xdr:from>
    <xdr:to>
      <xdr:col>11</xdr:col>
      <xdr:colOff>574604</xdr:colOff>
      <xdr:row>22</xdr:row>
      <xdr:rowOff>189228</xdr:rowOff>
    </xdr:to>
    <xdr:sp macro="" textlink="">
      <xdr:nvSpPr>
        <xdr:cNvPr id="2" name="Tekstfelt 1">
          <a:extLst>
            <a:ext uri="{FF2B5EF4-FFF2-40B4-BE49-F238E27FC236}">
              <a16:creationId xmlns:a16="http://schemas.microsoft.com/office/drawing/2014/main" id="{825A5B1A-D5CA-AB4A-A757-B041F252E680}"/>
            </a:ext>
          </a:extLst>
        </xdr:cNvPr>
        <xdr:cNvSpPr txBox="1"/>
      </xdr:nvSpPr>
      <xdr:spPr>
        <a:xfrm rot="20935205">
          <a:off x="3725333" y="8494888"/>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4</xdr:row>
      <xdr:rowOff>218166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81</xdr:row>
      <xdr:rowOff>334820</xdr:rowOff>
    </xdr:from>
    <xdr:to>
      <xdr:col>1</xdr:col>
      <xdr:colOff>633845</xdr:colOff>
      <xdr:row>82</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twoCellAnchor>
    <xdr:from>
      <xdr:col>2</xdr:col>
      <xdr:colOff>334818</xdr:colOff>
      <xdr:row>37</xdr:row>
      <xdr:rowOff>242456</xdr:rowOff>
    </xdr:from>
    <xdr:to>
      <xdr:col>9</xdr:col>
      <xdr:colOff>106372</xdr:colOff>
      <xdr:row>41</xdr:row>
      <xdr:rowOff>71211</xdr:rowOff>
    </xdr:to>
    <xdr:sp macro="" textlink="">
      <xdr:nvSpPr>
        <xdr:cNvPr id="4" name="Tekstfelt 3">
          <a:extLst>
            <a:ext uri="{FF2B5EF4-FFF2-40B4-BE49-F238E27FC236}">
              <a16:creationId xmlns:a16="http://schemas.microsoft.com/office/drawing/2014/main" id="{CAA12110-FBB3-484F-BBB2-52CFABAE293A}"/>
            </a:ext>
          </a:extLst>
        </xdr:cNvPr>
        <xdr:cNvSpPr txBox="1"/>
      </xdr:nvSpPr>
      <xdr:spPr>
        <a:xfrm rot="20935205">
          <a:off x="1778000" y="12607638"/>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1</xdr:col>
      <xdr:colOff>669637</xdr:colOff>
      <xdr:row>13</xdr:row>
      <xdr:rowOff>103908</xdr:rowOff>
    </xdr:from>
    <xdr:to>
      <xdr:col>8</xdr:col>
      <xdr:colOff>614373</xdr:colOff>
      <xdr:row>16</xdr:row>
      <xdr:rowOff>279026</xdr:rowOff>
    </xdr:to>
    <xdr:sp macro="" textlink="">
      <xdr:nvSpPr>
        <xdr:cNvPr id="5" name="Tekstfelt 4">
          <a:extLst>
            <a:ext uri="{FF2B5EF4-FFF2-40B4-BE49-F238E27FC236}">
              <a16:creationId xmlns:a16="http://schemas.microsoft.com/office/drawing/2014/main" id="{C3F0ACF5-489A-F445-8584-AC127EE26A6A}"/>
            </a:ext>
          </a:extLst>
        </xdr:cNvPr>
        <xdr:cNvSpPr txBox="1"/>
      </xdr:nvSpPr>
      <xdr:spPr>
        <a:xfrm rot="20935205">
          <a:off x="1316182" y="6061363"/>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78</xdr:row>
      <xdr:rowOff>127000</xdr:rowOff>
    </xdr:from>
    <xdr:to>
      <xdr:col>1</xdr:col>
      <xdr:colOff>482600</xdr:colOff>
      <xdr:row>81</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0</xdr:row>
      <xdr:rowOff>228600</xdr:rowOff>
    </xdr:from>
    <xdr:to>
      <xdr:col>1</xdr:col>
      <xdr:colOff>533400</xdr:colOff>
      <xdr:row>1</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twoCellAnchor>
    <xdr:from>
      <xdr:col>2</xdr:col>
      <xdr:colOff>812799</xdr:colOff>
      <xdr:row>38</xdr:row>
      <xdr:rowOff>101600</xdr:rowOff>
    </xdr:from>
    <xdr:to>
      <xdr:col>10</xdr:col>
      <xdr:colOff>907626</xdr:colOff>
      <xdr:row>43</xdr:row>
      <xdr:rowOff>22718</xdr:rowOff>
    </xdr:to>
    <xdr:sp macro="" textlink="">
      <xdr:nvSpPr>
        <xdr:cNvPr id="4" name="Tekstfelt 3">
          <a:extLst>
            <a:ext uri="{FF2B5EF4-FFF2-40B4-BE49-F238E27FC236}">
              <a16:creationId xmlns:a16="http://schemas.microsoft.com/office/drawing/2014/main" id="{02955178-3912-3A46-B7DC-2522334F62F4}"/>
            </a:ext>
          </a:extLst>
        </xdr:cNvPr>
        <xdr:cNvSpPr txBox="1"/>
      </xdr:nvSpPr>
      <xdr:spPr>
        <a:xfrm rot="20935205">
          <a:off x="2463799" y="111887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622301</xdr:colOff>
      <xdr:row>12</xdr:row>
      <xdr:rowOff>114300</xdr:rowOff>
    </xdr:from>
    <xdr:to>
      <xdr:col>10</xdr:col>
      <xdr:colOff>717128</xdr:colOff>
      <xdr:row>17</xdr:row>
      <xdr:rowOff>35418</xdr:rowOff>
    </xdr:to>
    <xdr:sp macro="" textlink="">
      <xdr:nvSpPr>
        <xdr:cNvPr id="5" name="Tekstfelt 4">
          <a:extLst>
            <a:ext uri="{FF2B5EF4-FFF2-40B4-BE49-F238E27FC236}">
              <a16:creationId xmlns:a16="http://schemas.microsoft.com/office/drawing/2014/main" id="{963750E1-1262-5B4B-AA5D-60C73BF508D0}"/>
            </a:ext>
          </a:extLst>
        </xdr:cNvPr>
        <xdr:cNvSpPr txBox="1"/>
      </xdr:nvSpPr>
      <xdr:spPr>
        <a:xfrm rot="20935205">
          <a:off x="2273301" y="42672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990600</xdr:colOff>
      <xdr:row>14</xdr:row>
      <xdr:rowOff>0</xdr:rowOff>
    </xdr:from>
    <xdr:to>
      <xdr:col>6</xdr:col>
      <xdr:colOff>69427</xdr:colOff>
      <xdr:row>19</xdr:row>
      <xdr:rowOff>137018</xdr:rowOff>
    </xdr:to>
    <xdr:sp macro="" textlink="">
      <xdr:nvSpPr>
        <xdr:cNvPr id="2" name="Tekstfelt 1">
          <a:extLst>
            <a:ext uri="{FF2B5EF4-FFF2-40B4-BE49-F238E27FC236}">
              <a16:creationId xmlns:a16="http://schemas.microsoft.com/office/drawing/2014/main" id="{3D02568F-D7FE-C742-91A4-B3D43FAF3B47}"/>
            </a:ext>
          </a:extLst>
        </xdr:cNvPr>
        <xdr:cNvSpPr txBox="1"/>
      </xdr:nvSpPr>
      <xdr:spPr>
        <a:xfrm rot="20935205">
          <a:off x="3898900" y="31750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431801</xdr:colOff>
      <xdr:row>34</xdr:row>
      <xdr:rowOff>12700</xdr:rowOff>
    </xdr:from>
    <xdr:to>
      <xdr:col>5</xdr:col>
      <xdr:colOff>882228</xdr:colOff>
      <xdr:row>39</xdr:row>
      <xdr:rowOff>98918</xdr:rowOff>
    </xdr:to>
    <xdr:sp macro="" textlink="">
      <xdr:nvSpPr>
        <xdr:cNvPr id="3" name="Tekstfelt 2">
          <a:extLst>
            <a:ext uri="{FF2B5EF4-FFF2-40B4-BE49-F238E27FC236}">
              <a16:creationId xmlns:a16="http://schemas.microsoft.com/office/drawing/2014/main" id="{4BFD9792-FB2F-F44D-A0F2-4917D053B071}"/>
            </a:ext>
          </a:extLst>
        </xdr:cNvPr>
        <xdr:cNvSpPr txBox="1"/>
      </xdr:nvSpPr>
      <xdr:spPr>
        <a:xfrm rot="20935205">
          <a:off x="3340101" y="80010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489262</xdr:colOff>
      <xdr:row>56</xdr:row>
      <xdr:rowOff>101600</xdr:rowOff>
    </xdr:to>
    <xdr:pic>
      <xdr:nvPicPr>
        <xdr:cNvPr id="3" name="Billede 2">
          <a:extLst>
            <a:ext uri="{FF2B5EF4-FFF2-40B4-BE49-F238E27FC236}">
              <a16:creationId xmlns:a16="http://schemas.microsoft.com/office/drawing/2014/main" id="{8EAE5E8B-573C-6548-9F6C-A39CC57825F3}"/>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381000</xdr:colOff>
      <xdr:row>13</xdr:row>
      <xdr:rowOff>25400</xdr:rowOff>
    </xdr:from>
    <xdr:to>
      <xdr:col>7</xdr:col>
      <xdr:colOff>221827</xdr:colOff>
      <xdr:row>17</xdr:row>
      <xdr:rowOff>200518</xdr:rowOff>
    </xdr:to>
    <xdr:sp macro="" textlink="">
      <xdr:nvSpPr>
        <xdr:cNvPr id="2" name="Tekstfelt 1">
          <a:extLst>
            <a:ext uri="{FF2B5EF4-FFF2-40B4-BE49-F238E27FC236}">
              <a16:creationId xmlns:a16="http://schemas.microsoft.com/office/drawing/2014/main" id="{F07AF62D-EEE5-8847-ACAA-4D29994A2286}"/>
            </a:ext>
          </a:extLst>
        </xdr:cNvPr>
        <xdr:cNvSpPr txBox="1"/>
      </xdr:nvSpPr>
      <xdr:spPr>
        <a:xfrm rot="20935205">
          <a:off x="1206500" y="37846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736600</xdr:colOff>
      <xdr:row>14</xdr:row>
      <xdr:rowOff>0</xdr:rowOff>
    </xdr:from>
    <xdr:to>
      <xdr:col>7</xdr:col>
      <xdr:colOff>577427</xdr:colOff>
      <xdr:row>18</xdr:row>
      <xdr:rowOff>175118</xdr:rowOff>
    </xdr:to>
    <xdr:sp macro="" textlink="">
      <xdr:nvSpPr>
        <xdr:cNvPr id="2" name="Tekstfelt 1">
          <a:extLst>
            <a:ext uri="{FF2B5EF4-FFF2-40B4-BE49-F238E27FC236}">
              <a16:creationId xmlns:a16="http://schemas.microsoft.com/office/drawing/2014/main" id="{755C334E-C348-0741-9697-28E77C0A1E80}"/>
            </a:ext>
          </a:extLst>
        </xdr:cNvPr>
        <xdr:cNvSpPr txBox="1"/>
      </xdr:nvSpPr>
      <xdr:spPr>
        <a:xfrm rot="20935205">
          <a:off x="1562100" y="40132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152401</xdr:colOff>
      <xdr:row>10</xdr:row>
      <xdr:rowOff>38100</xdr:rowOff>
    </xdr:from>
    <xdr:to>
      <xdr:col>6</xdr:col>
      <xdr:colOff>1199728</xdr:colOff>
      <xdr:row>14</xdr:row>
      <xdr:rowOff>213218</xdr:rowOff>
    </xdr:to>
    <xdr:sp macro="" textlink="">
      <xdr:nvSpPr>
        <xdr:cNvPr id="2" name="Tekstfelt 1">
          <a:extLst>
            <a:ext uri="{FF2B5EF4-FFF2-40B4-BE49-F238E27FC236}">
              <a16:creationId xmlns:a16="http://schemas.microsoft.com/office/drawing/2014/main" id="{C4827A16-131F-6F4C-9A7F-98EC79561408}"/>
            </a:ext>
          </a:extLst>
        </xdr:cNvPr>
        <xdr:cNvSpPr txBox="1"/>
      </xdr:nvSpPr>
      <xdr:spPr>
        <a:xfrm rot="20935205">
          <a:off x="977901" y="30353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572721</xdr:colOff>
      <xdr:row>9</xdr:row>
      <xdr:rowOff>38100</xdr:rowOff>
    </xdr:from>
    <xdr:to>
      <xdr:col>6</xdr:col>
      <xdr:colOff>794548</xdr:colOff>
      <xdr:row>13</xdr:row>
      <xdr:rowOff>213218</xdr:rowOff>
    </xdr:to>
    <xdr:sp macro="" textlink="">
      <xdr:nvSpPr>
        <xdr:cNvPr id="2" name="Tekstfelt 1">
          <a:extLst>
            <a:ext uri="{FF2B5EF4-FFF2-40B4-BE49-F238E27FC236}">
              <a16:creationId xmlns:a16="http://schemas.microsoft.com/office/drawing/2014/main" id="{3801295F-2251-EE4E-BFB8-C23DA36AAB71}"/>
            </a:ext>
          </a:extLst>
        </xdr:cNvPr>
        <xdr:cNvSpPr txBox="1"/>
      </xdr:nvSpPr>
      <xdr:spPr>
        <a:xfrm rot="20935205">
          <a:off x="572721" y="27813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88899</xdr:colOff>
      <xdr:row>7</xdr:row>
      <xdr:rowOff>177800</xdr:rowOff>
    </xdr:from>
    <xdr:to>
      <xdr:col>10</xdr:col>
      <xdr:colOff>183726</xdr:colOff>
      <xdr:row>13</xdr:row>
      <xdr:rowOff>149718</xdr:rowOff>
    </xdr:to>
    <xdr:sp macro="" textlink="">
      <xdr:nvSpPr>
        <xdr:cNvPr id="2" name="Tekstfelt 1">
          <a:extLst>
            <a:ext uri="{FF2B5EF4-FFF2-40B4-BE49-F238E27FC236}">
              <a16:creationId xmlns:a16="http://schemas.microsoft.com/office/drawing/2014/main" id="{EBAD10F7-1EA9-5948-887E-BC0CC5ADC940}"/>
            </a:ext>
          </a:extLst>
        </xdr:cNvPr>
        <xdr:cNvSpPr txBox="1"/>
      </xdr:nvSpPr>
      <xdr:spPr>
        <a:xfrm rot="20935205">
          <a:off x="1739899" y="21209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63500</xdr:colOff>
      <xdr:row>19</xdr:row>
      <xdr:rowOff>1</xdr:rowOff>
    </xdr:from>
    <xdr:to>
      <xdr:col>32</xdr:col>
      <xdr:colOff>171027</xdr:colOff>
      <xdr:row>22</xdr:row>
      <xdr:rowOff>276719</xdr:rowOff>
    </xdr:to>
    <xdr:sp macro="" textlink="">
      <xdr:nvSpPr>
        <xdr:cNvPr id="2" name="Tekstfelt 1">
          <a:extLst>
            <a:ext uri="{FF2B5EF4-FFF2-40B4-BE49-F238E27FC236}">
              <a16:creationId xmlns:a16="http://schemas.microsoft.com/office/drawing/2014/main" id="{9B85D7CC-FF9E-CC40-A1C8-D842DEC9AD23}"/>
            </a:ext>
          </a:extLst>
        </xdr:cNvPr>
        <xdr:cNvSpPr txBox="1"/>
      </xdr:nvSpPr>
      <xdr:spPr>
        <a:xfrm rot="20935205">
          <a:off x="6311900" y="5867401"/>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twoCellAnchor>
    <xdr:from>
      <xdr:col>12</xdr:col>
      <xdr:colOff>190501</xdr:colOff>
      <xdr:row>10</xdr:row>
      <xdr:rowOff>31750</xdr:rowOff>
    </xdr:from>
    <xdr:to>
      <xdr:col>22</xdr:col>
      <xdr:colOff>507578</xdr:colOff>
      <xdr:row>14</xdr:row>
      <xdr:rowOff>79868</xdr:rowOff>
    </xdr:to>
    <xdr:sp macro="" textlink="">
      <xdr:nvSpPr>
        <xdr:cNvPr id="3" name="Tekstfelt 2">
          <a:extLst>
            <a:ext uri="{FF2B5EF4-FFF2-40B4-BE49-F238E27FC236}">
              <a16:creationId xmlns:a16="http://schemas.microsoft.com/office/drawing/2014/main" id="{17206B18-6F1D-7F47-987C-AD341221F7EB}"/>
            </a:ext>
          </a:extLst>
        </xdr:cNvPr>
        <xdr:cNvSpPr txBox="1"/>
      </xdr:nvSpPr>
      <xdr:spPr>
        <a:xfrm rot="20935205">
          <a:off x="7143751" y="3063875"/>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11</xdr:col>
      <xdr:colOff>12700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11</xdr:col>
      <xdr:colOff>50800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twoCellAnchor>
    <xdr:from>
      <xdr:col>9</xdr:col>
      <xdr:colOff>301624</xdr:colOff>
      <xdr:row>14</xdr:row>
      <xdr:rowOff>15875</xdr:rowOff>
    </xdr:from>
    <xdr:to>
      <xdr:col>21</xdr:col>
      <xdr:colOff>63076</xdr:colOff>
      <xdr:row>18</xdr:row>
      <xdr:rowOff>63993</xdr:rowOff>
    </xdr:to>
    <xdr:sp macro="" textlink="">
      <xdr:nvSpPr>
        <xdr:cNvPr id="4" name="Tekstfelt 3">
          <a:extLst>
            <a:ext uri="{FF2B5EF4-FFF2-40B4-BE49-F238E27FC236}">
              <a16:creationId xmlns:a16="http://schemas.microsoft.com/office/drawing/2014/main" id="{5559410C-61D1-0C43-BC1B-F687B90BD73D}"/>
            </a:ext>
          </a:extLst>
        </xdr:cNvPr>
        <xdr:cNvSpPr txBox="1"/>
      </xdr:nvSpPr>
      <xdr:spPr>
        <a:xfrm rot="20935205">
          <a:off x="6175374" y="41910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144274</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1</xdr:col>
      <xdr:colOff>712983</xdr:colOff>
      <xdr:row>9</xdr:row>
      <xdr:rowOff>189387</xdr:rowOff>
    </xdr:from>
    <xdr:to>
      <xdr:col>11</xdr:col>
      <xdr:colOff>649617</xdr:colOff>
      <xdr:row>12</xdr:row>
      <xdr:rowOff>54803</xdr:rowOff>
    </xdr:to>
    <xdr:sp macro="" textlink="">
      <xdr:nvSpPr>
        <xdr:cNvPr id="5" name="Tekstfelt 4">
          <a:extLst>
            <a:ext uri="{FF2B5EF4-FFF2-40B4-BE49-F238E27FC236}">
              <a16:creationId xmlns:a16="http://schemas.microsoft.com/office/drawing/2014/main" id="{8E49D5CE-3B46-934C-BC57-C3E38DA7B0C6}"/>
            </a:ext>
          </a:extLst>
        </xdr:cNvPr>
        <xdr:cNvSpPr txBox="1"/>
      </xdr:nvSpPr>
      <xdr:spPr>
        <a:xfrm rot="20935205">
          <a:off x="1537369" y="6260878"/>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0</xdr:col>
      <xdr:colOff>523598</xdr:colOff>
      <xdr:row>21</xdr:row>
      <xdr:rowOff>267367</xdr:rowOff>
    </xdr:from>
    <xdr:to>
      <xdr:col>7</xdr:col>
      <xdr:colOff>460232</xdr:colOff>
      <xdr:row>24</xdr:row>
      <xdr:rowOff>244187</xdr:rowOff>
    </xdr:to>
    <xdr:sp macro="" textlink="">
      <xdr:nvSpPr>
        <xdr:cNvPr id="6" name="Tekstfelt 5">
          <a:extLst>
            <a:ext uri="{FF2B5EF4-FFF2-40B4-BE49-F238E27FC236}">
              <a16:creationId xmlns:a16="http://schemas.microsoft.com/office/drawing/2014/main" id="{82A4DDCA-AA3B-4047-9F31-FE246097D3C7}"/>
            </a:ext>
          </a:extLst>
        </xdr:cNvPr>
        <xdr:cNvSpPr txBox="1"/>
      </xdr:nvSpPr>
      <xdr:spPr>
        <a:xfrm rot="20935205">
          <a:off x="523598" y="1112920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67</xdr:row>
      <xdr:rowOff>177800</xdr:rowOff>
    </xdr:from>
    <xdr:to>
      <xdr:col>1</xdr:col>
      <xdr:colOff>584200</xdr:colOff>
      <xdr:row>71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xdr:from>
      <xdr:col>1</xdr:col>
      <xdr:colOff>482600</xdr:colOff>
      <xdr:row>12</xdr:row>
      <xdr:rowOff>38100</xdr:rowOff>
    </xdr:from>
    <xdr:to>
      <xdr:col>9</xdr:col>
      <xdr:colOff>577427</xdr:colOff>
      <xdr:row>16</xdr:row>
      <xdr:rowOff>10018</xdr:rowOff>
    </xdr:to>
    <xdr:sp macro="" textlink="">
      <xdr:nvSpPr>
        <xdr:cNvPr id="6" name="Tekstfelt 5">
          <a:extLst>
            <a:ext uri="{FF2B5EF4-FFF2-40B4-BE49-F238E27FC236}">
              <a16:creationId xmlns:a16="http://schemas.microsoft.com/office/drawing/2014/main" id="{11916B49-426B-0948-9442-4A0D32EB7A63}"/>
            </a:ext>
          </a:extLst>
        </xdr:cNvPr>
        <xdr:cNvSpPr txBox="1"/>
      </xdr:nvSpPr>
      <xdr:spPr>
        <a:xfrm rot="20935205">
          <a:off x="1308100" y="58801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13</xdr:col>
      <xdr:colOff>571500</xdr:colOff>
      <xdr:row>11</xdr:row>
      <xdr:rowOff>101600</xdr:rowOff>
    </xdr:from>
    <xdr:to>
      <xdr:col>21</xdr:col>
      <xdr:colOff>539327</xdr:colOff>
      <xdr:row>15</xdr:row>
      <xdr:rowOff>73518</xdr:rowOff>
    </xdr:to>
    <xdr:sp macro="" textlink="">
      <xdr:nvSpPr>
        <xdr:cNvPr id="7" name="Tekstfelt 6">
          <a:extLst>
            <a:ext uri="{FF2B5EF4-FFF2-40B4-BE49-F238E27FC236}">
              <a16:creationId xmlns:a16="http://schemas.microsoft.com/office/drawing/2014/main" id="{8CE76317-8005-084B-81DE-61BD9A33C24F}"/>
            </a:ext>
          </a:extLst>
        </xdr:cNvPr>
        <xdr:cNvSpPr txBox="1"/>
      </xdr:nvSpPr>
      <xdr:spPr>
        <a:xfrm rot="20935205">
          <a:off x="11303000" y="57531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0</xdr:col>
      <xdr:colOff>762000</xdr:colOff>
      <xdr:row>48</xdr:row>
      <xdr:rowOff>76200</xdr:rowOff>
    </xdr:from>
    <xdr:to>
      <xdr:col>9</xdr:col>
      <xdr:colOff>31327</xdr:colOff>
      <xdr:row>54</xdr:row>
      <xdr:rowOff>48118</xdr:rowOff>
    </xdr:to>
    <xdr:sp macro="" textlink="">
      <xdr:nvSpPr>
        <xdr:cNvPr id="8" name="Tekstfelt 7">
          <a:extLst>
            <a:ext uri="{FF2B5EF4-FFF2-40B4-BE49-F238E27FC236}">
              <a16:creationId xmlns:a16="http://schemas.microsoft.com/office/drawing/2014/main" id="{BE3C23E1-5518-C145-BD6F-AA9CF2136D7A}"/>
            </a:ext>
          </a:extLst>
        </xdr:cNvPr>
        <xdr:cNvSpPr txBox="1"/>
      </xdr:nvSpPr>
      <xdr:spPr>
        <a:xfrm rot="20935205">
          <a:off x="762000" y="13258800"/>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twoCellAnchor>
    <xdr:from>
      <xdr:col>6</xdr:col>
      <xdr:colOff>644688</xdr:colOff>
      <xdr:row>16</xdr:row>
      <xdr:rowOff>135466</xdr:rowOff>
    </xdr:from>
    <xdr:to>
      <xdr:col>13</xdr:col>
      <xdr:colOff>62182</xdr:colOff>
      <xdr:row>22</xdr:row>
      <xdr:rowOff>107384</xdr:rowOff>
    </xdr:to>
    <xdr:sp macro="" textlink="">
      <xdr:nvSpPr>
        <xdr:cNvPr id="3" name="Tekstfelt 2">
          <a:extLst>
            <a:ext uri="{FF2B5EF4-FFF2-40B4-BE49-F238E27FC236}">
              <a16:creationId xmlns:a16="http://schemas.microsoft.com/office/drawing/2014/main" id="{9D0A6502-390E-1B41-8BD8-8682A3F8C7EC}"/>
            </a:ext>
          </a:extLst>
        </xdr:cNvPr>
        <xdr:cNvSpPr txBox="1"/>
      </xdr:nvSpPr>
      <xdr:spPr>
        <a:xfrm rot="20935205">
          <a:off x="4962688" y="10667999"/>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197554</xdr:colOff>
      <xdr:row>17</xdr:row>
      <xdr:rowOff>155223</xdr:rowOff>
    </xdr:from>
    <xdr:to>
      <xdr:col>13</xdr:col>
      <xdr:colOff>814492</xdr:colOff>
      <xdr:row>23</xdr:row>
      <xdr:rowOff>161008</xdr:rowOff>
    </xdr:to>
    <xdr:sp macro="" textlink="">
      <xdr:nvSpPr>
        <xdr:cNvPr id="2" name="Tekstfelt 1">
          <a:extLst>
            <a:ext uri="{FF2B5EF4-FFF2-40B4-BE49-F238E27FC236}">
              <a16:creationId xmlns:a16="http://schemas.microsoft.com/office/drawing/2014/main" id="{1003676C-7575-D64B-8851-11665E8BC0A5}"/>
            </a:ext>
          </a:extLst>
        </xdr:cNvPr>
        <xdr:cNvSpPr txBox="1"/>
      </xdr:nvSpPr>
      <xdr:spPr>
        <a:xfrm rot="20935205">
          <a:off x="5630332" y="8678334"/>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282221</xdr:colOff>
      <xdr:row>17</xdr:row>
      <xdr:rowOff>14110</xdr:rowOff>
    </xdr:from>
    <xdr:to>
      <xdr:col>12</xdr:col>
      <xdr:colOff>574604</xdr:colOff>
      <xdr:row>23</xdr:row>
      <xdr:rowOff>19894</xdr:rowOff>
    </xdr:to>
    <xdr:sp macro="" textlink="">
      <xdr:nvSpPr>
        <xdr:cNvPr id="2" name="Tekstfelt 1">
          <a:extLst>
            <a:ext uri="{FF2B5EF4-FFF2-40B4-BE49-F238E27FC236}">
              <a16:creationId xmlns:a16="http://schemas.microsoft.com/office/drawing/2014/main" id="{7AD90AFD-4BD6-404C-BFE0-F9E0C6E96F7F}"/>
            </a:ext>
          </a:extLst>
        </xdr:cNvPr>
        <xdr:cNvSpPr txBox="1"/>
      </xdr:nvSpPr>
      <xdr:spPr>
        <a:xfrm rot="20935205">
          <a:off x="4557888" y="8551332"/>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1834445</xdr:colOff>
      <xdr:row>17</xdr:row>
      <xdr:rowOff>84665</xdr:rowOff>
    </xdr:from>
    <xdr:to>
      <xdr:col>11</xdr:col>
      <xdr:colOff>447605</xdr:colOff>
      <xdr:row>23</xdr:row>
      <xdr:rowOff>90450</xdr:rowOff>
    </xdr:to>
    <xdr:sp macro="" textlink="">
      <xdr:nvSpPr>
        <xdr:cNvPr id="2" name="Tekstfelt 1">
          <a:extLst>
            <a:ext uri="{FF2B5EF4-FFF2-40B4-BE49-F238E27FC236}">
              <a16:creationId xmlns:a16="http://schemas.microsoft.com/office/drawing/2014/main" id="{9F841613-5162-3A4E-A1FD-9D8586AF452C}"/>
            </a:ext>
          </a:extLst>
        </xdr:cNvPr>
        <xdr:cNvSpPr txBox="1"/>
      </xdr:nvSpPr>
      <xdr:spPr>
        <a:xfrm rot="20935205">
          <a:off x="3598334" y="8551332"/>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1876778</xdr:colOff>
      <xdr:row>17</xdr:row>
      <xdr:rowOff>155223</xdr:rowOff>
    </xdr:from>
    <xdr:to>
      <xdr:col>11</xdr:col>
      <xdr:colOff>489938</xdr:colOff>
      <xdr:row>23</xdr:row>
      <xdr:rowOff>161008</xdr:rowOff>
    </xdr:to>
    <xdr:sp macro="" textlink="">
      <xdr:nvSpPr>
        <xdr:cNvPr id="2" name="Tekstfelt 1">
          <a:extLst>
            <a:ext uri="{FF2B5EF4-FFF2-40B4-BE49-F238E27FC236}">
              <a16:creationId xmlns:a16="http://schemas.microsoft.com/office/drawing/2014/main" id="{06E8AE63-481B-1547-A47E-125F3024E13B}"/>
            </a:ext>
          </a:extLst>
        </xdr:cNvPr>
        <xdr:cNvSpPr txBox="1"/>
      </xdr:nvSpPr>
      <xdr:spPr>
        <a:xfrm rot="20935205">
          <a:off x="3640667" y="8551334"/>
          <a:ext cx="6698827" cy="1191118"/>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38"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79"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96"/>
  <sheetViews>
    <sheetView tabSelected="1" zoomScale="125" zoomScaleNormal="100" workbookViewId="0">
      <selection activeCell="B83" sqref="B83:B85"/>
    </sheetView>
  </sheetViews>
  <sheetFormatPr baseColWidth="10" defaultRowHeight="16"/>
  <cols>
    <col min="1" max="1" width="10.83203125" style="104"/>
    <col min="2" max="2" width="157.33203125" style="104" customWidth="1"/>
    <col min="3" max="3" width="10.83203125" style="104" customWidth="1"/>
    <col min="4" max="16384" width="10.83203125" style="104"/>
  </cols>
  <sheetData>
    <row r="1" spans="2:2">
      <c r="B1" s="193">
        <v>2021</v>
      </c>
    </row>
    <row r="2" spans="2:2">
      <c r="B2" s="194" t="s">
        <v>301</v>
      </c>
    </row>
    <row r="3" spans="2:2" ht="30" customHeight="1">
      <c r="B3" s="718" t="s">
        <v>519</v>
      </c>
    </row>
    <row r="4" spans="2:2" ht="29" customHeight="1">
      <c r="B4" s="718" t="s">
        <v>520</v>
      </c>
    </row>
    <row r="5" spans="2:2" ht="18" customHeight="1">
      <c r="B5" s="719" t="s">
        <v>435</v>
      </c>
    </row>
    <row r="6" spans="2:2">
      <c r="B6" s="107"/>
    </row>
    <row r="7" spans="2:2">
      <c r="B7" s="714" t="s">
        <v>456</v>
      </c>
    </row>
    <row r="8" spans="2:2">
      <c r="B8" s="902" t="s">
        <v>436</v>
      </c>
    </row>
    <row r="9" spans="2:2">
      <c r="B9" s="902"/>
    </row>
    <row r="10" spans="2:2">
      <c r="B10" s="191" t="s">
        <v>490</v>
      </c>
    </row>
    <row r="11" spans="2:2">
      <c r="B11" s="191"/>
    </row>
    <row r="12" spans="2:2">
      <c r="B12" s="714" t="s">
        <v>457</v>
      </c>
    </row>
    <row r="13" spans="2:2">
      <c r="B13" s="714" t="s">
        <v>446</v>
      </c>
    </row>
    <row r="14" spans="2:2" ht="33" customHeight="1">
      <c r="B14" s="592" t="s">
        <v>437</v>
      </c>
    </row>
    <row r="15" spans="2:2" ht="34" customHeight="1">
      <c r="B15" s="709" t="s">
        <v>445</v>
      </c>
    </row>
    <row r="16" spans="2:2" ht="43" customHeight="1">
      <c r="B16" s="592" t="s">
        <v>521</v>
      </c>
    </row>
    <row r="17" spans="1:7" ht="42" customHeight="1">
      <c r="B17" s="625" t="s">
        <v>620</v>
      </c>
      <c r="C17" s="710"/>
      <c r="D17" s="710"/>
      <c r="E17" s="710"/>
      <c r="F17" s="710"/>
      <c r="G17" s="710"/>
    </row>
    <row r="18" spans="1:7" ht="41" customHeight="1">
      <c r="B18" s="592" t="s">
        <v>522</v>
      </c>
    </row>
    <row r="19" spans="1:7" ht="20" customHeight="1">
      <c r="B19" s="709" t="s">
        <v>523</v>
      </c>
    </row>
    <row r="20" spans="1:7" ht="19" customHeight="1">
      <c r="B20" s="709" t="s">
        <v>524</v>
      </c>
    </row>
    <row r="21" spans="1:7" ht="19" customHeight="1">
      <c r="B21" s="709" t="s">
        <v>491</v>
      </c>
    </row>
    <row r="22" spans="1:7" ht="19" customHeight="1">
      <c r="B22" s="711" t="s">
        <v>525</v>
      </c>
    </row>
    <row r="23" spans="1:7" ht="51">
      <c r="B23" s="592" t="s">
        <v>526</v>
      </c>
    </row>
    <row r="24" spans="1:7" ht="34">
      <c r="B24" s="592" t="s">
        <v>527</v>
      </c>
    </row>
    <row r="25" spans="1:7" ht="56" customHeight="1">
      <c r="B25" s="592" t="s">
        <v>492</v>
      </c>
    </row>
    <row r="26" spans="1:7" ht="44" customHeight="1">
      <c r="B26" s="592" t="s">
        <v>447</v>
      </c>
    </row>
    <row r="27" spans="1:7" ht="34" customHeight="1">
      <c r="B27" s="592" t="s">
        <v>448</v>
      </c>
    </row>
    <row r="28" spans="1:7" ht="21" customHeight="1">
      <c r="A28" s="901"/>
      <c r="B28" s="900" t="s">
        <v>634</v>
      </c>
    </row>
    <row r="29" spans="1:7" ht="21" customHeight="1">
      <c r="A29" s="901"/>
      <c r="B29" s="900"/>
    </row>
    <row r="30" spans="1:7" ht="21" customHeight="1">
      <c r="A30" s="901"/>
      <c r="B30" s="900"/>
    </row>
    <row r="31" spans="1:7" ht="21" customHeight="1">
      <c r="B31" s="900" t="s">
        <v>628</v>
      </c>
    </row>
    <row r="32" spans="1:7" ht="21" customHeight="1">
      <c r="B32" s="900"/>
    </row>
    <row r="33" spans="2:2" ht="27" customHeight="1">
      <c r="B33" s="900"/>
    </row>
    <row r="34" spans="2:2" ht="22" customHeight="1">
      <c r="B34" s="900" t="s">
        <v>528</v>
      </c>
    </row>
    <row r="35" spans="2:2" ht="50" customHeight="1">
      <c r="B35" s="900"/>
    </row>
    <row r="36" spans="2:2">
      <c r="B36" s="713"/>
    </row>
    <row r="37" spans="2:2" ht="17">
      <c r="B37" s="715" t="s">
        <v>449</v>
      </c>
    </row>
    <row r="38" spans="2:2" ht="51">
      <c r="B38" s="851" t="s">
        <v>553</v>
      </c>
    </row>
    <row r="39" spans="2:2">
      <c r="B39" s="851"/>
    </row>
    <row r="40" spans="2:2" ht="17">
      <c r="B40" s="715" t="s">
        <v>450</v>
      </c>
    </row>
    <row r="41" spans="2:2" ht="85">
      <c r="B41" s="851" t="s">
        <v>619</v>
      </c>
    </row>
    <row r="42" spans="2:2">
      <c r="B42" s="712"/>
    </row>
    <row r="43" spans="2:2" ht="51">
      <c r="B43" s="712" t="s">
        <v>529</v>
      </c>
    </row>
    <row r="44" spans="2:2">
      <c r="B44" s="712"/>
    </row>
    <row r="45" spans="2:2" ht="17">
      <c r="B45" s="715" t="s">
        <v>455</v>
      </c>
    </row>
    <row r="46" spans="2:2">
      <c r="B46" s="192" t="s">
        <v>151</v>
      </c>
    </row>
    <row r="47" spans="2:2" ht="16" customHeight="1">
      <c r="B47" s="331" t="s">
        <v>211</v>
      </c>
    </row>
    <row r="48" spans="2:2" ht="38" customHeight="1">
      <c r="B48" s="333" t="s">
        <v>212</v>
      </c>
    </row>
    <row r="49" spans="2:5" ht="20" customHeight="1">
      <c r="B49" s="332" t="s">
        <v>205</v>
      </c>
    </row>
    <row r="50" spans="2:5">
      <c r="B50" s="332" t="s">
        <v>206</v>
      </c>
    </row>
    <row r="51" spans="2:5" ht="19" customHeight="1">
      <c r="B51" s="347" t="s">
        <v>213</v>
      </c>
    </row>
    <row r="52" spans="2:5" ht="22" customHeight="1">
      <c r="B52" s="332" t="s">
        <v>214</v>
      </c>
    </row>
    <row r="53" spans="2:5" ht="55" customHeight="1">
      <c r="B53" s="717" t="s">
        <v>454</v>
      </c>
    </row>
    <row r="54" spans="2:5" ht="16" customHeight="1">
      <c r="B54" s="903" t="s">
        <v>516</v>
      </c>
    </row>
    <row r="55" spans="2:5" ht="16" hidden="1" customHeight="1">
      <c r="B55" s="903"/>
      <c r="E55" s="106"/>
    </row>
    <row r="56" spans="2:5">
      <c r="B56" s="322"/>
    </row>
    <row r="57" spans="2:5" ht="17">
      <c r="B57" s="311" t="s">
        <v>451</v>
      </c>
    </row>
    <row r="58" spans="2:5" ht="34">
      <c r="B58" s="309" t="s">
        <v>558</v>
      </c>
    </row>
    <row r="59" spans="2:5">
      <c r="B59" s="309"/>
    </row>
    <row r="60" spans="2:5" ht="17">
      <c r="B60" s="311" t="s">
        <v>152</v>
      </c>
    </row>
    <row r="61" spans="2:5" ht="34">
      <c r="B61" s="310" t="s">
        <v>493</v>
      </c>
    </row>
    <row r="62" spans="2:5" ht="17">
      <c r="B62" s="312" t="s">
        <v>494</v>
      </c>
    </row>
    <row r="63" spans="2:5" ht="17">
      <c r="B63" s="313" t="s">
        <v>495</v>
      </c>
    </row>
    <row r="64" spans="2:5" ht="55" customHeight="1">
      <c r="B64" s="314" t="s">
        <v>499</v>
      </c>
    </row>
    <row r="65" spans="2:2" ht="20" customHeight="1">
      <c r="B65" s="315" t="s">
        <v>497</v>
      </c>
    </row>
    <row r="66" spans="2:2" ht="17">
      <c r="B66" s="311" t="s">
        <v>452</v>
      </c>
    </row>
    <row r="67" spans="2:2">
      <c r="B67" s="309"/>
    </row>
    <row r="68" spans="2:2" ht="17">
      <c r="B68" s="316" t="s">
        <v>153</v>
      </c>
    </row>
    <row r="69" spans="2:2" ht="16" customHeight="1">
      <c r="B69" s="904" t="s">
        <v>498</v>
      </c>
    </row>
    <row r="70" spans="2:2">
      <c r="B70" s="904"/>
    </row>
    <row r="71" spans="2:2" ht="50" customHeight="1">
      <c r="B71" s="904"/>
    </row>
    <row r="72" spans="2:2" s="306" customFormat="1" ht="12" customHeight="1">
      <c r="B72" s="317"/>
    </row>
    <row r="73" spans="2:2" s="306" customFormat="1" ht="17" customHeight="1">
      <c r="B73" s="836" t="s">
        <v>511</v>
      </c>
    </row>
    <row r="74" spans="2:2" s="306" customFormat="1" ht="30" customHeight="1">
      <c r="B74" s="836" t="s">
        <v>512</v>
      </c>
    </row>
    <row r="75" spans="2:2">
      <c r="B75" s="317"/>
    </row>
    <row r="76" spans="2:2" ht="17">
      <c r="B76" s="318" t="s">
        <v>191</v>
      </c>
    </row>
    <row r="77" spans="2:2" ht="17">
      <c r="B77" s="319" t="s">
        <v>192</v>
      </c>
    </row>
    <row r="78" spans="2:2" ht="34">
      <c r="B78" s="319" t="s">
        <v>199</v>
      </c>
    </row>
    <row r="79" spans="2:2" ht="17">
      <c r="B79" s="319" t="s">
        <v>200</v>
      </c>
    </row>
    <row r="80" spans="2:2" ht="33" customHeight="1">
      <c r="B80" s="319" t="s">
        <v>500</v>
      </c>
    </row>
    <row r="81" spans="2:2">
      <c r="B81" s="309"/>
    </row>
    <row r="82" spans="2:2" ht="17">
      <c r="B82" s="716" t="s">
        <v>154</v>
      </c>
    </row>
    <row r="83" spans="2:2" ht="16" customHeight="1">
      <c r="B83" s="899" t="s">
        <v>641</v>
      </c>
    </row>
    <row r="84" spans="2:2">
      <c r="B84" s="899"/>
    </row>
    <row r="85" spans="2:2">
      <c r="B85" s="899"/>
    </row>
    <row r="86" spans="2:2" s="306" customFormat="1">
      <c r="B86" s="320"/>
    </row>
    <row r="87" spans="2:2" ht="17">
      <c r="B87" s="311" t="s">
        <v>112</v>
      </c>
    </row>
    <row r="88" spans="2:2" ht="16" customHeight="1">
      <c r="B88" s="898" t="s">
        <v>453</v>
      </c>
    </row>
    <row r="89" spans="2:2">
      <c r="B89" s="898"/>
    </row>
    <row r="90" spans="2:2">
      <c r="B90" s="898"/>
    </row>
    <row r="91" spans="2:2" ht="52" customHeight="1">
      <c r="B91" s="898"/>
    </row>
    <row r="92" spans="2:2" ht="65" customHeight="1">
      <c r="B92" s="839" t="s">
        <v>515</v>
      </c>
    </row>
    <row r="93" spans="2:2" ht="19" customHeight="1">
      <c r="B93" s="839"/>
    </row>
    <row r="94" spans="2:2">
      <c r="B94" s="840" t="s">
        <v>560</v>
      </c>
    </row>
    <row r="95" spans="2:2" ht="38" customHeight="1">
      <c r="B95" s="839" t="s">
        <v>513</v>
      </c>
    </row>
    <row r="96" spans="2:2">
      <c r="B96" s="104" t="s">
        <v>514</v>
      </c>
    </row>
  </sheetData>
  <sheetProtection sheet="1" objects="1" scenarios="1"/>
  <mergeCells count="9">
    <mergeCell ref="B8:B9"/>
    <mergeCell ref="B54:B55"/>
    <mergeCell ref="B69:B71"/>
    <mergeCell ref="B88:B91"/>
    <mergeCell ref="B83:B85"/>
    <mergeCell ref="B28:B30"/>
    <mergeCell ref="B31:B33"/>
    <mergeCell ref="A28:A30"/>
    <mergeCell ref="B34:B35"/>
  </mergeCells>
  <phoneticPr fontId="5" type="noConversion"/>
  <pageMargins left="0.25" right="0.25" top="0.75" bottom="0.75" header="0.3" footer="0.3"/>
  <pageSetup paperSize="9" scale="35"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HC90"/>
  <sheetViews>
    <sheetView zoomScale="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12</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December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v>2022</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42" customHeight="1">
      <c r="A7" s="1078" t="s">
        <v>331</v>
      </c>
      <c r="B7" s="1079"/>
      <c r="C7" s="1079"/>
      <c r="D7" s="1080"/>
      <c r="E7" s="1095"/>
      <c r="F7" s="1096"/>
      <c r="G7" s="1097"/>
      <c r="H7" s="1087" t="s">
        <v>395</v>
      </c>
      <c r="I7" s="1077"/>
      <c r="J7" s="1459"/>
      <c r="K7" s="568" t="s">
        <v>356</v>
      </c>
      <c r="L7" s="568" t="s">
        <v>357</v>
      </c>
      <c r="M7" s="885" t="s">
        <v>624</v>
      </c>
      <c r="N7" s="1059"/>
      <c r="O7" s="1059"/>
      <c r="P7" s="1059"/>
      <c r="Q7" s="1059"/>
      <c r="R7" s="1193"/>
      <c r="S7" s="569"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31"/>
      <c r="BB8" s="420"/>
      <c r="CA8" s="180"/>
      <c r="CB8" s="430"/>
      <c r="CC8" s="531"/>
      <c r="CX8" s="455"/>
      <c r="DA8" s="455"/>
      <c r="DB8" s="455"/>
      <c r="DC8" s="455"/>
      <c r="DD8" s="455"/>
      <c r="DE8" s="455"/>
      <c r="DF8" s="455"/>
      <c r="DG8" s="455"/>
    </row>
    <row r="9" spans="1:211">
      <c r="A9" s="443">
        <f>IF(ISNUMBER(A7),A7+1,1)</f>
        <v>1</v>
      </c>
      <c r="B9" s="218" t="str">
        <f t="shared" ref="B9:B39" si="0">CHOOSE(MOD(WEEKDAY(DATE(A$6,A$2,A9)),7)+1,"lø","sø","ma","ti","on","to","fr",)</f>
        <v>to</v>
      </c>
      <c r="C9" s="219" t="s">
        <v>246</v>
      </c>
      <c r="D9" s="220" t="str">
        <f t="shared" ref="D9:D39" si="1">IF(B9="ma",(DATE(A$6,A$2,A9)-DATE(A$6,1,1)+7)/7,"")</f>
        <v/>
      </c>
      <c r="E9" s="906" t="s">
        <v>594</v>
      </c>
      <c r="F9" s="907"/>
      <c r="G9" s="908"/>
      <c r="H9" s="526"/>
      <c r="I9" s="855"/>
      <c r="J9" s="726"/>
      <c r="K9" s="669">
        <v>8</v>
      </c>
      <c r="L9" s="669">
        <v>4.5</v>
      </c>
      <c r="M9" s="669">
        <v>1</v>
      </c>
      <c r="N9" s="557">
        <f>BA9</f>
        <v>8</v>
      </c>
      <c r="O9" s="557">
        <f>CA9</f>
        <v>4.5</v>
      </c>
      <c r="P9" s="557">
        <f>IF(Stamoplysninger!$H$29="JA",December!DG9,CX9)</f>
        <v>1</v>
      </c>
      <c r="Q9" s="557">
        <f>IF(OR(C9="Lejrskole",C9="Ekskursion"),0,N9-O9-P9)</f>
        <v>2.5</v>
      </c>
      <c r="R9" s="558"/>
      <c r="S9" s="564"/>
      <c r="T9" s="565"/>
      <c r="U9" s="565"/>
      <c r="V9" s="559"/>
      <c r="W9" s="763"/>
      <c r="X9" s="560"/>
      <c r="Y9">
        <f>IF($S$9="x",V9-N10,0)</f>
        <v>0</v>
      </c>
      <c r="Z9">
        <f t="shared" ref="Z9:Z39" si="2">IF(T9="x",W9-O10,0)</f>
        <v>0</v>
      </c>
      <c r="AA9" s="1">
        <f t="shared" ref="AA9:AA39" si="3">IF(C9="emnedag",K9,0)</f>
        <v>8</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9" si="8">SUM(AG9:AK9)*24</f>
        <v>0</v>
      </c>
      <c r="BC9" s="1">
        <f>IF($C$9="Lejrskole",$L$9,0)</f>
        <v>0</v>
      </c>
      <c r="BD9" s="1">
        <f t="shared" ref="BD9:BD39" si="9">IF(C9="Ekskursion",L9,0)</f>
        <v>0</v>
      </c>
      <c r="BE9" s="1">
        <f t="shared" ref="BE9:BE39" si="10">IF(C9="fagdag",L9,0)</f>
        <v>0</v>
      </c>
      <c r="BF9" s="1">
        <f t="shared" ref="BF9:BF39" si="11">IF(C9="emnedag",L9,0)</f>
        <v>4.5</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4.5</v>
      </c>
      <c r="CB9" s="1">
        <f t="shared" ref="CB9:CB39" si="12">IF(C9="fagdag",M9,0)</f>
        <v>0</v>
      </c>
      <c r="CC9" s="1">
        <f t="shared" ref="CC9:CC39" si="13">IF(C9="emnedag",M9,0)</f>
        <v>1</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1</v>
      </c>
      <c r="CY9" s="457">
        <f>IF(C9="Skema 1",Stamoplysninger!$H$30/200,0)</f>
        <v>0</v>
      </c>
      <c r="CZ9" s="457">
        <f>IF(C9="Skema 2",Stamoplysninger!$H$30/200,0)</f>
        <v>0</v>
      </c>
      <c r="DA9" s="457">
        <f>IF(C9="Skema 3",Stamoplysninger!$H$30/200,0)</f>
        <v>0</v>
      </c>
      <c r="DB9" s="457">
        <f>IF(C9="Skema 4",Stamoplysninger!$H$30/200,0)</f>
        <v>0</v>
      </c>
      <c r="DC9" s="457">
        <f>IF(C9="fagdag",Stamoplysninger!$H$30/200,0)</f>
        <v>0</v>
      </c>
      <c r="DD9" s="457">
        <f>IF(C9="emnedag",Stamoplysninger!$H$30/200,0)</f>
        <v>1</v>
      </c>
      <c r="DE9" s="457">
        <f>IF(C9="lejrskole",Stamoplysninger!$H$30/200,0)</f>
        <v>0</v>
      </c>
      <c r="DF9" s="457">
        <f>IF(C9="ekskursion",Stamoplysninger!$H$30/200,0)</f>
        <v>0</v>
      </c>
      <c r="DG9" s="457">
        <f>SUM(CY9:DF9)</f>
        <v>1</v>
      </c>
    </row>
    <row r="10" spans="1:211">
      <c r="A10" s="443">
        <f t="shared" ref="A10:A38" si="14">IF(ISNUMBER(A9),A9+1,1)</f>
        <v>2</v>
      </c>
      <c r="B10" s="218" t="str">
        <f t="shared" si="0"/>
        <v>fr</v>
      </c>
      <c r="C10" s="219" t="s">
        <v>241</v>
      </c>
      <c r="D10" s="220" t="str">
        <f t="shared" si="1"/>
        <v/>
      </c>
      <c r="E10" s="906"/>
      <c r="F10" s="907"/>
      <c r="G10" s="908"/>
      <c r="H10" s="526"/>
      <c r="I10" s="855"/>
      <c r="J10" s="726"/>
      <c r="K10" s="669"/>
      <c r="L10" s="669"/>
      <c r="M10" s="669"/>
      <c r="N10" s="557">
        <f t="shared" ref="N10:N39" si="15">BA10</f>
        <v>7</v>
      </c>
      <c r="O10" s="557">
        <f t="shared" ref="O10:O39" si="16">CA10</f>
        <v>2.25</v>
      </c>
      <c r="P10" s="557">
        <f>IF(Stamoplysninger!$H$29="JA",December!DG10,CX10)</f>
        <v>0.33333333333333331</v>
      </c>
      <c r="Q10" s="557">
        <f t="shared" ref="Q10:Q39" si="17">IF(OR(C10="Lejrskole",C10="Ekskursion"),0,N10-O10-P10)</f>
        <v>4.416666666666667</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f>IF(AND(C10="Skema 1",B10="fr"),Arbejdstidsoversigt!$E$48,"")</f>
        <v>7</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7</v>
      </c>
      <c r="BB10" s="421">
        <f t="shared" si="8"/>
        <v>168</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f>IF(AND(C10="Skema 1",B10="fr"),Skemaoplysninger!$I$28,"")</f>
        <v>9.375E-2</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2.25</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f>IF(AND(C10="Skema 1",B10="fr"),Skemaoplysninger!$I$37,"")</f>
        <v>0.33333333333333331</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0.33333333333333331</v>
      </c>
      <c r="CY10" s="457">
        <f>IF(C10="Skema 1",Stamoplysninger!$H$30/200,0)</f>
        <v>1</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1</v>
      </c>
    </row>
    <row r="11" spans="1:211">
      <c r="A11" s="443">
        <f t="shared" si="14"/>
        <v>3</v>
      </c>
      <c r="B11" s="218" t="str">
        <f t="shared" si="0"/>
        <v>lø</v>
      </c>
      <c r="C11" s="219" t="s">
        <v>138</v>
      </c>
      <c r="D11" s="220" t="str">
        <f t="shared" si="1"/>
        <v/>
      </c>
      <c r="E11" s="906"/>
      <c r="F11" s="907"/>
      <c r="G11" s="908"/>
      <c r="H11" s="526"/>
      <c r="I11" s="726"/>
      <c r="J11" s="726"/>
      <c r="K11" s="669"/>
      <c r="L11" s="669"/>
      <c r="M11" s="669"/>
      <c r="N11" s="557">
        <f t="shared" si="15"/>
        <v>0</v>
      </c>
      <c r="O11" s="557">
        <f t="shared" si="16"/>
        <v>0</v>
      </c>
      <c r="P11" s="557">
        <f>IF(Stamoplysninger!$H$29="JA",December!DG11,CX11)</f>
        <v>0</v>
      </c>
      <c r="Q11" s="557">
        <f t="shared" si="17"/>
        <v>0</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8"/>
        <v>0</v>
      </c>
      <c r="BC11" s="1">
        <f t="shared" si="20"/>
        <v>0</v>
      </c>
      <c r="BD11" s="1">
        <f t="shared" si="9"/>
        <v>0</v>
      </c>
      <c r="BE11" s="1">
        <f t="shared" si="10"/>
        <v>0</v>
      </c>
      <c r="BF11" s="1">
        <f t="shared" si="11"/>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2"/>
        <v>0</v>
      </c>
      <c r="CC11" s="1">
        <f t="shared" si="13"/>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4"/>
        <v>4</v>
      </c>
      <c r="B12" s="218" t="str">
        <f t="shared" si="0"/>
        <v>sø</v>
      </c>
      <c r="C12" s="219" t="s">
        <v>138</v>
      </c>
      <c r="D12" s="220" t="str">
        <f t="shared" si="1"/>
        <v/>
      </c>
      <c r="E12" s="906"/>
      <c r="F12" s="907"/>
      <c r="G12" s="908"/>
      <c r="H12" s="526"/>
      <c r="I12" s="726"/>
      <c r="J12" s="726"/>
      <c r="K12" s="669"/>
      <c r="L12" s="669"/>
      <c r="M12" s="669"/>
      <c r="N12" s="557">
        <f t="shared" si="15"/>
        <v>0</v>
      </c>
      <c r="O12" s="557">
        <f t="shared" si="16"/>
        <v>0</v>
      </c>
      <c r="P12" s="557">
        <f>IF(Stamoplysninger!$H$29="JA",December!DG12,CX12)</f>
        <v>0</v>
      </c>
      <c r="Q12" s="557">
        <f t="shared" si="17"/>
        <v>0</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8"/>
        <v>0</v>
      </c>
      <c r="BC12" s="1">
        <f t="shared" si="20"/>
        <v>0</v>
      </c>
      <c r="BD12" s="1">
        <f t="shared" si="9"/>
        <v>0</v>
      </c>
      <c r="BE12" s="1">
        <f t="shared" si="10"/>
        <v>0</v>
      </c>
      <c r="BF12" s="1">
        <f t="shared" si="11"/>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2"/>
        <v>0</v>
      </c>
      <c r="CC12" s="1">
        <f t="shared" si="13"/>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4"/>
        <v>5</v>
      </c>
      <c r="B13" s="218" t="str">
        <f t="shared" si="0"/>
        <v>ma</v>
      </c>
      <c r="C13" s="219" t="s">
        <v>241</v>
      </c>
      <c r="D13" s="220">
        <f t="shared" si="1"/>
        <v>49.285714285714285</v>
      </c>
      <c r="E13" s="906"/>
      <c r="F13" s="907"/>
      <c r="G13" s="908"/>
      <c r="H13" s="526"/>
      <c r="I13" s="855"/>
      <c r="J13" s="726"/>
      <c r="K13" s="669"/>
      <c r="L13" s="669"/>
      <c r="M13" s="669"/>
      <c r="N13" s="557">
        <f t="shared" si="15"/>
        <v>8</v>
      </c>
      <c r="O13" s="557">
        <f t="shared" si="16"/>
        <v>3.75</v>
      </c>
      <c r="P13" s="557">
        <f>IF(Stamoplysninger!$H$29="JA",December!DG13,CX13)</f>
        <v>0.91666666666666674</v>
      </c>
      <c r="Q13" s="557">
        <f t="shared" si="17"/>
        <v>3.333333333333333</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f>IF(AND(C13="Skema 1",B13="ma"),Arbejdstidsoversigt!$E$44,"")</f>
        <v>8</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8</v>
      </c>
      <c r="BB13" s="421">
        <f t="shared" si="8"/>
        <v>192</v>
      </c>
      <c r="BC13" s="1">
        <f t="shared" si="20"/>
        <v>0</v>
      </c>
      <c r="BD13" s="1">
        <f t="shared" si="9"/>
        <v>0</v>
      </c>
      <c r="BE13" s="1">
        <f t="shared" si="10"/>
        <v>0</v>
      </c>
      <c r="BF13" s="1">
        <f t="shared" si="11"/>
        <v>0</v>
      </c>
      <c r="BG13" s="382">
        <f>IF(AND(C13="Skema 1",B13="ma"),Skemaoplysninger!$E$28,"")</f>
        <v>0.15625</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3.75</v>
      </c>
      <c r="CB13" s="1">
        <f t="shared" si="12"/>
        <v>0</v>
      </c>
      <c r="CC13" s="1">
        <f t="shared" si="13"/>
        <v>0</v>
      </c>
      <c r="CD13" s="382">
        <f>IF(AND(C13="Skema 1",B13="ma"),Skemaoplysninger!$E$37,"")</f>
        <v>0.91666666666666674</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0.91666666666666674</v>
      </c>
      <c r="CY13" s="457">
        <f>IF(C13="Skema 1",Stamoplysninger!$H$30/200,0)</f>
        <v>1</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1</v>
      </c>
    </row>
    <row r="14" spans="1:211" ht="16" customHeight="1">
      <c r="A14" s="443">
        <f t="shared" si="14"/>
        <v>6</v>
      </c>
      <c r="B14" s="218" t="str">
        <f t="shared" si="0"/>
        <v>ti</v>
      </c>
      <c r="C14" s="219" t="s">
        <v>241</v>
      </c>
      <c r="D14" s="220" t="str">
        <f t="shared" si="1"/>
        <v/>
      </c>
      <c r="E14" s="906"/>
      <c r="F14" s="907"/>
      <c r="G14" s="908"/>
      <c r="H14" s="526"/>
      <c r="I14" s="855"/>
      <c r="J14" s="726"/>
      <c r="K14" s="669"/>
      <c r="L14" s="669"/>
      <c r="M14" s="669"/>
      <c r="N14" s="557">
        <f t="shared" si="15"/>
        <v>8</v>
      </c>
      <c r="O14" s="557">
        <f t="shared" si="16"/>
        <v>5.25</v>
      </c>
      <c r="P14" s="557">
        <f>IF(Stamoplysninger!$H$29="JA",December!DG14,CX14)</f>
        <v>1.0833333333333335</v>
      </c>
      <c r="Q14" s="557">
        <f t="shared" si="17"/>
        <v>1.6666666666666665</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f>IF(AND(C14="Skema 1",B14="ti"),Arbejdstidsoversigt!$E$45,"")</f>
        <v>8</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8</v>
      </c>
      <c r="BB14" s="421">
        <f t="shared" si="8"/>
        <v>192</v>
      </c>
      <c r="BC14" s="1">
        <f t="shared" si="20"/>
        <v>0</v>
      </c>
      <c r="BD14" s="1">
        <f t="shared" si="9"/>
        <v>0</v>
      </c>
      <c r="BE14" s="1">
        <f t="shared" si="10"/>
        <v>0</v>
      </c>
      <c r="BF14" s="1">
        <f t="shared" si="11"/>
        <v>0</v>
      </c>
      <c r="BG14" s="382" t="str">
        <f>IF(AND(C14="Skema 1",B14="ma"),Skemaoplysninger!$E$28,"")</f>
        <v/>
      </c>
      <c r="BH14" s="382">
        <f>IF(AND(C14="Skema 1",B14="ti"),Skemaoplysninger!$F$28,"")</f>
        <v>0.21875</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5.25</v>
      </c>
      <c r="CB14" s="1">
        <f t="shared" si="12"/>
        <v>0</v>
      </c>
      <c r="CC14" s="1">
        <f t="shared" si="13"/>
        <v>0</v>
      </c>
      <c r="CD14" s="382" t="str">
        <f>IF(AND(C14="Skema 1",B14="ma"),Skemaoplysninger!$E$37,"")</f>
        <v/>
      </c>
      <c r="CE14" s="382">
        <f>IF(AND(C14="Skema 1",B14="ti"),Skemaoplysninger!$F$37,"")</f>
        <v>1.0833333333333335</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1.0833333333333335</v>
      </c>
      <c r="CY14" s="457">
        <f>IF(C14="Skema 1",Stamoplysninger!$H$30/200,0)</f>
        <v>1</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4"/>
        <v>7</v>
      </c>
      <c r="B15" s="218" t="str">
        <f t="shared" si="0"/>
        <v>on</v>
      </c>
      <c r="C15" s="219" t="s">
        <v>241</v>
      </c>
      <c r="D15" s="220" t="str">
        <f t="shared" si="1"/>
        <v/>
      </c>
      <c r="E15" s="906"/>
      <c r="F15" s="907"/>
      <c r="G15" s="908"/>
      <c r="H15" s="526"/>
      <c r="I15" s="855"/>
      <c r="J15" s="726"/>
      <c r="K15" s="669"/>
      <c r="L15" s="669"/>
      <c r="M15" s="669"/>
      <c r="N15" s="557">
        <f t="shared" si="15"/>
        <v>8</v>
      </c>
      <c r="O15" s="557">
        <f t="shared" si="16"/>
        <v>3.75</v>
      </c>
      <c r="P15" s="557">
        <f>IF(Stamoplysninger!$H$29="JA",December!DG15,CX15)</f>
        <v>0.91666666666666674</v>
      </c>
      <c r="Q15" s="557">
        <f t="shared" si="17"/>
        <v>3.333333333333333</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f>IF(AND(C15="Skema 1",B15="on"),Arbejdstidsoversigt!$E$46,"")</f>
        <v>8</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8</v>
      </c>
      <c r="BB15" s="421">
        <f t="shared" si="8"/>
        <v>192</v>
      </c>
      <c r="BC15" s="1">
        <f t="shared" si="20"/>
        <v>0</v>
      </c>
      <c r="BD15" s="1">
        <f t="shared" si="9"/>
        <v>0</v>
      </c>
      <c r="BE15" s="1">
        <f t="shared" si="10"/>
        <v>0</v>
      </c>
      <c r="BF15" s="1">
        <f t="shared" si="11"/>
        <v>0</v>
      </c>
      <c r="BG15" s="382" t="str">
        <f>IF(AND(C15="Skema 1",B15="ma"),Skemaoplysninger!$E$28,"")</f>
        <v/>
      </c>
      <c r="BH15" s="382" t="str">
        <f>IF(AND(C15="Skema 1",B15="ti"),Skemaoplysninger!$F$28,"")</f>
        <v/>
      </c>
      <c r="BI15" s="382">
        <f>IF(AND(C15="Skema 1",B15="on"),Skemaoplysninger!$G$28,"")</f>
        <v>0.15625</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3.75</v>
      </c>
      <c r="CB15" s="1">
        <f t="shared" si="12"/>
        <v>0</v>
      </c>
      <c r="CC15" s="1">
        <f t="shared" si="13"/>
        <v>0</v>
      </c>
      <c r="CD15" s="382" t="str">
        <f>IF(AND(C15="Skema 1",B15="ma"),Skemaoplysninger!$E$37,"")</f>
        <v/>
      </c>
      <c r="CE15" s="382" t="str">
        <f>IF(AND(C15="Skema 1",B15="ti"),Skemaoplysninger!$F$37,"")</f>
        <v/>
      </c>
      <c r="CF15" s="382">
        <f>IF(AND(C15="Skema 1",B15="on"),Skemaoplysninger!$G$37,"")</f>
        <v>0.91666666666666674</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0.91666666666666674</v>
      </c>
      <c r="CY15" s="457">
        <f>IF(C15="Skema 1",Stamoplysninger!$H$30/200,0)</f>
        <v>1</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1</v>
      </c>
    </row>
    <row r="16" spans="1:211">
      <c r="A16" s="443">
        <f t="shared" si="14"/>
        <v>8</v>
      </c>
      <c r="B16" s="218" t="str">
        <f t="shared" si="0"/>
        <v>to</v>
      </c>
      <c r="C16" s="219" t="s">
        <v>241</v>
      </c>
      <c r="D16" s="220" t="str">
        <f t="shared" si="1"/>
        <v/>
      </c>
      <c r="E16" s="906"/>
      <c r="F16" s="907"/>
      <c r="G16" s="908"/>
      <c r="H16" s="526"/>
      <c r="I16" s="855"/>
      <c r="J16" s="726"/>
      <c r="K16" s="669"/>
      <c r="L16" s="669"/>
      <c r="M16" s="669"/>
      <c r="N16" s="557">
        <f t="shared" si="15"/>
        <v>8</v>
      </c>
      <c r="O16" s="557">
        <f t="shared" si="16"/>
        <v>3.75</v>
      </c>
      <c r="P16" s="557">
        <f>IF(Stamoplysninger!$H$29="JA",December!DG16,CX16)</f>
        <v>0.91666666666666674</v>
      </c>
      <c r="Q16" s="557">
        <f t="shared" si="17"/>
        <v>3.333333333333333</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f>IF(AND(C16="Skema 1",B16="to"),Arbejdstidsoversigt!$E$47,"")</f>
        <v>8</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8</v>
      </c>
      <c r="BB16" s="421">
        <f t="shared" si="8"/>
        <v>192</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f>IF(AND(C16="Skema 1",B16="to"),Skemaoplysninger!$H$28,"")</f>
        <v>0.15625</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3.75</v>
      </c>
      <c r="CB16" s="1">
        <f t="shared" si="12"/>
        <v>0</v>
      </c>
      <c r="CC16" s="1">
        <f t="shared" si="13"/>
        <v>0</v>
      </c>
      <c r="CD16" s="382" t="str">
        <f>IF(AND(C16="Skema 1",B16="ma"),Skemaoplysninger!$E$37,"")</f>
        <v/>
      </c>
      <c r="CE16" s="382" t="str">
        <f>IF(AND(C16="Skema 1",B16="ti"),Skemaoplysninger!$F$37,"")</f>
        <v/>
      </c>
      <c r="CF16" s="382" t="str">
        <f>IF(AND(C16="Skema 1",B16="on"),Skemaoplysninger!$G$37,"")</f>
        <v/>
      </c>
      <c r="CG16" s="382">
        <f>IF(AND(C16="Skema 1",B16="to"),Skemaoplysninger!$H$37,"")</f>
        <v>0.91666666666666674</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0.91666666666666674</v>
      </c>
      <c r="CY16" s="457">
        <f>IF(C16="Skema 1",Stamoplysninger!$H$30/200,0)</f>
        <v>1</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1</v>
      </c>
    </row>
    <row r="17" spans="1:111">
      <c r="A17" s="443">
        <f t="shared" si="14"/>
        <v>9</v>
      </c>
      <c r="B17" s="218" t="str">
        <f t="shared" si="0"/>
        <v>fr</v>
      </c>
      <c r="C17" s="219" t="s">
        <v>241</v>
      </c>
      <c r="D17" s="220" t="str">
        <f t="shared" si="1"/>
        <v/>
      </c>
      <c r="E17" s="906"/>
      <c r="F17" s="907"/>
      <c r="G17" s="908"/>
      <c r="H17" s="526"/>
      <c r="I17" s="855"/>
      <c r="J17" s="726"/>
      <c r="K17" s="669"/>
      <c r="L17" s="669"/>
      <c r="M17" s="669"/>
      <c r="N17" s="557">
        <f t="shared" si="15"/>
        <v>7</v>
      </c>
      <c r="O17" s="557">
        <f t="shared" si="16"/>
        <v>2.25</v>
      </c>
      <c r="P17" s="557">
        <f>IF(Stamoplysninger!$H$29="JA",December!DG17,CX17)</f>
        <v>0.33333333333333331</v>
      </c>
      <c r="Q17" s="557">
        <f t="shared" si="17"/>
        <v>4.416666666666667</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f>IF(AND(C17="Skema 1",B17="fr"),Arbejdstidsoversigt!$E$48,"")</f>
        <v>7</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7</v>
      </c>
      <c r="BB17" s="421">
        <f t="shared" si="8"/>
        <v>168</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f>IF(AND(C17="Skema 1",B17="fr"),Skemaoplysninger!$I$28,"")</f>
        <v>9.375E-2</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2.25</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f>IF(AND(C17="Skema 1",B17="fr"),Skemaoplysninger!$I$37,"")</f>
        <v>0.33333333333333331</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0.33333333333333331</v>
      </c>
      <c r="CY17" s="457">
        <f>IF(C17="Skema 1",Stamoplysninger!$H$30/200,0)</f>
        <v>1</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4"/>
        <v>10</v>
      </c>
      <c r="B18" s="218" t="str">
        <f t="shared" si="0"/>
        <v>lø</v>
      </c>
      <c r="C18" s="219" t="s">
        <v>138</v>
      </c>
      <c r="D18" s="220" t="str">
        <f t="shared" si="1"/>
        <v/>
      </c>
      <c r="E18" s="906"/>
      <c r="F18" s="907"/>
      <c r="G18" s="908"/>
      <c r="H18" s="526"/>
      <c r="I18" s="726"/>
      <c r="J18" s="726"/>
      <c r="K18" s="669"/>
      <c r="L18" s="669"/>
      <c r="M18" s="669"/>
      <c r="N18" s="557">
        <f t="shared" si="15"/>
        <v>0</v>
      </c>
      <c r="O18" s="557">
        <f t="shared" si="16"/>
        <v>0</v>
      </c>
      <c r="P18" s="557">
        <f>IF(Stamoplysninger!$H$29="JA",December!DG18,CX18)</f>
        <v>0</v>
      </c>
      <c r="Q18" s="557">
        <f t="shared" si="17"/>
        <v>0</v>
      </c>
      <c r="R18" s="558"/>
      <c r="S18" s="564"/>
      <c r="T18" s="565"/>
      <c r="U18" s="565"/>
      <c r="V18" s="559"/>
      <c r="W18" s="763"/>
      <c r="X18" s="560"/>
      <c r="Y18">
        <f t="shared" si="18"/>
        <v>0</v>
      </c>
      <c r="Z18">
        <f t="shared" si="2"/>
        <v>0</v>
      </c>
      <c r="AA18" s="1">
        <f t="shared" si="3"/>
        <v>0</v>
      </c>
      <c r="AB18" s="1">
        <f t="shared" si="4"/>
        <v>0</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0</v>
      </c>
      <c r="BB18" s="421">
        <f t="shared" si="8"/>
        <v>0</v>
      </c>
      <c r="BC18" s="1">
        <f t="shared" si="20"/>
        <v>0</v>
      </c>
      <c r="BD18" s="1">
        <f t="shared" si="9"/>
        <v>0</v>
      </c>
      <c r="BE18" s="1">
        <f t="shared" si="10"/>
        <v>0</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0</v>
      </c>
      <c r="CB18" s="1">
        <f t="shared" si="12"/>
        <v>0</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v>
      </c>
      <c r="CY18" s="457">
        <f>IF(C18="Skema 1",Stamoplysninger!$H$30/200,0)</f>
        <v>0</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0</v>
      </c>
    </row>
    <row r="19" spans="1:111">
      <c r="A19" s="443">
        <f t="shared" si="14"/>
        <v>11</v>
      </c>
      <c r="B19" s="218" t="str">
        <f t="shared" si="0"/>
        <v>sø</v>
      </c>
      <c r="C19" s="219" t="s">
        <v>138</v>
      </c>
      <c r="D19" s="220" t="str">
        <f t="shared" si="1"/>
        <v/>
      </c>
      <c r="E19" s="906"/>
      <c r="F19" s="907"/>
      <c r="G19" s="908"/>
      <c r="H19" s="526"/>
      <c r="I19" s="726"/>
      <c r="J19" s="726"/>
      <c r="K19" s="669"/>
      <c r="L19" s="669"/>
      <c r="M19" s="669"/>
      <c r="N19" s="557">
        <f t="shared" si="15"/>
        <v>0</v>
      </c>
      <c r="O19" s="557">
        <f t="shared" si="16"/>
        <v>0</v>
      </c>
      <c r="P19" s="557">
        <f>IF(Stamoplysninger!$H$29="JA",December!DG19,CX19)</f>
        <v>0</v>
      </c>
      <c r="Q19" s="557">
        <f t="shared" si="17"/>
        <v>0</v>
      </c>
      <c r="R19" s="558"/>
      <c r="S19" s="564"/>
      <c r="T19" s="565"/>
      <c r="U19" s="565"/>
      <c r="V19" s="559"/>
      <c r="W19" s="763"/>
      <c r="X19" s="560"/>
      <c r="Y19">
        <f t="shared" si="18"/>
        <v>0</v>
      </c>
      <c r="Z19">
        <f t="shared" si="2"/>
        <v>0</v>
      </c>
      <c r="AA19" s="1">
        <f t="shared" si="3"/>
        <v>0</v>
      </c>
      <c r="AB19" s="1">
        <f t="shared" si="4"/>
        <v>0</v>
      </c>
      <c r="AC19" s="1">
        <f t="shared" si="5"/>
        <v>0</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0</v>
      </c>
      <c r="BB19" s="421">
        <f t="shared" si="8"/>
        <v>0</v>
      </c>
      <c r="BC19" s="1">
        <f t="shared" si="20"/>
        <v>0</v>
      </c>
      <c r="BD19" s="1">
        <f t="shared" si="9"/>
        <v>0</v>
      </c>
      <c r="BE19" s="1">
        <f t="shared" si="10"/>
        <v>0</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2"/>
        <v>0</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ma</v>
      </c>
      <c r="C20" s="219" t="s">
        <v>241</v>
      </c>
      <c r="D20" s="220">
        <f t="shared" si="1"/>
        <v>50.285714285714285</v>
      </c>
      <c r="E20" s="906"/>
      <c r="F20" s="907"/>
      <c r="G20" s="908"/>
      <c r="H20" s="526"/>
      <c r="I20" s="855"/>
      <c r="J20" s="726"/>
      <c r="K20" s="669"/>
      <c r="L20" s="669"/>
      <c r="M20" s="669"/>
      <c r="N20" s="557">
        <f t="shared" si="15"/>
        <v>8</v>
      </c>
      <c r="O20" s="557">
        <f t="shared" si="16"/>
        <v>3.75</v>
      </c>
      <c r="P20" s="557">
        <f>IF(Stamoplysninger!$H$29="JA",December!DG20,CX20)</f>
        <v>0.91666666666666674</v>
      </c>
      <c r="Q20" s="557">
        <f t="shared" si="17"/>
        <v>3.333333333333333</v>
      </c>
      <c r="R20" s="558"/>
      <c r="S20" s="564"/>
      <c r="T20" s="565"/>
      <c r="U20" s="565"/>
      <c r="V20" s="559"/>
      <c r="W20" s="763"/>
      <c r="X20" s="560"/>
      <c r="Y20">
        <f t="shared" si="18"/>
        <v>0</v>
      </c>
      <c r="Z20">
        <f t="shared" si="2"/>
        <v>0</v>
      </c>
      <c r="AA20" s="1">
        <f t="shared" si="3"/>
        <v>0</v>
      </c>
      <c r="AB20" s="1">
        <f t="shared" si="4"/>
        <v>0</v>
      </c>
      <c r="AC20" s="1">
        <f t="shared" si="5"/>
        <v>0</v>
      </c>
      <c r="AD20" s="1">
        <f t="shared" si="6"/>
        <v>0</v>
      </c>
      <c r="AE20" s="1">
        <f t="shared" si="7"/>
        <v>0</v>
      </c>
      <c r="AF20" s="1">
        <f>IF(C20="Orlov",7.4*Stamoplysninger!$E$15,0)</f>
        <v>0</v>
      </c>
      <c r="AG20" s="383">
        <f>IF(AND(C20="Skema 1",B20="ma"),Arbejdstidsoversigt!$E$44,"")</f>
        <v>8</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8"/>
        <v>192</v>
      </c>
      <c r="BC20" s="1">
        <f t="shared" si="20"/>
        <v>0</v>
      </c>
      <c r="BD20" s="1">
        <f t="shared" si="9"/>
        <v>0</v>
      </c>
      <c r="BE20" s="1">
        <f t="shared" si="10"/>
        <v>0</v>
      </c>
      <c r="BF20" s="1">
        <f t="shared" si="11"/>
        <v>0</v>
      </c>
      <c r="BG20" s="382">
        <f>IF(AND(C20="Skema 1",B20="ma"),Skemaoplysninger!$E$28,"")</f>
        <v>0.15625</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3.75</v>
      </c>
      <c r="CB20" s="1">
        <f t="shared" si="12"/>
        <v>0</v>
      </c>
      <c r="CC20" s="1">
        <f t="shared" si="13"/>
        <v>0</v>
      </c>
      <c r="CD20" s="382">
        <f>IF(AND(C20="Skema 1",B20="ma"),Skemaoplysninger!$E$37,"")</f>
        <v>0.91666666666666674</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0.91666666666666674</v>
      </c>
      <c r="CY20" s="457">
        <f>IF(C20="Skema 1",Stamoplysninger!$H$30/200,0)</f>
        <v>1</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ti</v>
      </c>
      <c r="C21" s="219" t="s">
        <v>241</v>
      </c>
      <c r="D21" s="220" t="str">
        <f t="shared" si="1"/>
        <v/>
      </c>
      <c r="E21" s="909"/>
      <c r="F21" s="910"/>
      <c r="G21" s="911"/>
      <c r="H21" s="525" t="s">
        <v>596</v>
      </c>
      <c r="I21" s="855"/>
      <c r="J21" s="726"/>
      <c r="K21" s="669"/>
      <c r="L21" s="669"/>
      <c r="M21" s="669"/>
      <c r="N21" s="557">
        <f t="shared" si="15"/>
        <v>8</v>
      </c>
      <c r="O21" s="557">
        <f t="shared" si="16"/>
        <v>5.25</v>
      </c>
      <c r="P21" s="557">
        <f>IF(Stamoplysninger!$H$29="JA",December!DG21,CX21)</f>
        <v>1.0833333333333335</v>
      </c>
      <c r="Q21" s="557">
        <f t="shared" si="17"/>
        <v>1.6666666666666665</v>
      </c>
      <c r="R21" s="558">
        <v>3</v>
      </c>
      <c r="S21" s="564"/>
      <c r="T21" s="565"/>
      <c r="U21" s="565"/>
      <c r="V21" s="559"/>
      <c r="W21" s="763"/>
      <c r="X21" s="560"/>
      <c r="Y21">
        <f t="shared" si="18"/>
        <v>0</v>
      </c>
      <c r="Z21">
        <f t="shared" si="2"/>
        <v>0</v>
      </c>
      <c r="AA21" s="1">
        <f t="shared" si="3"/>
        <v>0</v>
      </c>
      <c r="AB21" s="1">
        <f t="shared" si="4"/>
        <v>0</v>
      </c>
      <c r="AC21" s="1">
        <f t="shared" si="5"/>
        <v>0</v>
      </c>
      <c r="AD21" s="1">
        <f t="shared" si="6"/>
        <v>0</v>
      </c>
      <c r="AE21" s="1">
        <f t="shared" si="7"/>
        <v>0</v>
      </c>
      <c r="AF21" s="1">
        <f>IF(C21="Orlov",7.4*Stamoplysninger!$E$15,0)</f>
        <v>0</v>
      </c>
      <c r="AG21" s="383" t="str">
        <f>IF(AND(C21="Skema 1",B21="ma"),Arbejdstidsoversigt!$E$44,"")</f>
        <v/>
      </c>
      <c r="AH21" s="383">
        <f>IF(AND(C21="Skema 1",B21="ti"),Arbejdstidsoversigt!$E$45,"")</f>
        <v>8</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8"/>
        <v>192</v>
      </c>
      <c r="BC21" s="1">
        <f t="shared" si="20"/>
        <v>0</v>
      </c>
      <c r="BD21" s="1">
        <f t="shared" si="9"/>
        <v>0</v>
      </c>
      <c r="BE21" s="1">
        <f t="shared" si="10"/>
        <v>0</v>
      </c>
      <c r="BF21" s="1">
        <f t="shared" si="11"/>
        <v>0</v>
      </c>
      <c r="BG21" s="382" t="str">
        <f>IF(AND(C21="Skema 1",B21="ma"),Skemaoplysninger!$E$28,"")</f>
        <v/>
      </c>
      <c r="BH21" s="382">
        <f>IF(AND(C21="Skema 1",B21="ti"),Skemaoplysninger!$F$28,"")</f>
        <v>0.21875</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5.25</v>
      </c>
      <c r="CB21" s="1">
        <f t="shared" si="12"/>
        <v>0</v>
      </c>
      <c r="CC21" s="1">
        <f t="shared" si="13"/>
        <v>0</v>
      </c>
      <c r="CD21" s="382" t="str">
        <f>IF(AND(C21="Skema 1",B21="ma"),Skemaoplysninger!$E$37,"")</f>
        <v/>
      </c>
      <c r="CE21" s="382">
        <f>IF(AND(C21="Skema 1",B21="ti"),Skemaoplysninger!$F$37,"")</f>
        <v>1.0833333333333335</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1.0833333333333335</v>
      </c>
      <c r="CY21" s="457">
        <f>IF(C21="Skema 1",Stamoplysninger!$H$30/200,0)</f>
        <v>1</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4"/>
        <v>14</v>
      </c>
      <c r="B22" s="218" t="str">
        <f t="shared" si="0"/>
        <v>on</v>
      </c>
      <c r="C22" s="219" t="s">
        <v>241</v>
      </c>
      <c r="D22" s="220" t="str">
        <f t="shared" si="1"/>
        <v/>
      </c>
      <c r="E22" s="909"/>
      <c r="F22" s="910"/>
      <c r="G22" s="911"/>
      <c r="H22" s="525"/>
      <c r="I22" s="855"/>
      <c r="J22" s="726"/>
      <c r="K22" s="669"/>
      <c r="L22" s="669"/>
      <c r="M22" s="669"/>
      <c r="N22" s="557">
        <f t="shared" si="15"/>
        <v>8</v>
      </c>
      <c r="O22" s="557">
        <f t="shared" si="16"/>
        <v>3.75</v>
      </c>
      <c r="P22" s="557">
        <f>IF(Stamoplysninger!$H$29="JA",December!DG22,CX22)</f>
        <v>0.91666666666666674</v>
      </c>
      <c r="Q22" s="557">
        <f t="shared" si="17"/>
        <v>3.333333333333333</v>
      </c>
      <c r="R22" s="558"/>
      <c r="S22" s="564"/>
      <c r="T22" s="565"/>
      <c r="U22" s="565"/>
      <c r="V22" s="559"/>
      <c r="W22" s="763"/>
      <c r="X22" s="560"/>
      <c r="Y22">
        <f t="shared" si="18"/>
        <v>0</v>
      </c>
      <c r="Z22">
        <f t="shared" si="2"/>
        <v>0</v>
      </c>
      <c r="AA22" s="1">
        <f t="shared" si="3"/>
        <v>0</v>
      </c>
      <c r="AB22" s="1">
        <f t="shared" si="4"/>
        <v>0</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f>IF(AND(C22="Skema 1",B22="on"),Arbejdstidsoversigt!$E$46,"")</f>
        <v>8</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8</v>
      </c>
      <c r="BB22" s="421">
        <f t="shared" si="8"/>
        <v>192</v>
      </c>
      <c r="BC22" s="1">
        <f t="shared" si="20"/>
        <v>0</v>
      </c>
      <c r="BD22" s="1">
        <f t="shared" si="9"/>
        <v>0</v>
      </c>
      <c r="BE22" s="1">
        <f t="shared" si="10"/>
        <v>0</v>
      </c>
      <c r="BF22" s="1">
        <f t="shared" si="11"/>
        <v>0</v>
      </c>
      <c r="BG22" s="382" t="str">
        <f>IF(AND(C22="Skema 1",B22="ma"),Skemaoplysninger!$E$28,"")</f>
        <v/>
      </c>
      <c r="BH22" s="382" t="str">
        <f>IF(AND(C22="Skema 1",B22="ti"),Skemaoplysninger!$F$28,"")</f>
        <v/>
      </c>
      <c r="BI22" s="382">
        <f>IF(AND(C22="Skema 1",B22="on"),Skemaoplysninger!$G$28,"")</f>
        <v>0.15625</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3.75</v>
      </c>
      <c r="CB22" s="1">
        <f t="shared" si="12"/>
        <v>0</v>
      </c>
      <c r="CC22" s="1">
        <f t="shared" si="13"/>
        <v>0</v>
      </c>
      <c r="CD22" s="382" t="str">
        <f>IF(AND(C22="Skema 1",B22="ma"),Skemaoplysninger!$E$37,"")</f>
        <v/>
      </c>
      <c r="CE22" s="382" t="str">
        <f>IF(AND(C22="Skema 1",B22="ti"),Skemaoplysninger!$F$37,"")</f>
        <v/>
      </c>
      <c r="CF22" s="382">
        <f>IF(AND(C22="Skema 1",B22="on"),Skemaoplysninger!$G$37,"")</f>
        <v>0.91666666666666674</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0.91666666666666674</v>
      </c>
      <c r="CY22" s="457">
        <f>IF(C22="Skema 1",Stamoplysninger!$H$30/200,0)</f>
        <v>1</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4"/>
        <v>15</v>
      </c>
      <c r="B23" s="218" t="str">
        <f t="shared" si="0"/>
        <v>to</v>
      </c>
      <c r="C23" s="219" t="s">
        <v>241</v>
      </c>
      <c r="D23" s="220" t="str">
        <f t="shared" si="1"/>
        <v/>
      </c>
      <c r="E23" s="909"/>
      <c r="F23" s="910"/>
      <c r="G23" s="911"/>
      <c r="H23" s="525"/>
      <c r="I23" s="855"/>
      <c r="J23" s="726"/>
      <c r="K23" s="669"/>
      <c r="L23" s="669"/>
      <c r="M23" s="669"/>
      <c r="N23" s="557">
        <f t="shared" si="15"/>
        <v>8</v>
      </c>
      <c r="O23" s="557">
        <f t="shared" si="16"/>
        <v>3.75</v>
      </c>
      <c r="P23" s="557">
        <f>IF(Stamoplysninger!$H$29="JA",December!DG23,CX23)</f>
        <v>0.91666666666666674</v>
      </c>
      <c r="Q23" s="557">
        <f t="shared" si="17"/>
        <v>3.333333333333333</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f>IF(AND(C23="Skema 1",B23="to"),Arbejdstidsoversigt!$E$47,"")</f>
        <v>8</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8"/>
        <v>192</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f>IF(AND(C23="Skema 1",B23="to"),Skemaoplysninger!$H$28,"")</f>
        <v>0.15625</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3.75</v>
      </c>
      <c r="CB23" s="1">
        <f t="shared" si="12"/>
        <v>0</v>
      </c>
      <c r="CC23" s="1">
        <f t="shared" si="13"/>
        <v>0</v>
      </c>
      <c r="CD23" s="382" t="str">
        <f>IF(AND(C23="Skema 1",B23="ma"),Skemaoplysninger!$E$37,"")</f>
        <v/>
      </c>
      <c r="CE23" s="382" t="str">
        <f>IF(AND(C23="Skema 1",B23="ti"),Skemaoplysninger!$F$37,"")</f>
        <v/>
      </c>
      <c r="CF23" s="382" t="str">
        <f>IF(AND(C23="Skema 1",B23="on"),Skemaoplysninger!$G$37,"")</f>
        <v/>
      </c>
      <c r="CG23" s="382">
        <f>IF(AND(C23="Skema 1",B23="to"),Skemaoplysninger!$H$37,"")</f>
        <v>0.91666666666666674</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0.91666666666666674</v>
      </c>
      <c r="CY23" s="457">
        <f>IF(C23="Skema 1",Stamoplysninger!$H$30/200,0)</f>
        <v>1</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fr</v>
      </c>
      <c r="C24" s="219" t="s">
        <v>241</v>
      </c>
      <c r="D24" s="220" t="str">
        <f t="shared" si="1"/>
        <v/>
      </c>
      <c r="E24" s="906"/>
      <c r="F24" s="907"/>
      <c r="G24" s="908"/>
      <c r="H24" s="526"/>
      <c r="I24" s="855"/>
      <c r="J24" s="726"/>
      <c r="K24" s="669"/>
      <c r="L24" s="669"/>
      <c r="M24" s="669"/>
      <c r="N24" s="557">
        <f t="shared" si="15"/>
        <v>7</v>
      </c>
      <c r="O24" s="557">
        <f t="shared" si="16"/>
        <v>2.25</v>
      </c>
      <c r="P24" s="557">
        <f>IF(Stamoplysninger!$H$29="JA",December!DG24,CX24)</f>
        <v>0.33333333333333331</v>
      </c>
      <c r="Q24" s="557">
        <f t="shared" si="17"/>
        <v>4.416666666666667</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f>IF(AND(C24="Skema 1",B24="fr"),Arbejdstidsoversigt!$E$48,"")</f>
        <v>7</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7</v>
      </c>
      <c r="BB24" s="421">
        <f t="shared" si="8"/>
        <v>168</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f>IF(AND(C24="Skema 1",B24="fr"),Skemaoplysninger!$I$28,"")</f>
        <v>9.375E-2</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2.25</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f>IF(AND(C24="Skema 1",B24="fr"),Skemaoplysninger!$I$37,"")</f>
        <v>0.33333333333333331</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0.33333333333333331</v>
      </c>
      <c r="CY24" s="457">
        <f>IF(C24="Skema 1",Stamoplysninger!$H$30/200,0)</f>
        <v>1</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4"/>
        <v>17</v>
      </c>
      <c r="B25" s="218" t="str">
        <f t="shared" si="0"/>
        <v>lø</v>
      </c>
      <c r="C25" s="219" t="s">
        <v>138</v>
      </c>
      <c r="D25" s="220" t="str">
        <f t="shared" si="1"/>
        <v/>
      </c>
      <c r="E25" s="906"/>
      <c r="F25" s="907"/>
      <c r="G25" s="908"/>
      <c r="H25" s="526"/>
      <c r="I25" s="726"/>
      <c r="J25" s="726"/>
      <c r="K25" s="669"/>
      <c r="L25" s="669"/>
      <c r="M25" s="669"/>
      <c r="N25" s="557">
        <f t="shared" si="15"/>
        <v>0</v>
      </c>
      <c r="O25" s="557">
        <f t="shared" si="16"/>
        <v>0</v>
      </c>
      <c r="P25" s="557">
        <f>IF(Stamoplysninger!$H$29="JA",December!DG25,CX25)</f>
        <v>0</v>
      </c>
      <c r="Q25" s="557">
        <f t="shared" si="17"/>
        <v>0</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4"/>
        <v>18</v>
      </c>
      <c r="B26" s="218" t="str">
        <f t="shared" si="0"/>
        <v>sø</v>
      </c>
      <c r="C26" s="219" t="s">
        <v>138</v>
      </c>
      <c r="D26" s="220" t="str">
        <f t="shared" si="1"/>
        <v/>
      </c>
      <c r="E26" s="906"/>
      <c r="F26" s="907"/>
      <c r="G26" s="908"/>
      <c r="H26" s="526"/>
      <c r="I26" s="726"/>
      <c r="J26" s="726"/>
      <c r="K26" s="669"/>
      <c r="L26" s="669"/>
      <c r="M26" s="669"/>
      <c r="N26" s="557">
        <f t="shared" si="15"/>
        <v>0</v>
      </c>
      <c r="O26" s="557">
        <f t="shared" si="16"/>
        <v>0</v>
      </c>
      <c r="P26" s="557">
        <f>IF(Stamoplysninger!$H$29="JA",December!DG26,CX26)</f>
        <v>0</v>
      </c>
      <c r="Q26" s="557">
        <f t="shared" si="17"/>
        <v>0</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4"/>
        <v>19</v>
      </c>
      <c r="B27" s="218" t="str">
        <f t="shared" si="0"/>
        <v>ma</v>
      </c>
      <c r="C27" s="219" t="s">
        <v>241</v>
      </c>
      <c r="D27" s="220">
        <f t="shared" si="1"/>
        <v>51.285714285714285</v>
      </c>
      <c r="E27" s="906"/>
      <c r="F27" s="907"/>
      <c r="G27" s="908"/>
      <c r="H27" s="526"/>
      <c r="I27" s="855"/>
      <c r="J27" s="726"/>
      <c r="K27" s="669"/>
      <c r="L27" s="669"/>
      <c r="M27" s="669"/>
      <c r="N27" s="557">
        <f t="shared" si="15"/>
        <v>8</v>
      </c>
      <c r="O27" s="557">
        <f t="shared" si="16"/>
        <v>3.75</v>
      </c>
      <c r="P27" s="557">
        <f>IF(Stamoplysninger!$H$29="JA",December!DG27,CX27)</f>
        <v>0.91666666666666674</v>
      </c>
      <c r="Q27" s="557">
        <f t="shared" si="17"/>
        <v>3.333333333333333</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f>IF(AND(C27="Skema 1",B27="ma"),Arbejdstidsoversigt!$E$44,"")</f>
        <v>8</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8</v>
      </c>
      <c r="BB27" s="421">
        <f t="shared" si="8"/>
        <v>192</v>
      </c>
      <c r="BC27" s="1">
        <f t="shared" si="20"/>
        <v>0</v>
      </c>
      <c r="BD27" s="1">
        <f t="shared" si="9"/>
        <v>0</v>
      </c>
      <c r="BE27" s="1">
        <f t="shared" si="10"/>
        <v>0</v>
      </c>
      <c r="BF27" s="1">
        <f t="shared" si="11"/>
        <v>0</v>
      </c>
      <c r="BG27" s="382">
        <f>IF(AND(C27="Skema 1",B27="ma"),Skemaoplysninger!$E$28,"")</f>
        <v>0.15625</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3.75</v>
      </c>
      <c r="CB27" s="1">
        <f t="shared" si="12"/>
        <v>0</v>
      </c>
      <c r="CC27" s="1">
        <f t="shared" si="13"/>
        <v>0</v>
      </c>
      <c r="CD27" s="382">
        <f>IF(AND(C27="Skema 1",B27="ma"),Skemaoplysninger!$E$37,"")</f>
        <v>0.91666666666666674</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0.91666666666666674</v>
      </c>
      <c r="CY27" s="457">
        <f>IF(C27="Skema 1",Stamoplysninger!$H$30/200,0)</f>
        <v>1</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1</v>
      </c>
    </row>
    <row r="28" spans="1:111">
      <c r="A28" s="443">
        <f t="shared" si="14"/>
        <v>20</v>
      </c>
      <c r="B28" s="218" t="str">
        <f t="shared" si="0"/>
        <v>ti</v>
      </c>
      <c r="C28" s="219" t="s">
        <v>241</v>
      </c>
      <c r="D28" s="220" t="str">
        <f t="shared" si="1"/>
        <v/>
      </c>
      <c r="E28" s="906"/>
      <c r="F28" s="907"/>
      <c r="G28" s="908"/>
      <c r="H28" s="526"/>
      <c r="I28" s="855"/>
      <c r="J28" s="726"/>
      <c r="K28" s="669"/>
      <c r="L28" s="669"/>
      <c r="M28" s="669"/>
      <c r="N28" s="557">
        <f t="shared" si="15"/>
        <v>8</v>
      </c>
      <c r="O28" s="557">
        <f t="shared" si="16"/>
        <v>5.25</v>
      </c>
      <c r="P28" s="557">
        <f>IF(Stamoplysninger!$H$29="JA",December!DG28,CX28)</f>
        <v>1.0833333333333335</v>
      </c>
      <c r="Q28" s="557">
        <f t="shared" si="17"/>
        <v>1.6666666666666665</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f>IF(AND(C28="Skema 1",B28="ti"),Arbejdstidsoversigt!$E$45,"")</f>
        <v>8</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8"/>
        <v>192</v>
      </c>
      <c r="BC28" s="1">
        <f t="shared" si="20"/>
        <v>0</v>
      </c>
      <c r="BD28" s="1">
        <f t="shared" si="9"/>
        <v>0</v>
      </c>
      <c r="BE28" s="1">
        <f t="shared" si="10"/>
        <v>0</v>
      </c>
      <c r="BF28" s="1">
        <f t="shared" si="11"/>
        <v>0</v>
      </c>
      <c r="BG28" s="382" t="str">
        <f>IF(AND(C28="Skema 1",B28="ma"),Skemaoplysninger!$E$28,"")</f>
        <v/>
      </c>
      <c r="BH28" s="382">
        <f>IF(AND(C28="Skema 1",B28="ti"),Skemaoplysninger!$F$28,"")</f>
        <v>0.21875</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5.25</v>
      </c>
      <c r="CB28" s="1">
        <f t="shared" si="12"/>
        <v>0</v>
      </c>
      <c r="CC28" s="1">
        <f t="shared" si="13"/>
        <v>0</v>
      </c>
      <c r="CD28" s="382" t="str">
        <f>IF(AND(C28="Skema 1",B28="ma"),Skemaoplysninger!$E$37,"")</f>
        <v/>
      </c>
      <c r="CE28" s="382">
        <f>IF(AND(C28="Skema 1",B28="ti"),Skemaoplysninger!$F$37,"")</f>
        <v>1.0833333333333335</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1.0833333333333335</v>
      </c>
      <c r="CY28" s="457">
        <f>IF(C28="Skema 1",Stamoplysninger!$H$30/200,0)</f>
        <v>1</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4"/>
        <v>21</v>
      </c>
      <c r="B29" s="218" t="str">
        <f t="shared" si="0"/>
        <v>on</v>
      </c>
      <c r="C29" s="219" t="s">
        <v>246</v>
      </c>
      <c r="D29" s="220" t="str">
        <f t="shared" si="1"/>
        <v/>
      </c>
      <c r="E29" s="906" t="s">
        <v>595</v>
      </c>
      <c r="F29" s="907"/>
      <c r="G29" s="908"/>
      <c r="H29" s="526"/>
      <c r="I29" s="855"/>
      <c r="J29" s="726"/>
      <c r="K29" s="669">
        <v>5</v>
      </c>
      <c r="L29" s="669">
        <v>2.25</v>
      </c>
      <c r="M29" s="669">
        <v>0.75</v>
      </c>
      <c r="N29" s="557">
        <f t="shared" si="15"/>
        <v>5</v>
      </c>
      <c r="O29" s="557">
        <f t="shared" si="16"/>
        <v>2.25</v>
      </c>
      <c r="P29" s="557">
        <f>IF(Stamoplysninger!$H$29="JA",December!DG29,CX29)</f>
        <v>0.75</v>
      </c>
      <c r="Q29" s="557">
        <f t="shared" si="17"/>
        <v>2</v>
      </c>
      <c r="R29" s="558"/>
      <c r="S29" s="564"/>
      <c r="T29" s="565"/>
      <c r="U29" s="565"/>
      <c r="V29" s="559"/>
      <c r="W29" s="763"/>
      <c r="X29" s="560"/>
      <c r="Y29">
        <f t="shared" si="18"/>
        <v>0</v>
      </c>
      <c r="Z29">
        <f t="shared" si="2"/>
        <v>0</v>
      </c>
      <c r="AA29" s="1">
        <f t="shared" si="3"/>
        <v>5</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5</v>
      </c>
      <c r="BB29" s="421">
        <f t="shared" si="8"/>
        <v>0</v>
      </c>
      <c r="BC29" s="1">
        <f t="shared" si="20"/>
        <v>0</v>
      </c>
      <c r="BD29" s="1">
        <f t="shared" si="9"/>
        <v>0</v>
      </c>
      <c r="BE29" s="1">
        <f t="shared" si="10"/>
        <v>0</v>
      </c>
      <c r="BF29" s="1">
        <f t="shared" si="11"/>
        <v>2.25</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2.25</v>
      </c>
      <c r="CB29" s="1">
        <f t="shared" si="12"/>
        <v>0</v>
      </c>
      <c r="CC29" s="1">
        <f t="shared" si="13"/>
        <v>0.75</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0.75</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1</v>
      </c>
      <c r="DE29" s="457">
        <f>IF(C29="lejrskole",Stamoplysninger!$H$30/200,0)</f>
        <v>0</v>
      </c>
      <c r="DF29" s="457">
        <f>IF(C29="ekskursion",Stamoplysninger!$H$30/200,0)</f>
        <v>0</v>
      </c>
      <c r="DG29" s="457">
        <f t="shared" si="22"/>
        <v>1</v>
      </c>
    </row>
    <row r="30" spans="1:111">
      <c r="A30" s="443">
        <f t="shared" si="14"/>
        <v>22</v>
      </c>
      <c r="B30" s="218" t="str">
        <f t="shared" si="0"/>
        <v>to</v>
      </c>
      <c r="C30" s="219" t="s">
        <v>147</v>
      </c>
      <c r="D30" s="220" t="str">
        <f t="shared" si="1"/>
        <v/>
      </c>
      <c r="E30" s="906"/>
      <c r="F30" s="907"/>
      <c r="G30" s="908"/>
      <c r="H30" s="526"/>
      <c r="I30" s="855"/>
      <c r="J30" s="726"/>
      <c r="K30" s="669"/>
      <c r="L30" s="669"/>
      <c r="M30" s="669"/>
      <c r="N30" s="557">
        <f t="shared" si="15"/>
        <v>0</v>
      </c>
      <c r="O30" s="557">
        <f t="shared" si="16"/>
        <v>0</v>
      </c>
      <c r="P30" s="557">
        <f>IF(Stamoplysninger!$H$29="JA",December!DG30,CX30)</f>
        <v>0</v>
      </c>
      <c r="Q30" s="557">
        <f t="shared" si="17"/>
        <v>0</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0</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row>
    <row r="31" spans="1:111">
      <c r="A31" s="443">
        <f t="shared" si="14"/>
        <v>23</v>
      </c>
      <c r="B31" s="218" t="str">
        <f t="shared" si="0"/>
        <v>fr</v>
      </c>
      <c r="C31" s="219" t="s">
        <v>147</v>
      </c>
      <c r="D31" s="220" t="str">
        <f t="shared" si="1"/>
        <v/>
      </c>
      <c r="E31" s="906"/>
      <c r="F31" s="907"/>
      <c r="G31" s="908"/>
      <c r="H31" s="526"/>
      <c r="I31" s="855"/>
      <c r="J31" s="726"/>
      <c r="K31" s="669"/>
      <c r="L31" s="669"/>
      <c r="M31" s="669"/>
      <c r="N31" s="557">
        <f t="shared" si="15"/>
        <v>0</v>
      </c>
      <c r="O31" s="557">
        <f t="shared" si="16"/>
        <v>0</v>
      </c>
      <c r="P31" s="557">
        <f>IF(Stamoplysninger!$H$29="JA",December!DG31,CX31)</f>
        <v>0</v>
      </c>
      <c r="Q31" s="557">
        <f t="shared" si="17"/>
        <v>0</v>
      </c>
      <c r="R31" s="558"/>
      <c r="S31" s="564"/>
      <c r="T31" s="565"/>
      <c r="U31" s="565"/>
      <c r="V31" s="559"/>
      <c r="W31" s="763"/>
      <c r="X31" s="560"/>
      <c r="Y31">
        <f t="shared" si="18"/>
        <v>0</v>
      </c>
      <c r="Z31">
        <f t="shared" si="2"/>
        <v>0</v>
      </c>
      <c r="AA31" s="1">
        <f t="shared" si="3"/>
        <v>0</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0</v>
      </c>
      <c r="BB31" s="421">
        <f t="shared" si="8"/>
        <v>0</v>
      </c>
      <c r="BC31" s="1">
        <f t="shared" si="20"/>
        <v>0</v>
      </c>
      <c r="BD31" s="1">
        <f t="shared" si="9"/>
        <v>0</v>
      </c>
      <c r="BE31" s="1">
        <f t="shared" si="10"/>
        <v>0</v>
      </c>
      <c r="BF31" s="1">
        <f t="shared" si="11"/>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0</v>
      </c>
      <c r="CB31" s="1">
        <f t="shared" si="12"/>
        <v>0</v>
      </c>
      <c r="CC31" s="1">
        <f t="shared" si="13"/>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0</v>
      </c>
    </row>
    <row r="32" spans="1:111">
      <c r="A32" s="443">
        <f t="shared" si="14"/>
        <v>24</v>
      </c>
      <c r="B32" s="218" t="str">
        <f t="shared" si="0"/>
        <v>lø</v>
      </c>
      <c r="C32" s="219" t="s">
        <v>138</v>
      </c>
      <c r="D32" s="220" t="str">
        <f t="shared" si="1"/>
        <v/>
      </c>
      <c r="E32" s="449" t="s">
        <v>149</v>
      </c>
      <c r="F32" s="450"/>
      <c r="G32" s="451"/>
      <c r="H32" s="526"/>
      <c r="I32" s="726"/>
      <c r="J32" s="726"/>
      <c r="K32" s="669"/>
      <c r="L32" s="669"/>
      <c r="M32" s="669"/>
      <c r="N32" s="557">
        <f t="shared" si="15"/>
        <v>0</v>
      </c>
      <c r="O32" s="557">
        <f t="shared" si="16"/>
        <v>0</v>
      </c>
      <c r="P32" s="557">
        <f>IF(Stamoplysninger!$H$29="JA",December!DG32,CX32)</f>
        <v>0</v>
      </c>
      <c r="Q32" s="557">
        <f t="shared" si="17"/>
        <v>0</v>
      </c>
      <c r="R32" s="558"/>
      <c r="S32" s="564"/>
      <c r="T32" s="565"/>
      <c r="U32" s="565"/>
      <c r="V32" s="559"/>
      <c r="W32" s="763"/>
      <c r="X32" s="560"/>
      <c r="Y32">
        <f t="shared" si="18"/>
        <v>0</v>
      </c>
      <c r="Z32">
        <f t="shared" si="2"/>
        <v>0</v>
      </c>
      <c r="AA32" s="1">
        <f t="shared" si="3"/>
        <v>0</v>
      </c>
      <c r="AB32" s="1">
        <f t="shared" si="4"/>
        <v>0</v>
      </c>
      <c r="AC32" s="1">
        <f t="shared" si="5"/>
        <v>0</v>
      </c>
      <c r="AD32" s="1">
        <f t="shared" si="6"/>
        <v>0</v>
      </c>
      <c r="AE32" s="1">
        <f t="shared" si="7"/>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0</v>
      </c>
      <c r="BB32" s="421">
        <f t="shared" si="8"/>
        <v>0</v>
      </c>
      <c r="BC32" s="1">
        <f t="shared" si="20"/>
        <v>0</v>
      </c>
      <c r="BD32" s="1">
        <f t="shared" si="9"/>
        <v>0</v>
      </c>
      <c r="BE32" s="1">
        <f t="shared" si="10"/>
        <v>0</v>
      </c>
      <c r="BF32" s="1">
        <f t="shared" si="11"/>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0</v>
      </c>
      <c r="CB32" s="1">
        <f t="shared" si="12"/>
        <v>0</v>
      </c>
      <c r="CC32" s="1">
        <f t="shared" si="13"/>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v>
      </c>
      <c r="CY32" s="457">
        <f>IF(C32="Skema 1",Stamoplysninger!$H$30/200,0)</f>
        <v>0</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0</v>
      </c>
    </row>
    <row r="33" spans="1:111">
      <c r="A33" s="443">
        <f t="shared" si="14"/>
        <v>25</v>
      </c>
      <c r="B33" s="218" t="str">
        <f t="shared" si="0"/>
        <v>sø</v>
      </c>
      <c r="C33" s="219" t="s">
        <v>138</v>
      </c>
      <c r="D33" s="220" t="str">
        <f t="shared" si="1"/>
        <v/>
      </c>
      <c r="E33" s="906" t="s">
        <v>374</v>
      </c>
      <c r="F33" s="907"/>
      <c r="G33" s="908"/>
      <c r="H33" s="526"/>
      <c r="I33" s="726"/>
      <c r="J33" s="726"/>
      <c r="K33" s="669"/>
      <c r="L33" s="669"/>
      <c r="M33" s="669"/>
      <c r="N33" s="557">
        <f t="shared" si="15"/>
        <v>0</v>
      </c>
      <c r="O33" s="557">
        <f t="shared" si="16"/>
        <v>0</v>
      </c>
      <c r="P33" s="557">
        <f>IF(Stamoplysninger!$H$29="JA",December!DG33,CX33)</f>
        <v>0</v>
      </c>
      <c r="Q33" s="557">
        <f t="shared" si="17"/>
        <v>0</v>
      </c>
      <c r="R33" s="558"/>
      <c r="S33" s="564"/>
      <c r="T33" s="565"/>
      <c r="U33" s="565"/>
      <c r="V33" s="559"/>
      <c r="W33" s="763"/>
      <c r="X33" s="560"/>
      <c r="Y33">
        <f t="shared" si="18"/>
        <v>0</v>
      </c>
      <c r="Z33">
        <f t="shared" si="2"/>
        <v>0</v>
      </c>
      <c r="AA33" s="1">
        <f t="shared" si="3"/>
        <v>0</v>
      </c>
      <c r="AB33" s="1">
        <f t="shared" si="4"/>
        <v>0</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8"/>
        <v>0</v>
      </c>
      <c r="BC33" s="1">
        <f t="shared" si="20"/>
        <v>0</v>
      </c>
      <c r="BD33" s="1">
        <f t="shared" si="9"/>
        <v>0</v>
      </c>
      <c r="BE33" s="1">
        <f t="shared" si="10"/>
        <v>0</v>
      </c>
      <c r="BF33" s="1">
        <f t="shared" si="11"/>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2"/>
        <v>0</v>
      </c>
      <c r="CC33" s="1">
        <f t="shared" si="13"/>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4"/>
        <v>26</v>
      </c>
      <c r="B34" s="218" t="str">
        <f t="shared" si="0"/>
        <v>ma</v>
      </c>
      <c r="C34" s="219" t="s">
        <v>137</v>
      </c>
      <c r="D34" s="220">
        <f t="shared" si="1"/>
        <v>52.285714285714285</v>
      </c>
      <c r="E34" s="906" t="s">
        <v>101</v>
      </c>
      <c r="F34" s="907"/>
      <c r="G34" s="908"/>
      <c r="H34" s="526"/>
      <c r="I34" s="726"/>
      <c r="J34" s="726"/>
      <c r="K34" s="669"/>
      <c r="L34" s="669"/>
      <c r="M34" s="669"/>
      <c r="N34" s="557">
        <f t="shared" si="15"/>
        <v>0</v>
      </c>
      <c r="O34" s="557">
        <f t="shared" si="16"/>
        <v>0</v>
      </c>
      <c r="P34" s="557">
        <f>IF(Stamoplysninger!$H$29="JA",December!DG34,CX34)</f>
        <v>0</v>
      </c>
      <c r="Q34" s="557">
        <f t="shared" si="17"/>
        <v>0</v>
      </c>
      <c r="R34" s="558"/>
      <c r="S34" s="564"/>
      <c r="T34" s="565"/>
      <c r="U34" s="565"/>
      <c r="V34" s="559"/>
      <c r="W34" s="763"/>
      <c r="X34" s="560"/>
      <c r="Y34">
        <f t="shared" si="18"/>
        <v>0</v>
      </c>
      <c r="Z34">
        <f t="shared" si="2"/>
        <v>0</v>
      </c>
      <c r="AA34" s="1">
        <f t="shared" si="3"/>
        <v>0</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0</v>
      </c>
      <c r="BB34" s="421">
        <f t="shared" si="8"/>
        <v>0</v>
      </c>
      <c r="BC34" s="1">
        <f t="shared" si="20"/>
        <v>0</v>
      </c>
      <c r="BD34" s="1">
        <f t="shared" si="9"/>
        <v>0</v>
      </c>
      <c r="BE34" s="1">
        <f t="shared" si="10"/>
        <v>0</v>
      </c>
      <c r="BF34" s="1">
        <f t="shared" si="11"/>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2"/>
        <v>0</v>
      </c>
      <c r="CC34" s="1">
        <f t="shared" si="13"/>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4"/>
        <v>27</v>
      </c>
      <c r="B35" s="218" t="str">
        <f t="shared" si="0"/>
        <v>ti</v>
      </c>
      <c r="C35" s="219" t="s">
        <v>147</v>
      </c>
      <c r="D35" s="220" t="str">
        <f t="shared" si="1"/>
        <v/>
      </c>
      <c r="E35" s="906"/>
      <c r="F35" s="907"/>
      <c r="G35" s="908"/>
      <c r="H35" s="526"/>
      <c r="I35" s="855"/>
      <c r="J35" s="726"/>
      <c r="K35" s="669"/>
      <c r="L35" s="669"/>
      <c r="M35" s="669"/>
      <c r="N35" s="557">
        <f t="shared" si="15"/>
        <v>0</v>
      </c>
      <c r="O35" s="557">
        <f t="shared" si="16"/>
        <v>0</v>
      </c>
      <c r="P35" s="557">
        <f>IF(Stamoplysninger!$H$29="JA",December!DG35,CX35)</f>
        <v>0</v>
      </c>
      <c r="Q35" s="557">
        <f t="shared" si="17"/>
        <v>0</v>
      </c>
      <c r="R35" s="558"/>
      <c r="S35" s="564"/>
      <c r="T35" s="565"/>
      <c r="U35" s="565"/>
      <c r="V35" s="559"/>
      <c r="W35" s="763"/>
      <c r="X35" s="560"/>
      <c r="Y35">
        <f t="shared" si="18"/>
        <v>0</v>
      </c>
      <c r="Z35">
        <f t="shared" si="2"/>
        <v>0</v>
      </c>
      <c r="AA35" s="1">
        <f t="shared" si="3"/>
        <v>0</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0</v>
      </c>
      <c r="BB35" s="421">
        <f t="shared" si="8"/>
        <v>0</v>
      </c>
      <c r="BC35" s="1">
        <f t="shared" si="20"/>
        <v>0</v>
      </c>
      <c r="BD35" s="1">
        <f t="shared" si="9"/>
        <v>0</v>
      </c>
      <c r="BE35" s="1">
        <f t="shared" si="10"/>
        <v>0</v>
      </c>
      <c r="BF35" s="1">
        <f t="shared" si="11"/>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0</v>
      </c>
      <c r="CB35" s="1">
        <f t="shared" si="12"/>
        <v>0</v>
      </c>
      <c r="CC35" s="1">
        <f t="shared" si="13"/>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0</v>
      </c>
    </row>
    <row r="36" spans="1:111">
      <c r="A36" s="443">
        <f t="shared" si="14"/>
        <v>28</v>
      </c>
      <c r="B36" s="218" t="str">
        <f t="shared" si="0"/>
        <v>on</v>
      </c>
      <c r="C36" s="219" t="s">
        <v>147</v>
      </c>
      <c r="D36" s="220" t="str">
        <f t="shared" si="1"/>
        <v/>
      </c>
      <c r="E36" s="906"/>
      <c r="F36" s="907"/>
      <c r="G36" s="908"/>
      <c r="H36" s="526"/>
      <c r="I36" s="855"/>
      <c r="J36" s="726"/>
      <c r="K36" s="669"/>
      <c r="L36" s="669"/>
      <c r="M36" s="669"/>
      <c r="N36" s="557">
        <f t="shared" si="15"/>
        <v>0</v>
      </c>
      <c r="O36" s="557">
        <f t="shared" si="16"/>
        <v>0</v>
      </c>
      <c r="P36" s="557">
        <f>IF(Stamoplysninger!$H$29="JA",December!DG36,CX36)</f>
        <v>0</v>
      </c>
      <c r="Q36" s="557">
        <f t="shared" si="17"/>
        <v>0</v>
      </c>
      <c r="R36" s="558"/>
      <c r="S36" s="564"/>
      <c r="T36" s="565"/>
      <c r="U36" s="565"/>
      <c r="V36" s="559"/>
      <c r="W36" s="763"/>
      <c r="X36" s="560"/>
      <c r="Y36">
        <f t="shared" si="18"/>
        <v>0</v>
      </c>
      <c r="Z36">
        <f t="shared" si="2"/>
        <v>0</v>
      </c>
      <c r="AA36" s="1">
        <f t="shared" si="3"/>
        <v>0</v>
      </c>
      <c r="AB36" s="1">
        <f t="shared" si="4"/>
        <v>0</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0</v>
      </c>
      <c r="BB36" s="421">
        <f t="shared" si="8"/>
        <v>0</v>
      </c>
      <c r="BC36" s="1">
        <f t="shared" si="20"/>
        <v>0</v>
      </c>
      <c r="BD36" s="1">
        <f t="shared" si="9"/>
        <v>0</v>
      </c>
      <c r="BE36" s="1">
        <f t="shared" si="10"/>
        <v>0</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2"/>
        <v>0</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row>
    <row r="37" spans="1:111">
      <c r="A37" s="443">
        <f>IF(ISNUMBER(A36),A36+1,1)</f>
        <v>29</v>
      </c>
      <c r="B37" s="218" t="str">
        <f t="shared" si="0"/>
        <v>to</v>
      </c>
      <c r="C37" s="219" t="s">
        <v>147</v>
      </c>
      <c r="D37" s="220" t="str">
        <f t="shared" si="1"/>
        <v/>
      </c>
      <c r="E37" s="906"/>
      <c r="F37" s="907"/>
      <c r="G37" s="908"/>
      <c r="H37" s="526"/>
      <c r="I37" s="855"/>
      <c r="J37" s="726"/>
      <c r="K37" s="669"/>
      <c r="L37" s="669"/>
      <c r="M37" s="669"/>
      <c r="N37" s="557">
        <f t="shared" si="15"/>
        <v>0</v>
      </c>
      <c r="O37" s="557">
        <f t="shared" si="16"/>
        <v>0</v>
      </c>
      <c r="P37" s="557">
        <f>IF(Stamoplysninger!$H$29="JA",December!DG37,CX37)</f>
        <v>0</v>
      </c>
      <c r="Q37" s="557">
        <f t="shared" si="17"/>
        <v>0</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4"/>
        <v>30</v>
      </c>
      <c r="B38" s="218" t="str">
        <f t="shared" si="0"/>
        <v>fr</v>
      </c>
      <c r="C38" s="219" t="s">
        <v>147</v>
      </c>
      <c r="D38" s="220" t="str">
        <f t="shared" si="1"/>
        <v/>
      </c>
      <c r="E38" s="906"/>
      <c r="F38" s="907"/>
      <c r="G38" s="908"/>
      <c r="H38" s="526"/>
      <c r="I38" s="855"/>
      <c r="J38" s="726"/>
      <c r="K38" s="669"/>
      <c r="L38" s="669"/>
      <c r="M38" s="669"/>
      <c r="N38" s="557">
        <f t="shared" si="15"/>
        <v>0</v>
      </c>
      <c r="O38" s="557">
        <f t="shared" si="16"/>
        <v>0</v>
      </c>
      <c r="P38" s="557">
        <f>IF(Stamoplysninger!$H$29="JA",December!DG38,CX38)</f>
        <v>0</v>
      </c>
      <c r="Q38" s="557">
        <f t="shared" si="17"/>
        <v>0</v>
      </c>
      <c r="R38" s="558"/>
      <c r="S38" s="564"/>
      <c r="T38" s="565"/>
      <c r="U38" s="762"/>
      <c r="V38" s="559"/>
      <c r="W38" s="763"/>
      <c r="X38" s="560"/>
      <c r="Y38">
        <f t="shared" si="18"/>
        <v>0</v>
      </c>
      <c r="Z38">
        <f t="shared" si="2"/>
        <v>0</v>
      </c>
      <c r="AA38" s="1">
        <f t="shared" si="3"/>
        <v>0</v>
      </c>
      <c r="AB38" s="1">
        <f t="shared" si="4"/>
        <v>0</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0</v>
      </c>
      <c r="BB38" s="421">
        <f t="shared" si="8"/>
        <v>0</v>
      </c>
      <c r="BC38" s="1">
        <f t="shared" si="20"/>
        <v>0</v>
      </c>
      <c r="BD38" s="1">
        <f t="shared" si="9"/>
        <v>0</v>
      </c>
      <c r="BE38" s="1">
        <f t="shared" si="10"/>
        <v>0</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0</v>
      </c>
      <c r="CB38" s="1">
        <f t="shared" si="12"/>
        <v>0</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v>
      </c>
      <c r="CY38" s="457">
        <f>IF(C38="Skema 1",Stamoplysninger!$H$30/200,0)</f>
        <v>0</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0</v>
      </c>
    </row>
    <row r="39" spans="1:111">
      <c r="A39" s="443">
        <f>IF(ISNUMBER(A38),A38+1,1)</f>
        <v>31</v>
      </c>
      <c r="B39" s="218" t="str">
        <f t="shared" si="0"/>
        <v>lø</v>
      </c>
      <c r="C39" s="219" t="s">
        <v>138</v>
      </c>
      <c r="D39" s="220" t="str">
        <f t="shared" si="1"/>
        <v/>
      </c>
      <c r="E39" s="909" t="s">
        <v>148</v>
      </c>
      <c r="F39" s="910"/>
      <c r="G39" s="911"/>
      <c r="H39" s="525"/>
      <c r="I39" s="726"/>
      <c r="J39" s="726"/>
      <c r="K39" s="669"/>
      <c r="L39" s="669"/>
      <c r="M39" s="669"/>
      <c r="N39" s="557">
        <f t="shared" si="15"/>
        <v>0</v>
      </c>
      <c r="O39" s="557">
        <f t="shared" si="16"/>
        <v>0</v>
      </c>
      <c r="P39" s="557">
        <f>IF(Stamoplysninger!$H$29="JA",December!DG39,CX39)</f>
        <v>0</v>
      </c>
      <c r="Q39" s="557">
        <f t="shared" si="17"/>
        <v>0</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t="str">
        <f>IF(AND(C39="Skema 1",B39="ma"),Arbejdstidsoversigt!$E$44,"")</f>
        <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t="str">
        <f>IF(AND(C39="Skema 2",B39="on"),Arbejdstidsoversigt!$E$55,"")</f>
        <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0</v>
      </c>
      <c r="BB39" s="421">
        <f t="shared" si="8"/>
        <v>0</v>
      </c>
      <c r="BC39" s="1">
        <f t="shared" si="20"/>
        <v>0</v>
      </c>
      <c r="BD39" s="1">
        <f t="shared" si="9"/>
        <v>0</v>
      </c>
      <c r="BE39" s="1">
        <f t="shared" si="10"/>
        <v>0</v>
      </c>
      <c r="BF39" s="1">
        <f t="shared" si="11"/>
        <v>0</v>
      </c>
      <c r="BG39" s="382" t="str">
        <f>IF(AND(C39="Skema 1",B39="ma"),Skemaoplysninger!$E$28,"")</f>
        <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t="str">
        <f>IF(AND(C39="Skema 2",B39="on"),Skemaoplysninger!$Q$28,"")</f>
        <v/>
      </c>
      <c r="BO39" s="382" t="str">
        <f>IF(AND(C39="Skema 2",B39="to"),Skemaoplysninger!$R$28,"")</f>
        <v/>
      </c>
      <c r="BP39" s="382" t="str">
        <f>IF(AND(C39="Skema 2",B39="fr"),Skemaoplysninger!$S$28,"")</f>
        <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0</v>
      </c>
      <c r="CB39" s="1">
        <f t="shared" si="12"/>
        <v>0</v>
      </c>
      <c r="CC39" s="1">
        <f t="shared" si="13"/>
        <v>0</v>
      </c>
      <c r="CD39" s="382" t="str">
        <f>IF(AND(C39="Skema 1",B39="ma"),Skemaoplysninger!$E$37,"")</f>
        <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t="str">
        <f>IF(AND(C39="Skema 2",B39="on"),Skemaoplysninger!$Q$37,"")</f>
        <v/>
      </c>
      <c r="CL39" s="382" t="str">
        <f>IF(AND(C39="Skema 2",B39="to"),Skemaoplysninger!$R$37,"")</f>
        <v/>
      </c>
      <c r="CM39" s="382" t="str">
        <f>IF(AND(C39="Skema 2",B39="fr"),Skemaoplysninger!$S$37,"")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0</v>
      </c>
      <c r="CY39" s="457">
        <f>IF(C39="Skema 1",Stamoplysninger!$H$30/200,0)</f>
        <v>0</v>
      </c>
      <c r="CZ39" s="457">
        <f>IF(C39="Skema 2",Stamoplysninger!$H$30/200,0)</f>
        <v>0</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0</v>
      </c>
    </row>
    <row r="40" spans="1:111" ht="17" thickBot="1">
      <c r="A40" s="1101" t="s">
        <v>308</v>
      </c>
      <c r="B40" s="1102"/>
      <c r="C40" s="1102"/>
      <c r="D40" s="1102"/>
      <c r="E40" s="1102"/>
      <c r="F40" s="1102"/>
      <c r="G40" s="1102"/>
      <c r="H40" s="1102"/>
      <c r="I40" s="1103"/>
      <c r="J40" s="552"/>
      <c r="K40" s="561"/>
      <c r="L40" s="561"/>
      <c r="M40" s="561"/>
      <c r="N40" s="562">
        <f t="shared" ref="N40:Q40" si="23">SUM(N9:N39)</f>
        <v>114</v>
      </c>
      <c r="O40" s="562">
        <f t="shared" si="23"/>
        <v>55.5</v>
      </c>
      <c r="P40" s="562">
        <f t="shared" si="23"/>
        <v>12.416666666666666</v>
      </c>
      <c r="Q40" s="562">
        <f t="shared" si="23"/>
        <v>46.083333333333329</v>
      </c>
      <c r="R40"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3</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0</v>
      </c>
      <c r="Z40" s="706">
        <f>Z9+Z10+Z11+Z12+Z13+Z14+Z15+Z16+Z17+Z18+Z19+Z20+Z21+Z22+Z23+Z24+Z25+Z26+Z27+Z28+Z29+Z30+Z31+Z32+Z33+Z34+Z35+Z36+Z37+Z38+Z39</f>
        <v>0</v>
      </c>
      <c r="AA40" s="431">
        <f t="shared" ref="AA40:AF40" si="24">SUM(AA9:AA39)</f>
        <v>13</v>
      </c>
      <c r="AB40" s="431">
        <f t="shared" si="24"/>
        <v>0</v>
      </c>
      <c r="AC40" s="431">
        <f t="shared" si="24"/>
        <v>0</v>
      </c>
      <c r="AD40" s="431">
        <f t="shared" si="24"/>
        <v>0</v>
      </c>
      <c r="AE40" s="431">
        <f t="shared" si="24"/>
        <v>0</v>
      </c>
      <c r="AF40" s="585">
        <f t="shared" si="24"/>
        <v>0</v>
      </c>
      <c r="AQ40" s="383"/>
      <c r="AR40" s="383"/>
      <c r="AS40" s="383"/>
      <c r="AT40" s="383"/>
      <c r="AU40" s="383"/>
      <c r="AV40" s="383"/>
      <c r="AW40" s="383"/>
      <c r="AX40" s="383"/>
      <c r="AY40" s="383"/>
      <c r="AZ40" s="383"/>
      <c r="BA40" s="1">
        <f>SUM(BA9:BA39)</f>
        <v>114</v>
      </c>
      <c r="BB40" s="180"/>
      <c r="BC40" s="431">
        <f>SUM(BC9:BC39)</f>
        <v>0</v>
      </c>
      <c r="BD40" s="431">
        <f>SUM(BD9:BD39)</f>
        <v>0</v>
      </c>
      <c r="BE40" s="431">
        <f t="shared" ref="BE40:BF40" si="25">SUM(BE9:BE39)</f>
        <v>0</v>
      </c>
      <c r="BF40" s="431">
        <f t="shared" si="25"/>
        <v>6.75</v>
      </c>
      <c r="BQ40" s="383"/>
      <c r="BR40" s="383"/>
      <c r="BS40" s="383"/>
      <c r="BT40" s="383"/>
      <c r="BU40" s="383"/>
      <c r="BV40" s="383"/>
      <c r="BW40" s="383"/>
      <c r="BX40" s="383"/>
      <c r="BY40" s="383"/>
      <c r="BZ40" s="383"/>
      <c r="CA40" s="431">
        <f>SUM(CA9:CA39)</f>
        <v>55.5</v>
      </c>
      <c r="CB40" s="431">
        <f t="shared" ref="CB40:CC40" si="26">SUM(CB9:CB39)</f>
        <v>0</v>
      </c>
      <c r="CC40" s="431">
        <f t="shared" si="26"/>
        <v>1.75</v>
      </c>
      <c r="CN40" s="383"/>
      <c r="CO40" s="383"/>
      <c r="CP40" s="383"/>
      <c r="CQ40" s="383"/>
      <c r="CR40" s="383"/>
      <c r="CS40" s="383"/>
      <c r="CT40" s="383"/>
      <c r="CU40" s="383"/>
      <c r="CV40" s="383"/>
      <c r="CW40" s="383"/>
      <c r="CX40" s="457"/>
      <c r="CY40" s="457">
        <f t="shared" ref="CY40:DG40" si="27">SUM(CY9:CY39)</f>
        <v>13</v>
      </c>
      <c r="CZ40" s="457">
        <f t="shared" si="27"/>
        <v>0</v>
      </c>
      <c r="DA40" s="457">
        <f t="shared" si="27"/>
        <v>0</v>
      </c>
      <c r="DB40" s="457">
        <f t="shared" si="27"/>
        <v>0</v>
      </c>
      <c r="DC40" s="457">
        <f t="shared" si="27"/>
        <v>0</v>
      </c>
      <c r="DD40" s="457">
        <f t="shared" si="27"/>
        <v>2</v>
      </c>
      <c r="DE40" s="457">
        <f t="shared" si="27"/>
        <v>0</v>
      </c>
      <c r="DF40" s="457">
        <f t="shared" si="27"/>
        <v>0</v>
      </c>
      <c r="DG40" s="457">
        <f t="shared" si="27"/>
        <v>15</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6"/>
      <c r="AB41" s="445"/>
      <c r="AC41" s="445"/>
      <c r="AD41" s="446"/>
      <c r="AE41" s="446"/>
      <c r="AF41"/>
      <c r="AG41" s="446"/>
      <c r="AR41" s="447"/>
      <c r="AS41" s="447"/>
      <c r="AT41" s="447"/>
      <c r="AU41" s="447"/>
      <c r="AV41" s="447"/>
      <c r="AW41" s="447"/>
      <c r="AX41" s="447"/>
      <c r="AY41" s="447"/>
      <c r="AZ41" s="447"/>
      <c r="BA41" s="447"/>
      <c r="BB41" s="447"/>
      <c r="BC41" s="446"/>
      <c r="BD41" s="446"/>
      <c r="BE41" s="446"/>
      <c r="BF41" s="446"/>
      <c r="BG41" s="448"/>
      <c r="BR41" s="447"/>
      <c r="BS41" s="447"/>
      <c r="BT41" s="447"/>
      <c r="BU41" s="447"/>
      <c r="BV41" s="447"/>
      <c r="BW41" s="447"/>
      <c r="BX41" s="447"/>
      <c r="BY41" s="447"/>
      <c r="BZ41" s="447"/>
      <c r="CA41" s="447"/>
      <c r="CB41" s="446"/>
      <c r="CC41" s="446"/>
      <c r="CD41" s="448"/>
      <c r="CO41" s="447"/>
      <c r="CP41" s="447"/>
      <c r="CQ41" s="447"/>
      <c r="CR41" s="447"/>
      <c r="CS41" s="447"/>
      <c r="CT41" s="447"/>
      <c r="CU41" s="447"/>
      <c r="CV41" s="447"/>
      <c r="CW41" s="447"/>
      <c r="CX41" s="458"/>
      <c r="CY41" s="458"/>
    </row>
    <row r="42" spans="1:111" ht="70" customHeight="1">
      <c r="A42" s="1138" t="str">
        <f>"Arbejdstid for "&amp;A7&amp;" måned:"</f>
        <v>Arbejdstid for December måned:</v>
      </c>
      <c r="B42" s="1139"/>
      <c r="C42" s="1139"/>
      <c r="D42" s="1139"/>
      <c r="E42" s="1139"/>
      <c r="F42" s="1139"/>
      <c r="G42" s="1139"/>
      <c r="H42" s="571" t="s">
        <v>303</v>
      </c>
      <c r="I42" s="1139" t="s">
        <v>264</v>
      </c>
      <c r="J42" s="1140"/>
      <c r="K42" s="1141"/>
      <c r="L42" s="472"/>
      <c r="M42" s="1164" t="str">
        <f>"Ulempetimer og weekendtimer i "&amp;A5&amp;""</f>
        <v>Ulempetimer og weekendtimer i December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22</v>
      </c>
      <c r="I43" s="1107">
        <f>IF(Stamoplysninger!$E$12="Ja",1924/Arbejdstidsoversigt!$K$9*Stamoplysninger!$E$15*H43,H43*7.4*Stamoplysninger!$E$13)</f>
        <v>162.17624521072798</v>
      </c>
      <c r="J43" s="1108"/>
      <c r="K43" s="1109"/>
      <c r="L43" s="468"/>
      <c r="M43" s="1167" t="s">
        <v>368</v>
      </c>
      <c r="N43" s="1168"/>
      <c r="O43" s="1168"/>
      <c r="P43" s="1168"/>
      <c r="Q43" s="1168"/>
      <c r="R43" s="1168"/>
      <c r="S43" s="1168"/>
      <c r="T43" s="1168"/>
      <c r="U43" s="1168"/>
      <c r="V43" s="1169">
        <f>M62+S61+T61+M65+M69+M63+N62+N69</f>
        <v>0.75</v>
      </c>
      <c r="W43" s="1169"/>
      <c r="X43" s="1170"/>
      <c r="Y43" s="437"/>
      <c r="Z43" s="437"/>
      <c r="AD43" s="124"/>
      <c r="AE43" s="124"/>
      <c r="AZ43" s="436"/>
      <c r="BM43" s="1"/>
      <c r="CJ43" s="1"/>
      <c r="CU43" s="455"/>
      <c r="CV43" s="455"/>
      <c r="CY43"/>
      <c r="CZ43"/>
    </row>
    <row r="44" spans="1:111">
      <c r="A44" s="1105" t="str">
        <f>"Ferie "&amp;A7&amp;" måned"</f>
        <v>Ferie December måned</v>
      </c>
      <c r="B44" s="1106"/>
      <c r="C44" s="1106"/>
      <c r="D44" s="1106"/>
      <c r="E44" s="1106"/>
      <c r="F44" s="1106"/>
      <c r="G44" s="1106"/>
      <c r="H44" s="467" t="str">
        <f>IF(D62&gt;0,$D$62,"0")</f>
        <v>0</v>
      </c>
      <c r="I44" s="1110">
        <f>H44*7.4*Stamoplysninger!$E$15</f>
        <v>0</v>
      </c>
      <c r="J44" s="1111"/>
      <c r="K44" s="1112"/>
      <c r="L44" s="468"/>
      <c r="M44" s="1171" t="s">
        <v>307</v>
      </c>
      <c r="N44" s="1172"/>
      <c r="O44" s="1172"/>
      <c r="P44" s="1172"/>
      <c r="Q44" s="1172"/>
      <c r="R44" s="1172"/>
      <c r="S44" s="1172"/>
      <c r="T44" s="1172"/>
      <c r="U44" s="1172"/>
      <c r="V44" s="1173">
        <f>M61+S60+T60+M64+M68+M60+N60+N68</f>
        <v>0</v>
      </c>
      <c r="W44" s="1173"/>
      <c r="X44" s="1174"/>
      <c r="Y44" s="437"/>
      <c r="Z44" s="437"/>
      <c r="AD44" s="124"/>
      <c r="AE44" s="124"/>
      <c r="AZ44" s="436"/>
      <c r="BM44" s="1"/>
      <c r="CJ44" s="1"/>
      <c r="CU44" s="455"/>
      <c r="CV44" s="455"/>
      <c r="CY44"/>
      <c r="CZ44"/>
    </row>
    <row r="45" spans="1:111">
      <c r="A45" s="1105" t="str">
        <f>"Søgnehelligdage i "&amp;A7&amp;" måned"</f>
        <v>Søgnehelligdage i December måned</v>
      </c>
      <c r="B45" s="1106"/>
      <c r="C45" s="1106"/>
      <c r="D45" s="1106"/>
      <c r="E45" s="1106"/>
      <c r="F45" s="1106"/>
      <c r="G45" s="1106"/>
      <c r="H45" s="467">
        <f>IF(D61&gt;0,D61,0)</f>
        <v>1</v>
      </c>
      <c r="I45" s="1110">
        <f>H45*7.4*Stamoplysninger!$E$15</f>
        <v>7.4</v>
      </c>
      <c r="J45" s="1111"/>
      <c r="K45" s="1112"/>
      <c r="L45" s="678"/>
      <c r="M45" s="1175" t="s">
        <v>347</v>
      </c>
      <c r="N45" s="1176"/>
      <c r="O45" s="1176"/>
      <c r="P45" s="1176"/>
      <c r="Q45" s="1176"/>
      <c r="R45" s="1176"/>
      <c r="S45" s="1176"/>
      <c r="T45" s="1176"/>
      <c r="U45" s="1176"/>
      <c r="V45" s="1186">
        <f>November!V54</f>
        <v>0</v>
      </c>
      <c r="W45" s="1186"/>
      <c r="X45" s="1187"/>
      <c r="Y45" s="437"/>
      <c r="Z45" s="437"/>
      <c r="AD45" s="124"/>
      <c r="AE45" s="124"/>
      <c r="AZ45" s="436"/>
      <c r="BM45" s="1"/>
      <c r="CJ45" s="1"/>
      <c r="CU45" s="455"/>
      <c r="CV45" s="455"/>
      <c r="CY45"/>
      <c r="CZ45"/>
    </row>
    <row r="46" spans="1:111">
      <c r="A46" s="1105" t="str">
        <f>"Nettoarbejdstid ialt i "&amp;A7&amp;" måned"</f>
        <v>Nettoarbejdstid ialt i December måned</v>
      </c>
      <c r="B46" s="1106"/>
      <c r="C46" s="1106"/>
      <c r="D46" s="1106"/>
      <c r="E46" s="1106"/>
      <c r="F46" s="1106"/>
      <c r="G46" s="1106"/>
      <c r="H46" s="470">
        <f>H43-H44-H45</f>
        <v>21</v>
      </c>
      <c r="I46" s="1110">
        <f>I43-I44-I45</f>
        <v>154.77624521072798</v>
      </c>
      <c r="J46" s="1111"/>
      <c r="K46" s="1112"/>
      <c r="L46" s="678"/>
      <c r="M46" s="1134" t="s">
        <v>354</v>
      </c>
      <c r="N46" s="1135"/>
      <c r="O46" s="1135"/>
      <c r="P46" s="1135"/>
      <c r="Q46" s="1135"/>
      <c r="R46" s="1135"/>
      <c r="S46" s="1135"/>
      <c r="T46" s="1135"/>
      <c r="U46" s="1135"/>
      <c r="V46" s="1136">
        <f>V44+V45</f>
        <v>0</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December måned kalender</v>
      </c>
      <c r="B47" s="1114"/>
      <c r="C47" s="1114"/>
      <c r="D47" s="1114"/>
      <c r="E47" s="1114"/>
      <c r="F47" s="1114"/>
      <c r="G47" s="1114"/>
      <c r="H47" s="866">
        <f>D53+D54+D55+D56+D57+D58+D59</f>
        <v>15</v>
      </c>
      <c r="I47" s="1115">
        <f>N40+R40-J56</f>
        <v>117</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0</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09">
      <c r="A49" s="1126" t="str">
        <f>"Arbejde særligt planlagt for "&amp;A7&amp;" måned efter fanen skemaoplysninger"</f>
        <v>Arbejde særligt planlagt for December måned efter fanen skemaoplysninger</v>
      </c>
      <c r="B49" s="1127"/>
      <c r="C49" s="1127"/>
      <c r="D49" s="1127"/>
      <c r="E49" s="1127"/>
      <c r="F49" s="1127"/>
      <c r="G49" s="1127"/>
      <c r="H49" s="1128"/>
      <c r="I49" s="1116">
        <f>Skemaoplysninger!O67</f>
        <v>0</v>
      </c>
      <c r="J49" s="1124"/>
      <c r="K49" s="1125"/>
      <c r="L49" s="680"/>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09">
      <c r="A50" s="1142" t="s">
        <v>342</v>
      </c>
      <c r="B50" s="1143"/>
      <c r="C50" s="1143"/>
      <c r="D50" s="1143"/>
      <c r="E50" s="1143"/>
      <c r="F50" s="1143"/>
      <c r="G50" s="1143"/>
      <c r="H50" s="1143"/>
      <c r="I50" s="1194">
        <f>V40+X40-N57</f>
        <v>0</v>
      </c>
      <c r="J50" s="1118"/>
      <c r="K50" s="1195"/>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09" ht="17" thickBot="1">
      <c r="A51" s="471" t="str">
        <f>"Faktisk arbejdstid ialt i "&amp;A7&amp;" måned"</f>
        <v>Faktisk arbejdstid ialt i December måned</v>
      </c>
      <c r="B51" s="553"/>
      <c r="C51" s="554"/>
      <c r="D51" s="554"/>
      <c r="E51" s="554"/>
      <c r="F51" s="554"/>
      <c r="G51" s="554"/>
      <c r="H51" s="555"/>
      <c r="I51" s="1129">
        <f>I47+I50+I49+I48</f>
        <v>117</v>
      </c>
      <c r="J51" s="1130"/>
      <c r="K51" s="1131"/>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761"/>
      <c r="B52" s="761"/>
      <c r="C52" s="761"/>
      <c r="D52" s="761"/>
      <c r="E52" s="761"/>
      <c r="F52" s="761"/>
      <c r="G52" s="761"/>
      <c r="H52" s="780"/>
      <c r="I52" s="459"/>
      <c r="J52" s="459"/>
      <c r="K52" s="473" t="s">
        <v>343</v>
      </c>
      <c r="L52" s="439"/>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683" t="s">
        <v>241</v>
      </c>
      <c r="B53" s="689"/>
      <c r="C53" s="689"/>
      <c r="D53" s="683">
        <f>COUNTIF([0]!December,"Skema 1")</f>
        <v>13</v>
      </c>
      <c r="E53" s="690"/>
      <c r="F53" s="576" t="s">
        <v>221</v>
      </c>
      <c r="G53" s="576">
        <f>COUNTIFS($B$9:$B$39,"ma",[0]!December,"Skema 1")</f>
        <v>3</v>
      </c>
      <c r="H53" s="583"/>
      <c r="I53" s="380"/>
      <c r="J53" s="530"/>
      <c r="K53" s="439"/>
      <c r="L53" s="439"/>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c r="A54" s="1188" t="s">
        <v>242</v>
      </c>
      <c r="B54" s="1188"/>
      <c r="C54" s="1188"/>
      <c r="D54" s="683">
        <f>COUNTIF([0]!December,"Skema 2")</f>
        <v>0</v>
      </c>
      <c r="E54" s="690"/>
      <c r="F54" s="576" t="s">
        <v>222</v>
      </c>
      <c r="G54" s="576">
        <f>COUNTIFS($B$9:$B$39,"ti",[0]!December,"Skema 1")</f>
        <v>3</v>
      </c>
      <c r="H54" s="576"/>
      <c r="I54" s="576"/>
      <c r="J54" s="577"/>
      <c r="K54" s="681"/>
      <c r="L54" s="681"/>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09" ht="17" thickBot="1">
      <c r="A55" s="1188" t="s">
        <v>243</v>
      </c>
      <c r="B55" s="1188"/>
      <c r="C55" s="1188"/>
      <c r="D55" s="683">
        <f>COUNTIF([0]!December,"Skema 3")</f>
        <v>0</v>
      </c>
      <c r="E55" s="690"/>
      <c r="F55" s="576" t="s">
        <v>223</v>
      </c>
      <c r="G55" s="576">
        <f>COUNTIFS($B$9:$B$39,"on",[0]!December,"Skema 1")</f>
        <v>2</v>
      </c>
      <c r="H55" s="576"/>
      <c r="I55" s="576"/>
      <c r="J55" s="577"/>
      <c r="K55" s="681"/>
      <c r="L55" s="578"/>
      <c r="M55" s="1151" t="s">
        <v>346</v>
      </c>
      <c r="N55" s="1152"/>
      <c r="O55" s="1152"/>
      <c r="P55" s="1152"/>
      <c r="Q55" s="1152"/>
      <c r="R55" s="1152"/>
      <c r="S55" s="1152"/>
      <c r="T55" s="1152"/>
      <c r="U55" s="1153"/>
      <c r="V55" s="1154">
        <f>V46-SUM(V49:W54)</f>
        <v>0</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09" hidden="1">
      <c r="A56" s="1188" t="s">
        <v>244</v>
      </c>
      <c r="B56" s="1188"/>
      <c r="C56" s="1188"/>
      <c r="D56" s="683">
        <f>COUNTIF([0]!December,"Skema 4")</f>
        <v>0</v>
      </c>
      <c r="E56" s="690"/>
      <c r="F56" s="576" t="s">
        <v>225</v>
      </c>
      <c r="G56" s="576">
        <f>COUNTIFS($B$9:$B$39,"to",[0]!December,"Skema 1")</f>
        <v>2</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884"/>
      <c r="L56" s="578"/>
      <c r="M56" s="761" t="s">
        <v>378</v>
      </c>
      <c r="N56" s="761" t="s">
        <v>482</v>
      </c>
      <c r="O56" s="465"/>
      <c r="P56" s="465"/>
      <c r="Q56" s="465"/>
      <c r="R56" s="465"/>
      <c r="S56" s="465"/>
      <c r="T56" s="465"/>
      <c r="U56" s="465"/>
      <c r="V56" s="465"/>
      <c r="W56" s="465"/>
      <c r="X56" s="465"/>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83" t="s">
        <v>117</v>
      </c>
      <c r="B57" s="683"/>
      <c r="C57" s="683"/>
      <c r="D57" s="683">
        <f>COUNTIF([0]!December,"Fagdag")+COUNTIF([0]!December,"emnedag")</f>
        <v>2</v>
      </c>
      <c r="E57" s="690"/>
      <c r="F57" s="576" t="s">
        <v>224</v>
      </c>
      <c r="G57" s="576">
        <f>COUNTIFS($B$9:$B$39,"fr",[0]!December,"Skema 1")</f>
        <v>3</v>
      </c>
      <c r="H57" s="576"/>
      <c r="I57" s="578" t="s">
        <v>380</v>
      </c>
      <c r="J57" s="577"/>
      <c r="K57" s="578"/>
      <c r="L57" s="45"/>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7" s="754"/>
      <c r="P57" s="581"/>
      <c r="Q57" s="757" t="s">
        <v>382</v>
      </c>
      <c r="R57" s="459"/>
      <c r="S57" s="459"/>
      <c r="T57" s="459" t="s">
        <v>383</v>
      </c>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91" t="s">
        <v>116</v>
      </c>
      <c r="B58" s="683"/>
      <c r="C58" s="683"/>
      <c r="D58" s="683">
        <f>COUNTIF([0]!December,"Lejrskole")+COUNTIF([0]!December,"Ekskursion")</f>
        <v>0</v>
      </c>
      <c r="E58" s="690"/>
      <c r="F58" s="576"/>
      <c r="G58" s="576"/>
      <c r="H58" s="576"/>
      <c r="I58" s="578" t="s">
        <v>394</v>
      </c>
      <c r="J58" s="577"/>
      <c r="K58" s="578"/>
      <c r="L58" s="45"/>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115</v>
      </c>
      <c r="B59" s="683"/>
      <c r="C59" s="683"/>
      <c r="D59" s="683">
        <f>COUNTIF([0]!December,"Pæd.dag")</f>
        <v>0</v>
      </c>
      <c r="E59" s="690"/>
      <c r="F59" s="576" t="s">
        <v>226</v>
      </c>
      <c r="G59" s="576">
        <f>COUNTIFS($B$9:$B$39,"ma",[0]!December,"Skema 2")</f>
        <v>0</v>
      </c>
      <c r="H59" s="576"/>
      <c r="I59" s="576" t="s">
        <v>393</v>
      </c>
      <c r="J59" s="577"/>
      <c r="K59" s="45"/>
      <c r="L59" s="45"/>
      <c r="M59" s="754">
        <f>SUM(M57:M58)</f>
        <v>0</v>
      </c>
      <c r="N59" s="754">
        <f>SUM(N57:N58)</f>
        <v>0</v>
      </c>
      <c r="O59" s="756">
        <f>(M59+N59)/2</f>
        <v>0</v>
      </c>
      <c r="P59" s="581">
        <f>SUM(M59:O59)</f>
        <v>0</v>
      </c>
      <c r="Q59" s="757">
        <f>(M59+N59)*25%</f>
        <v>0</v>
      </c>
      <c r="R59" s="459"/>
      <c r="S59" s="459"/>
      <c r="T59" s="459"/>
      <c r="U59" s="459"/>
      <c r="V59" s="459"/>
      <c r="W59" s="582"/>
      <c r="X59" s="582"/>
      <c r="Y59" s="437"/>
      <c r="Z59" s="437"/>
      <c r="AA59" s="437"/>
      <c r="AB59" s="387"/>
      <c r="AC59" s="454"/>
      <c r="AD59" s="454"/>
      <c r="AE59" s="454"/>
      <c r="AG59" s="437"/>
      <c r="AI59" s="437"/>
      <c r="AJ59" s="437"/>
      <c r="AN59" s="124"/>
      <c r="AO59" s="124"/>
      <c r="BI59" s="436"/>
      <c r="BV59" s="1"/>
      <c r="CS59" s="1"/>
      <c r="CY59"/>
      <c r="CZ59"/>
      <c r="DD59" s="455"/>
      <c r="DE59" s="455"/>
    </row>
    <row r="60" spans="1:109" hidden="1">
      <c r="A60" s="683" t="s">
        <v>138</v>
      </c>
      <c r="B60" s="683"/>
      <c r="C60" s="683"/>
      <c r="D60" s="683">
        <f>COUNTIF([0]!December,"Weekend")</f>
        <v>9</v>
      </c>
      <c r="E60" s="690"/>
      <c r="F60" s="576" t="s">
        <v>227</v>
      </c>
      <c r="G60" s="576">
        <f>COUNTIFS($B$9:$B$39,"ti",[0]!December,"Skema 2")</f>
        <v>0</v>
      </c>
      <c r="H60" s="576"/>
      <c r="I60" s="576" t="s">
        <v>564</v>
      </c>
      <c r="J60" s="577"/>
      <c r="K60" s="45"/>
      <c r="L60" s="45"/>
      <c r="M60" s="858">
        <f>IF(Stamoplysninger!$B$26="Weekendtimer og weekendtillæg afspadseres.",M57,0)</f>
        <v>0</v>
      </c>
      <c r="N60" s="858">
        <f>IF(Stamoplysninger!$B$26="Weekendtimer og weekendtillæg afspadseres.",N57,0)</f>
        <v>0</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s="436"/>
      <c r="Z60"/>
      <c r="AM60" s="1"/>
      <c r="BJ60" s="1"/>
      <c r="BU60" s="455"/>
      <c r="BV60" s="455"/>
      <c r="CY60"/>
      <c r="CZ60"/>
    </row>
    <row r="61" spans="1:109" hidden="1">
      <c r="A61" s="683" t="s">
        <v>146</v>
      </c>
      <c r="B61" s="683"/>
      <c r="C61" s="683"/>
      <c r="D61" s="683">
        <f>COUNTIF([0]!December,"SH-dag")</f>
        <v>1</v>
      </c>
      <c r="E61" s="690"/>
      <c r="F61" s="576" t="s">
        <v>228</v>
      </c>
      <c r="G61" s="576">
        <f>COUNTIFS($B$9:$B$39,"on",[0]!December,"Skema 2")</f>
        <v>0</v>
      </c>
      <c r="H61" s="576"/>
      <c r="I61" s="854" t="s">
        <v>565</v>
      </c>
      <c r="J61" s="854"/>
      <c r="K61" s="854"/>
      <c r="L61" s="854"/>
      <c r="M61" s="858">
        <f>IF(Stamoplysninger!$B$26="Weekendtimer og weekendtillæg afspadseres.",O59,0)</f>
        <v>0</v>
      </c>
      <c r="N61" s="858">
        <f>IF(Stamoplysninger!$B$26="Weekendtimer og weekendtillæg afspadseres.",O59,0)</f>
        <v>0</v>
      </c>
      <c r="O61" s="754"/>
      <c r="P61" s="581"/>
      <c r="Q61" s="757" t="s">
        <v>381</v>
      </c>
      <c r="R61" s="459"/>
      <c r="S61" s="459">
        <f>IF(Stamoplysninger!B22="Ulempetillæg udbetales med 25% af nettotimelønnen.",Q59,0)</f>
        <v>0</v>
      </c>
      <c r="T61" s="459">
        <f>IF(Stamoplysninger!B22="Ulempetillæg udbetales med 25% af nettotimelønnen.",(R40+X40)*0.25,0)</f>
        <v>0.75</v>
      </c>
      <c r="U61" s="459"/>
      <c r="V61" s="459"/>
      <c r="W61" s="582"/>
      <c r="X61" s="582"/>
      <c r="Y61" s="436"/>
      <c r="Z61"/>
      <c r="AM61" s="1"/>
      <c r="BJ61" s="1"/>
      <c r="BU61" s="455"/>
      <c r="BV61" s="455"/>
      <c r="CY61"/>
      <c r="CZ61"/>
    </row>
    <row r="62" spans="1:109" hidden="1">
      <c r="A62" s="683" t="s">
        <v>114</v>
      </c>
      <c r="B62" s="683"/>
      <c r="C62" s="683"/>
      <c r="D62" s="683">
        <f>COUNTIF([0]!December,"Feriedag")</f>
        <v>0</v>
      </c>
      <c r="E62" s="690"/>
      <c r="F62" s="576" t="s">
        <v>229</v>
      </c>
      <c r="G62" s="576">
        <f>COUNTIFS($B$9:$B$39,"to",[0]!December,"Skema 2")</f>
        <v>0</v>
      </c>
      <c r="H62" s="576"/>
      <c r="I62" s="854" t="s">
        <v>566</v>
      </c>
      <c r="J62" s="854"/>
      <c r="K62" s="854"/>
      <c r="L62" s="854"/>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s="436"/>
      <c r="Z62"/>
      <c r="AM62" s="1"/>
      <c r="BJ62" s="1"/>
      <c r="BU62" s="455"/>
      <c r="BV62" s="455"/>
      <c r="CY62"/>
      <c r="CZ62"/>
    </row>
    <row r="63" spans="1:109" hidden="1">
      <c r="A63" s="683" t="s">
        <v>210</v>
      </c>
      <c r="B63" s="683"/>
      <c r="C63" s="683"/>
      <c r="D63" s="683">
        <f>COUNTIF([0]!December,"Nul-dag")</f>
        <v>6</v>
      </c>
      <c r="E63" s="690"/>
      <c r="F63" s="576" t="s">
        <v>230</v>
      </c>
      <c r="G63" s="576">
        <f>COUNTIFS($B$9:$B$39,"fr",[0]!December,"Skema 2")</f>
        <v>0</v>
      </c>
      <c r="H63" s="576"/>
      <c r="I63" s="854" t="s">
        <v>567</v>
      </c>
      <c r="J63" s="854"/>
      <c r="K63" s="854"/>
      <c r="L63" s="854"/>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s="436"/>
      <c r="Z63"/>
      <c r="AM63" s="1"/>
      <c r="BJ63" s="1"/>
      <c r="BU63" s="455"/>
      <c r="BV63" s="455"/>
      <c r="CY63"/>
      <c r="CZ63"/>
    </row>
    <row r="64" spans="1:109" hidden="1">
      <c r="A64" s="841" t="s">
        <v>505</v>
      </c>
      <c r="B64" s="683"/>
      <c r="C64" s="683"/>
      <c r="D64" s="683">
        <f>COUNTIF([0]!December,"Orlov")</f>
        <v>0</v>
      </c>
      <c r="E64" s="690"/>
      <c r="F64" s="692"/>
      <c r="G64" s="692"/>
      <c r="H64" s="692"/>
      <c r="I64" s="854" t="s">
        <v>385</v>
      </c>
      <c r="J64" s="854"/>
      <c r="K64" s="854"/>
      <c r="L64" s="854"/>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c r="Z64"/>
      <c r="AM64" s="1"/>
      <c r="BJ64" s="1"/>
      <c r="BU64" s="455"/>
      <c r="BV64" s="455"/>
      <c r="CY64"/>
      <c r="CZ64"/>
    </row>
    <row r="65" spans="1:104" hidden="1">
      <c r="A65" s="683" t="s">
        <v>185</v>
      </c>
      <c r="B65" s="683"/>
      <c r="C65" s="683"/>
      <c r="D65" s="683">
        <f>COUNTIF([0]!December,"Ikke relevant")</f>
        <v>0</v>
      </c>
      <c r="E65" s="690"/>
      <c r="F65" s="576" t="s">
        <v>231</v>
      </c>
      <c r="G65" s="576">
        <f>COUNTIFS($B$9:$B$39,"ma",[0]!December,"Skema 3")</f>
        <v>0</v>
      </c>
      <c r="H65" s="576">
        <v>1</v>
      </c>
      <c r="I65" s="854" t="s">
        <v>386</v>
      </c>
      <c r="J65" s="854"/>
      <c r="K65" s="854"/>
      <c r="L65" s="854"/>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c r="Z65"/>
      <c r="AM65" s="1"/>
      <c r="BJ65" s="1"/>
      <c r="BU65" s="455"/>
      <c r="BV65" s="455"/>
      <c r="CY65"/>
      <c r="CZ65"/>
    </row>
    <row r="66" spans="1:104" hidden="1">
      <c r="A66" s="683" t="s">
        <v>113</v>
      </c>
      <c r="B66" s="683"/>
      <c r="C66" s="683"/>
      <c r="D66" s="693">
        <f>SUM(D53:D65)</f>
        <v>31</v>
      </c>
      <c r="E66" s="693"/>
      <c r="F66" s="576" t="s">
        <v>232</v>
      </c>
      <c r="G66" s="576">
        <f>COUNTIFS($B$9:$B$39,"ti",[0]!December,"Skema 3")</f>
        <v>0</v>
      </c>
      <c r="H66" s="576">
        <v>2</v>
      </c>
      <c r="I66" s="854" t="s">
        <v>569</v>
      </c>
      <c r="J66" s="854"/>
      <c r="K66" s="854"/>
      <c r="L66" s="854"/>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c r="Z66" s="1"/>
      <c r="AX66" s="1"/>
      <c r="BI66" s="455"/>
      <c r="BJ66" s="455"/>
      <c r="CY66"/>
      <c r="CZ66"/>
    </row>
    <row r="67" spans="1:104" hidden="1">
      <c r="A67" s="683" t="s">
        <v>282</v>
      </c>
      <c r="B67" s="683"/>
      <c r="C67" s="683"/>
      <c r="D67" s="693">
        <f>D66-D60-A76-D65</f>
        <v>22</v>
      </c>
      <c r="E67" s="695"/>
      <c r="F67" s="576" t="s">
        <v>233</v>
      </c>
      <c r="G67" s="576">
        <f>COUNTIFS($B$9:$B$39,"on",[0]!December,"Skema 3")</f>
        <v>0</v>
      </c>
      <c r="H67" s="576"/>
      <c r="I67" s="854" t="s">
        <v>570</v>
      </c>
      <c r="J67" s="854"/>
      <c r="K67" s="854"/>
      <c r="L67" s="854"/>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s="1"/>
      <c r="AX67" s="1"/>
      <c r="BI67" s="455"/>
      <c r="BJ67" s="455"/>
      <c r="CY67"/>
      <c r="CZ67"/>
    </row>
    <row r="68" spans="1:104" hidden="1">
      <c r="A68" s="576"/>
      <c r="B68" s="576"/>
      <c r="C68" s="576"/>
      <c r="D68" s="694"/>
      <c r="E68" s="576"/>
      <c r="F68" s="576" t="s">
        <v>234</v>
      </c>
      <c r="G68" s="576">
        <f>COUNTIFS($B$9:$B$39,"to",[0]!December,"Skema 3")</f>
        <v>0</v>
      </c>
      <c r="H68" s="576"/>
      <c r="I68" s="854" t="s">
        <v>387</v>
      </c>
      <c r="J68" s="854"/>
      <c r="K68" s="854"/>
      <c r="L68" s="854"/>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s="1"/>
      <c r="AX68" s="1"/>
      <c r="BI68" s="455"/>
      <c r="BJ68" s="455"/>
      <c r="CY68"/>
      <c r="CZ68"/>
    </row>
    <row r="69" spans="1:104" hidden="1">
      <c r="A69" s="576"/>
      <c r="B69" s="576"/>
      <c r="C69" s="576"/>
      <c r="D69" s="694"/>
      <c r="E69" s="576"/>
      <c r="F69" s="576" t="s">
        <v>235</v>
      </c>
      <c r="G69" s="576">
        <f>COUNTIFS($B$9:$B$39,"fr",[0]!December,"Skema 3")</f>
        <v>0</v>
      </c>
      <c r="H69" s="576">
        <v>1</v>
      </c>
      <c r="I69" s="854" t="s">
        <v>388</v>
      </c>
      <c r="J69" s="854"/>
      <c r="K69" s="854"/>
      <c r="L69" s="854"/>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s="1"/>
      <c r="AX69" s="1"/>
      <c r="BI69" s="455"/>
      <c r="BJ69" s="455"/>
      <c r="CY69"/>
      <c r="CZ69"/>
    </row>
    <row r="70" spans="1:104" hidden="1">
      <c r="A70" s="576" t="s">
        <v>344</v>
      </c>
      <c r="B70" s="576"/>
      <c r="C70" s="576"/>
      <c r="D70" s="694"/>
      <c r="E70" s="694"/>
      <c r="F70" s="576"/>
      <c r="G70" s="576"/>
      <c r="H70" s="576">
        <v>2</v>
      </c>
      <c r="I70" s="854" t="s">
        <v>571</v>
      </c>
      <c r="J70" s="854"/>
      <c r="K70" s="854"/>
      <c r="L70" s="854"/>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s="1"/>
      <c r="AX70" s="1"/>
      <c r="BI70" s="455"/>
      <c r="BJ70" s="455"/>
      <c r="CY70"/>
      <c r="CZ70"/>
    </row>
    <row r="71" spans="1:104" hidden="1">
      <c r="A71" s="576">
        <f>COUNTIF($C$11:$C$12,"Skema 1")+COUNTIF($C$11:$C$12,"Skema 2")+COUNTIF($C$11:$C$12,"Skema 3")+COUNTIF($C$11:$C$12,"Skema 4")+COUNTIF($C$11:$C$12,"Fagdag")+COUNTIF($C$11:$C$12,"Emnedag")+COUNTIF($C$11:$C$12,"Lejrskole")+COUNTIF($C$11:$C$12,"Ekskursion")+COUNTIF($C$11:$C$12,"Pæd.dag")</f>
        <v>0</v>
      </c>
      <c r="B71" s="576"/>
      <c r="C71" s="576"/>
      <c r="D71" s="576"/>
      <c r="E71" s="694"/>
      <c r="F71" s="576" t="s">
        <v>236</v>
      </c>
      <c r="G71" s="576">
        <f>COUNTIFS($B$9:$B$39,"ma",[0]!December,"Skema 4")</f>
        <v>0</v>
      </c>
      <c r="H71" s="576"/>
      <c r="I71" s="854" t="s">
        <v>572</v>
      </c>
      <c r="J71" s="854"/>
      <c r="K71" s="854"/>
      <c r="L71" s="854"/>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s="1"/>
      <c r="AX71" s="1"/>
      <c r="BI71" s="455"/>
      <c r="BJ71" s="455"/>
      <c r="CY71"/>
      <c r="CZ71"/>
    </row>
    <row r="72" spans="1:104" hidden="1">
      <c r="A72" s="576">
        <f>COUNTIF($C$18:$C$19,"Skema 1")+COUNTIF($C$18:$C$19,"Skema 2")+COUNTIF($C$18:$C$19,"Skema 3")+COUNTIF($C$18:$C$19,"Skema 4")+COUNTIF($C$18:$C$19,"Fagdag")+COUNTIF($C$18:$C$19,"Emnedag")+COUNTIF($C$18:$C$19,"Lejrskole")+COUNTIF($C$18:$C$19,"Ekskursion")+COUNTIF($C$18:$C$19,"Pæd.dag")</f>
        <v>0</v>
      </c>
      <c r="B72" s="576"/>
      <c r="C72" s="576"/>
      <c r="D72" s="576"/>
      <c r="E72" s="694"/>
      <c r="F72" s="576" t="s">
        <v>237</v>
      </c>
      <c r="G72" s="576">
        <f>COUNTIFS($B$9:$B$39,"ti",[0]!December,"Skema 4")</f>
        <v>0</v>
      </c>
      <c r="H72" s="576"/>
      <c r="I72" s="576" t="s">
        <v>568</v>
      </c>
      <c r="J72" s="45"/>
      <c r="K72" s="45"/>
      <c r="L72" s="45"/>
      <c r="M72" s="754">
        <f>IF(Stamoplysninger!$B$26="Der er indgået lokalaftale omkring weekendtimer og weekendtillæg.(Kræver aftale med TR/FSL).",M57,0)</f>
        <v>0</v>
      </c>
      <c r="N72" s="754"/>
      <c r="O72" s="580"/>
      <c r="P72" s="580"/>
      <c r="Q72" s="580"/>
      <c r="R72" s="580"/>
      <c r="S72" s="580"/>
      <c r="T72" s="580"/>
      <c r="V72" s="580"/>
      <c r="X72" s="580"/>
      <c r="Y72"/>
      <c r="Z72" s="1"/>
      <c r="AX72" s="1"/>
      <c r="BI72" s="455"/>
      <c r="BJ72" s="455"/>
      <c r="CY72"/>
      <c r="CZ72"/>
    </row>
    <row r="73" spans="1:104">
      <c r="A73" s="576">
        <f>COUNTIF($C$25:$C$26,"Skema 1")+COUNTIF($C$25:$C$26,"Skema 2")+COUNTIF($C$25:$C$26,"Skema 3")+COUNTIF($C$25:$C$26,"Skema 4")+COUNTIF($C$25:$C$26,"Fagdag")+COUNTIF($C$25:$C$26,"Emnedag")+COUNTIF($C$25:$C$26,"Lejrskole")+COUNTIF($C$25:$C$26,"Ekskursion")+COUNTIF($C$25:$C$26,"Pæd.dag")</f>
        <v>0</v>
      </c>
      <c r="B73" s="576"/>
      <c r="C73" s="576"/>
      <c r="D73" s="576"/>
      <c r="E73" s="694"/>
      <c r="F73" s="576" t="s">
        <v>238</v>
      </c>
      <c r="G73" s="576">
        <f>COUNTIFS($B$9:$B$39,"on",[0]!December,"Skema 4")</f>
        <v>0</v>
      </c>
      <c r="H73" s="576"/>
      <c r="I73" s="576"/>
      <c r="J73" s="45"/>
      <c r="K73" s="45"/>
      <c r="L73" s="45"/>
      <c r="M73" s="580"/>
      <c r="N73" s="580"/>
      <c r="O73" s="580"/>
      <c r="P73" s="580"/>
      <c r="Q73" s="580"/>
      <c r="R73" s="580"/>
      <c r="S73" s="580"/>
      <c r="T73" s="580"/>
      <c r="V73" s="580"/>
      <c r="Y73"/>
      <c r="Z73" s="1"/>
      <c r="AX73" s="1"/>
      <c r="BI73" s="455"/>
      <c r="BJ73" s="455"/>
      <c r="CY73"/>
      <c r="CZ73"/>
    </row>
    <row r="74" spans="1:104">
      <c r="A74" s="576">
        <f>COUNTIF($C$32:$C$33,"Skema 1")+COUNTIF($C$32:$C$33,"Skema 2")+COUNTIF($C$32:$C$33,"Skema 3")+COUNTIF($C$32:$C$33,"Skema 4")+COUNTIF($C$32:$C$33,"Fagdag")+COUNTIF($C$32:$C$33,"Emnedag")+COUNTIF($C$32:$C$33,"Lejrskole")+COUNTIF($C$32:$C$33,"Ekskursion")+COUNTIF($C$32:$C$33,"Pæd.dag")</f>
        <v>0</v>
      </c>
      <c r="B74" s="576"/>
      <c r="C74" s="576"/>
      <c r="D74" s="576"/>
      <c r="E74" s="694"/>
      <c r="F74" s="576" t="s">
        <v>239</v>
      </c>
      <c r="G74" s="576">
        <f>COUNTIFS($B$9:$B$39,"to",[0]!December,"Skema 4")</f>
        <v>0</v>
      </c>
      <c r="H74" s="576"/>
      <c r="I74" s="576"/>
      <c r="J74" s="45"/>
      <c r="K74" s="45"/>
      <c r="L74" s="45"/>
      <c r="M74" s="580"/>
      <c r="N74" s="580"/>
      <c r="O74" s="580"/>
      <c r="P74" s="580"/>
      <c r="Q74" s="580"/>
      <c r="R74" s="580"/>
      <c r="S74" s="580"/>
      <c r="T74" s="580"/>
      <c r="V74" s="580"/>
      <c r="Y74"/>
      <c r="Z74"/>
      <c r="AO74" s="1">
        <f>SUM(N74:AN74)</f>
        <v>0</v>
      </c>
      <c r="BL74" s="1">
        <f>SUM(AI74:BK74)</f>
        <v>0</v>
      </c>
      <c r="BW74" s="455"/>
      <c r="BX74" s="455"/>
      <c r="CY74"/>
      <c r="CZ74"/>
    </row>
    <row r="75" spans="1:104">
      <c r="A75" s="576">
        <f>COUNTIF($C$39,"Skema 1")+COUNTIF($C$39,"Skema 2")+COUNTIF($C$39,"Skema 3")+COUNTIF($C$39,"Skema 4")+COUNTIF($C$39,"Fagdag")+COUNTIF($C$39,"Emnedag")+COUNTIF($C$39,"Lejrskole")+COUNTIF($C$39,"Ekskursion")+COUNTIF($C$39,"Pæd.dag")</f>
        <v>0</v>
      </c>
      <c r="B75" s="576"/>
      <c r="C75" s="576"/>
      <c r="D75" s="576"/>
      <c r="E75" s="694"/>
      <c r="F75" s="576" t="s">
        <v>240</v>
      </c>
      <c r="G75" s="576">
        <f>COUNTIFS($B$9:$B$39,"fr",[0]!December,"Skema 4")</f>
        <v>0</v>
      </c>
      <c r="H75" s="576"/>
      <c r="I75" s="45"/>
      <c r="J75" s="45"/>
      <c r="K75" s="45"/>
      <c r="L75" s="45"/>
      <c r="M75" s="580"/>
      <c r="N75" s="580"/>
      <c r="O75" s="580"/>
      <c r="P75" s="580"/>
      <c r="Q75" s="580"/>
      <c r="R75" s="580"/>
      <c r="S75" s="580"/>
      <c r="T75" s="580"/>
      <c r="V75" s="580"/>
      <c r="Y75"/>
      <c r="Z75"/>
      <c r="AO75" s="1">
        <f>SUM(N75:AN75)</f>
        <v>0</v>
      </c>
      <c r="BL75" s="1">
        <f>SUM(AI75:BK75)</f>
        <v>0</v>
      </c>
      <c r="BW75" s="455"/>
      <c r="BX75" s="455"/>
      <c r="CY75"/>
      <c r="CZ75"/>
    </row>
    <row r="76" spans="1:104">
      <c r="A76" s="576">
        <f>SUM(A71:A75)</f>
        <v>0</v>
      </c>
      <c r="B76" s="576"/>
      <c r="C76" s="576"/>
      <c r="D76" s="576"/>
      <c r="E76" s="694"/>
      <c r="F76" s="694"/>
      <c r="G76" s="697">
        <f>SUM(G53:G75)</f>
        <v>13</v>
      </c>
      <c r="H76" s="45"/>
      <c r="I76" s="45"/>
      <c r="J76" s="45"/>
      <c r="K76" s="45"/>
      <c r="L76" s="45"/>
      <c r="Y76"/>
      <c r="Z76"/>
      <c r="AO76" s="1">
        <f>SUM(N76:AN76)</f>
        <v>0</v>
      </c>
      <c r="BL76" s="1">
        <f>SUM(AI76:BK76)</f>
        <v>0</v>
      </c>
      <c r="BW76" s="455"/>
      <c r="BX76" s="455"/>
      <c r="CY76"/>
      <c r="CZ76"/>
    </row>
    <row r="77" spans="1:104">
      <c r="A77" s="696"/>
      <c r="B77" s="696"/>
      <c r="C77" s="696"/>
      <c r="D77" s="696"/>
      <c r="E77" s="694"/>
      <c r="F77" s="694"/>
      <c r="G77" s="694"/>
      <c r="H77" s="45"/>
      <c r="I77" s="45"/>
      <c r="J77" s="45"/>
      <c r="K77" s="45"/>
      <c r="L77" s="45"/>
      <c r="Y77"/>
      <c r="Z77"/>
      <c r="AO77" s="1">
        <f>SUM(N77:AN77)</f>
        <v>0</v>
      </c>
      <c r="BL77" s="1">
        <f>SUM(AI77:BK77)</f>
        <v>0</v>
      </c>
      <c r="BW77" s="455"/>
      <c r="BX77" s="455"/>
      <c r="CY77"/>
      <c r="CZ77"/>
    </row>
    <row r="78" spans="1:104">
      <c r="A78" s="696"/>
      <c r="B78" s="696"/>
      <c r="C78" s="696"/>
      <c r="D78" s="696"/>
      <c r="E78" s="842"/>
      <c r="F78" s="842"/>
      <c r="G78" s="842"/>
      <c r="H78" s="45"/>
      <c r="I78" s="45"/>
      <c r="J78" s="45"/>
      <c r="K78" s="45"/>
      <c r="L78" s="45"/>
      <c r="Y78"/>
      <c r="Z78"/>
      <c r="BW78" s="455"/>
      <c r="BX78" s="455"/>
      <c r="CY78"/>
      <c r="CZ78"/>
    </row>
    <row r="79" spans="1:104">
      <c r="A79" s="45"/>
      <c r="B79" s="45"/>
      <c r="C79" s="45"/>
      <c r="D79" s="45"/>
      <c r="E79" s="842"/>
      <c r="F79" s="842"/>
      <c r="G79" s="842"/>
      <c r="H79" s="45"/>
      <c r="I79" s="45"/>
      <c r="J79" s="45"/>
      <c r="K79" s="45"/>
      <c r="L79" s="45"/>
      <c r="Y79"/>
      <c r="Z79"/>
      <c r="BW79" s="455"/>
      <c r="BX79" s="455"/>
      <c r="CY79"/>
      <c r="CZ79"/>
    </row>
    <row r="80" spans="1:104">
      <c r="A80" s="45"/>
      <c r="B80" s="45"/>
      <c r="C80" s="45"/>
      <c r="D80" s="45"/>
      <c r="E80" s="842"/>
      <c r="F80" s="842"/>
      <c r="G80" s="842"/>
      <c r="H80" s="45"/>
      <c r="I80" s="45"/>
      <c r="J80" s="45"/>
      <c r="K80" s="45"/>
      <c r="L80" s="45"/>
      <c r="Y80"/>
      <c r="Z80"/>
      <c r="BW80" s="455"/>
      <c r="BX80" s="455"/>
      <c r="CY80"/>
      <c r="CZ80"/>
    </row>
    <row r="81" spans="1:111">
      <c r="A81" s="45"/>
      <c r="B81" s="45"/>
      <c r="C81" s="45"/>
      <c r="D81" s="45"/>
      <c r="E81" s="201"/>
      <c r="F81" s="842"/>
      <c r="G81" s="842"/>
      <c r="H81" s="45"/>
      <c r="I81" s="45"/>
      <c r="J81" s="45"/>
      <c r="K81" s="45"/>
      <c r="L81" s="45"/>
      <c r="Y81"/>
      <c r="Z81"/>
      <c r="BW81" s="455"/>
      <c r="BX81" s="455"/>
      <c r="CY81"/>
      <c r="CZ81"/>
    </row>
    <row r="82" spans="1:111">
      <c r="A82" s="45"/>
      <c r="B82" s="45"/>
      <c r="C82" s="45"/>
      <c r="D82" s="45"/>
      <c r="E82" s="201"/>
      <c r="F82" s="842"/>
      <c r="G82" s="842"/>
      <c r="H82" s="45"/>
      <c r="I82" s="45"/>
      <c r="J82" s="45"/>
      <c r="K82" s="45"/>
      <c r="L82" s="45"/>
      <c r="Y82"/>
      <c r="Z82"/>
      <c r="AF82" s="424"/>
      <c r="BW82" s="455"/>
      <c r="BX82" s="455"/>
      <c r="CY82"/>
      <c r="CZ82"/>
    </row>
    <row r="83" spans="1:111">
      <c r="A83" s="769"/>
      <c r="B83" s="769"/>
      <c r="C83" s="769"/>
      <c r="D83" s="769"/>
      <c r="E83" s="188"/>
      <c r="F83" s="777"/>
      <c r="G83" s="777"/>
      <c r="H83" s="769"/>
      <c r="I83" s="769"/>
      <c r="Y83"/>
      <c r="Z83"/>
      <c r="AD83" s="406"/>
      <c r="AE83" s="424"/>
      <c r="AF83" s="424"/>
      <c r="AG83" s="424"/>
      <c r="AH83" s="424"/>
      <c r="CY83"/>
      <c r="CZ83"/>
      <c r="DF83" s="455"/>
      <c r="DG83" s="455"/>
    </row>
    <row r="84" spans="1:111">
      <c r="A84" s="769"/>
      <c r="B84" s="769"/>
      <c r="C84" s="769"/>
      <c r="D84" s="769"/>
      <c r="E84" s="188"/>
      <c r="F84" s="777"/>
      <c r="G84" s="777"/>
      <c r="H84" s="769"/>
      <c r="I84" s="769"/>
      <c r="Y84"/>
      <c r="Z84"/>
      <c r="AD84" s="406"/>
      <c r="AE84" s="424"/>
      <c r="AG84" s="424"/>
      <c r="AH84" s="424"/>
      <c r="CY84"/>
      <c r="CZ84"/>
      <c r="DF84" s="455"/>
      <c r="DG84" s="455"/>
    </row>
    <row r="85" spans="1:111">
      <c r="A85" s="769"/>
      <c r="B85" s="769"/>
      <c r="C85" s="769"/>
      <c r="D85" s="769"/>
      <c r="E85" s="188"/>
      <c r="F85" s="188"/>
      <c r="G85" s="188"/>
      <c r="H85" s="769"/>
      <c r="I85" s="769"/>
    </row>
    <row r="86" spans="1:111">
      <c r="A86" s="769"/>
      <c r="B86" s="769"/>
      <c r="C86" s="769"/>
      <c r="D86" s="769"/>
      <c r="E86" s="188"/>
      <c r="F86" s="188"/>
      <c r="G86" s="188"/>
      <c r="H86" s="769"/>
      <c r="I86" s="769"/>
    </row>
    <row r="87" spans="1:111">
      <c r="A87" s="769"/>
      <c r="B87" s="769"/>
      <c r="C87" s="769"/>
      <c r="D87" s="769"/>
      <c r="E87" s="769"/>
      <c r="F87" s="769"/>
      <c r="G87" s="769"/>
      <c r="H87" s="769"/>
    </row>
    <row r="88" spans="1:111">
      <c r="A88" s="769"/>
      <c r="B88" s="769"/>
      <c r="C88" s="769"/>
      <c r="D88" s="769"/>
      <c r="E88" s="769"/>
      <c r="F88" s="769"/>
      <c r="G88" s="769"/>
      <c r="H88" s="769"/>
    </row>
    <row r="89" spans="1:111">
      <c r="A89" s="769"/>
      <c r="B89" s="769"/>
      <c r="C89" s="769"/>
      <c r="D89" s="769"/>
      <c r="E89" s="769"/>
      <c r="F89" s="769"/>
      <c r="G89" s="769"/>
      <c r="H89" s="769"/>
    </row>
    <row r="90" spans="1:111">
      <c r="A90" s="769"/>
      <c r="B90" s="769"/>
      <c r="C90" s="769"/>
      <c r="D90" s="769"/>
    </row>
  </sheetData>
  <sheetProtection sheet="1" objects="1" scenarios="1"/>
  <mergeCells count="117">
    <mergeCell ref="A56:C56"/>
    <mergeCell ref="M55:U55"/>
    <mergeCell ref="V55:X55"/>
    <mergeCell ref="A54:C54"/>
    <mergeCell ref="A55:C55"/>
    <mergeCell ref="I51:K51"/>
    <mergeCell ref="M50:U50"/>
    <mergeCell ref="V50:X50"/>
    <mergeCell ref="M51:U51"/>
    <mergeCell ref="V51:X51"/>
    <mergeCell ref="M52:U52"/>
    <mergeCell ref="V52:X52"/>
    <mergeCell ref="M53:U53"/>
    <mergeCell ref="V53:X53"/>
    <mergeCell ref="M54:U54"/>
    <mergeCell ref="V54:X54"/>
    <mergeCell ref="A50:H50"/>
    <mergeCell ref="I50:K50"/>
    <mergeCell ref="M49:U49"/>
    <mergeCell ref="V49:X49"/>
    <mergeCell ref="A44:G44"/>
    <mergeCell ref="I44:K44"/>
    <mergeCell ref="A45:G45"/>
    <mergeCell ref="I45:K45"/>
    <mergeCell ref="M45:U45"/>
    <mergeCell ref="V45:X45"/>
    <mergeCell ref="A49:H49"/>
    <mergeCell ref="I49:K49"/>
    <mergeCell ref="A46:G46"/>
    <mergeCell ref="I46:K46"/>
    <mergeCell ref="A47:G47"/>
    <mergeCell ref="I47:K47"/>
    <mergeCell ref="M46:U46"/>
    <mergeCell ref="A48:H48"/>
    <mergeCell ref="I48:K48"/>
    <mergeCell ref="V46:X46"/>
    <mergeCell ref="M47:X47"/>
    <mergeCell ref="M48:U48"/>
    <mergeCell ref="V48:X48"/>
    <mergeCell ref="A42:G42"/>
    <mergeCell ref="I42:K42"/>
    <mergeCell ref="A43:G43"/>
    <mergeCell ref="I43:K43"/>
    <mergeCell ref="M42:X42"/>
    <mergeCell ref="M43:U43"/>
    <mergeCell ref="V43:X43"/>
    <mergeCell ref="M44:U44"/>
    <mergeCell ref="V44:X44"/>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S5:X5"/>
    <mergeCell ref="A3:X3"/>
  </mergeCells>
  <conditionalFormatting sqref="E20">
    <cfRule type="expression" dxfId="705" priority="56">
      <formula>OR($D19="pæd.dag")</formula>
    </cfRule>
    <cfRule type="expression" dxfId="704" priority="57">
      <formula>OR($D19="nul-dag")</formula>
    </cfRule>
    <cfRule type="expression" dxfId="703" priority="58">
      <formula>OR($D19="SH-dag")</formula>
    </cfRule>
    <cfRule type="expression" dxfId="702" priority="59">
      <formula>OR($D19="ekskursion")</formula>
    </cfRule>
    <cfRule type="expression" dxfId="701" priority="60">
      <formula>OR($D19="lejrskole")</formula>
    </cfRule>
    <cfRule type="expression" dxfId="700" priority="61">
      <formula>OR($D19="emnedag")</formula>
    </cfRule>
    <cfRule type="expression" dxfId="699" priority="62">
      <formula>OR($D19="fagdag")</formula>
    </cfRule>
    <cfRule type="expression" dxfId="698" priority="63">
      <formula>OR($D19="feriedag")</formula>
    </cfRule>
    <cfRule type="expression" dxfId="697" priority="64">
      <formula>OR($D19="weekend")</formula>
    </cfRule>
    <cfRule type="expression" dxfId="696" priority="65" stopIfTrue="1">
      <formula>OR($D19="skoledag")</formula>
    </cfRule>
  </conditionalFormatting>
  <conditionalFormatting sqref="E20">
    <cfRule type="expression" dxfId="695" priority="66">
      <formula>OR($D19="Ikke relevant")</formula>
    </cfRule>
  </conditionalFormatting>
  <conditionalFormatting sqref="K9:M39">
    <cfRule type="expression" dxfId="694" priority="36">
      <formula>OR($C9="fagdag",)</formula>
    </cfRule>
    <cfRule type="expression" dxfId="693" priority="37">
      <formula>OR($C9="emnedag",)</formula>
    </cfRule>
  </conditionalFormatting>
  <conditionalFormatting sqref="K9:K39">
    <cfRule type="expression" dxfId="692" priority="38">
      <formula>OR($C9="Pæd.dag",)</formula>
    </cfRule>
  </conditionalFormatting>
  <conditionalFormatting sqref="K9:L39">
    <cfRule type="expression" dxfId="691" priority="39">
      <formula>OR($C9="Lejrskole",)</formula>
    </cfRule>
    <cfRule type="expression" dxfId="690" priority="40">
      <formula>OR($C9="Ekskursion",)</formula>
    </cfRule>
  </conditionalFormatting>
  <conditionalFormatting sqref="R9:R39">
    <cfRule type="expression" dxfId="689" priority="67">
      <formula>OR($H9&gt;"0",)</formula>
    </cfRule>
  </conditionalFormatting>
  <conditionalFormatting sqref="A9:H39">
    <cfRule type="expression" dxfId="688" priority="41">
      <formula>OR($C9="Skema 1")</formula>
    </cfRule>
    <cfRule type="expression" dxfId="687" priority="42">
      <formula>OR($C9="skema 2")</formula>
    </cfRule>
    <cfRule type="expression" dxfId="686" priority="43">
      <formula>OR($C9="Skema 3")</formula>
    </cfRule>
    <cfRule type="expression" dxfId="685" priority="44">
      <formula>OR($C9="Skema 4")</formula>
    </cfRule>
    <cfRule type="expression" dxfId="684" priority="45">
      <formula>OR($C9="Ikke relevant")</formula>
    </cfRule>
    <cfRule type="expression" dxfId="683" priority="46">
      <formula>OR($C9="pæd.dag")</formula>
    </cfRule>
    <cfRule type="expression" dxfId="682" priority="47">
      <formula>OR($C9="nul-dag")</formula>
    </cfRule>
    <cfRule type="expression" dxfId="681" priority="48">
      <formula>OR($C9="SH-dag")</formula>
    </cfRule>
    <cfRule type="expression" dxfId="680" priority="49">
      <formula>OR($C9="ekskursion")</formula>
    </cfRule>
    <cfRule type="expression" dxfId="679" priority="50">
      <formula>OR($C9="lejrskole")</formula>
    </cfRule>
    <cfRule type="expression" dxfId="678" priority="51">
      <formula>OR($C9="emnedag")</formula>
    </cfRule>
    <cfRule type="expression" dxfId="677" priority="52">
      <formula>OR($C9="fagdag")</formula>
    </cfRule>
    <cfRule type="expression" dxfId="676" priority="53">
      <formula>OR($C9="feriedag")</formula>
    </cfRule>
    <cfRule type="expression" dxfId="675" priority="54">
      <formula>OR($C9="weekend")</formula>
    </cfRule>
    <cfRule type="expression" dxfId="674" priority="55" stopIfTrue="1">
      <formula>OR($C9="Orlov")</formula>
    </cfRule>
  </conditionalFormatting>
  <conditionalFormatting sqref="V9:V39">
    <cfRule type="expression" dxfId="673" priority="3">
      <formula>OR($S9="X",)</formula>
    </cfRule>
  </conditionalFormatting>
  <conditionalFormatting sqref="W9:W39">
    <cfRule type="expression" dxfId="672" priority="2">
      <formula>OR($T9="X",)</formula>
    </cfRule>
  </conditionalFormatting>
  <conditionalFormatting sqref="X9:X39">
    <cfRule type="expression" dxfId="671" priority="1">
      <formula>OR($U9="X",)</formula>
    </cfRule>
  </conditionalFormatting>
  <dataValidations count="3">
    <dataValidation type="list" allowBlank="1" showInputMessage="1" showErrorMessage="1" sqref="S9:T39 U9:U37"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1:I12 I18:I19 I25:I26 I32:I34 I39"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August!$A$79:$A$93</xm:f>
          </x14:formula1>
          <xm:sqref>C9:C39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HC86"/>
  <sheetViews>
    <sheetView topLeftCell="A4"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1</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c r="Z2" s="113"/>
      <c r="AB2" s="113"/>
      <c r="AC2" s="113"/>
      <c r="AH2" s="113"/>
      <c r="AI2" s="113"/>
      <c r="CX2" s="455"/>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Januar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44" customHeight="1">
      <c r="A7" s="1078" t="s">
        <v>332</v>
      </c>
      <c r="B7" s="1079"/>
      <c r="C7" s="1079"/>
      <c r="D7" s="1080"/>
      <c r="E7" s="1095"/>
      <c r="F7" s="1096"/>
      <c r="G7" s="1097"/>
      <c r="H7" s="1087" t="s">
        <v>395</v>
      </c>
      <c r="I7" s="1077"/>
      <c r="J7" s="1459"/>
      <c r="K7" s="568" t="s">
        <v>356</v>
      </c>
      <c r="L7" s="568" t="s">
        <v>357</v>
      </c>
      <c r="M7" s="885" t="s">
        <v>624</v>
      </c>
      <c r="N7" s="1059"/>
      <c r="O7" s="1059"/>
      <c r="P7" s="1059"/>
      <c r="Q7" s="1059"/>
      <c r="R7" s="1193"/>
      <c r="S7" s="569"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31"/>
      <c r="BB8" s="420"/>
      <c r="CA8" s="180"/>
      <c r="CB8" s="430"/>
      <c r="CC8" s="531"/>
      <c r="CX8" s="455"/>
      <c r="DA8" s="455"/>
      <c r="DB8" s="455"/>
      <c r="DC8" s="455"/>
      <c r="DD8" s="455"/>
      <c r="DE8" s="455"/>
      <c r="DF8" s="455"/>
      <c r="DG8" s="455"/>
    </row>
    <row r="9" spans="1:211">
      <c r="A9" s="443">
        <f>IF(ISNUMBER(A7),A7+1,1)</f>
        <v>1</v>
      </c>
      <c r="B9" s="218" t="str">
        <f t="shared" ref="B9:B39" si="0">CHOOSE(MOD(WEEKDAY(DATE(A$6,A$2,A9)),7)+1,"lø","sø","ma","ti","on","to","fr",)</f>
        <v>sø</v>
      </c>
      <c r="C9" s="219" t="s">
        <v>138</v>
      </c>
      <c r="D9" s="220" t="str">
        <f t="shared" ref="D9:D39" si="1">IF(B9="ma",(DATE(A$6,A$2,A9)-DATE(A$6,1,1)+7)/7,"")</f>
        <v/>
      </c>
      <c r="E9" s="906" t="s">
        <v>164</v>
      </c>
      <c r="F9" s="907"/>
      <c r="G9" s="908"/>
      <c r="H9" s="526"/>
      <c r="I9" s="726"/>
      <c r="J9" s="726"/>
      <c r="K9" s="669"/>
      <c r="L9" s="669"/>
      <c r="M9" s="669"/>
      <c r="N9" s="557">
        <f>BA9</f>
        <v>0</v>
      </c>
      <c r="O9" s="557">
        <f>CA9</f>
        <v>0</v>
      </c>
      <c r="P9" s="557">
        <f>IF(Stamoplysninger!$H$29="JA",Januar!DG9,CX9)</f>
        <v>0</v>
      </c>
      <c r="Q9" s="557">
        <f>IF(OR(C9="Lejrskole",C9="Ekskursion"),0,N9-O9-P9)</f>
        <v>0</v>
      </c>
      <c r="R9" s="558"/>
      <c r="S9" s="564"/>
      <c r="T9" s="565"/>
      <c r="U9" s="565"/>
      <c r="V9" s="559"/>
      <c r="W9" s="763"/>
      <c r="X9" s="560"/>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0</v>
      </c>
      <c r="BB9" s="421">
        <f t="shared" ref="BB9:BB39" si="8">SUM(AG9:AK9)*24</f>
        <v>0</v>
      </c>
      <c r="BC9" s="1">
        <f>IF($C$9="Lejrskole",$L$9,0)</f>
        <v>0</v>
      </c>
      <c r="BD9" s="1">
        <f t="shared" ref="BD9:BD39" si="9">IF(C9="Ekskursion",L9,0)</f>
        <v>0</v>
      </c>
      <c r="BE9" s="1">
        <f t="shared" ref="BE9:BE39" si="10">IF(C9="fagdag",L9,0)</f>
        <v>0</v>
      </c>
      <c r="BF9" s="1">
        <f t="shared" ref="BF9:BF39" si="11">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0</v>
      </c>
      <c r="CB9" s="1">
        <f t="shared" ref="CB9:CB39" si="12">IF(C9="fagdag",M9,0)</f>
        <v>0</v>
      </c>
      <c r="CC9" s="1">
        <f t="shared" ref="CC9:CC39" si="13">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v>
      </c>
      <c r="CY9" s="457">
        <f>IF(C9="Skema 1",Stamoplysninger!$H$30/200,0)</f>
        <v>0</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0</v>
      </c>
    </row>
    <row r="10" spans="1:211">
      <c r="A10" s="443">
        <f t="shared" ref="A10:A38" si="14">IF(ISNUMBER(A9),A9+1,1)</f>
        <v>2</v>
      </c>
      <c r="B10" s="218" t="str">
        <f t="shared" si="0"/>
        <v>ma</v>
      </c>
      <c r="C10" s="219" t="s">
        <v>147</v>
      </c>
      <c r="D10" s="220">
        <f t="shared" si="1"/>
        <v>1.1428571428571428</v>
      </c>
      <c r="E10" s="906"/>
      <c r="F10" s="907"/>
      <c r="G10" s="908"/>
      <c r="H10" s="526"/>
      <c r="I10" s="855"/>
      <c r="J10" s="726"/>
      <c r="K10" s="669"/>
      <c r="L10" s="669"/>
      <c r="M10" s="669"/>
      <c r="N10" s="557">
        <f t="shared" ref="N10:N39" si="15">BA10</f>
        <v>0</v>
      </c>
      <c r="O10" s="557">
        <f t="shared" ref="O10:O39" si="16">CA10</f>
        <v>0</v>
      </c>
      <c r="P10" s="557">
        <f>IF(Stamoplysninger!$H$29="JA",Januar!DG10,CX10)</f>
        <v>0</v>
      </c>
      <c r="Q10" s="557">
        <f t="shared" ref="Q10:Q39" si="17">IF(OR(C10="Lejrskole",C10="Ekskursion"),0,N10-O10-P10)</f>
        <v>0</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0</v>
      </c>
      <c r="BB10" s="421">
        <f t="shared" si="8"/>
        <v>0</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0</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v>
      </c>
      <c r="CY10" s="457">
        <f>IF(C10="Skema 1",Stamoplysninger!$H$30/200,0)</f>
        <v>0</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0</v>
      </c>
    </row>
    <row r="11" spans="1:211">
      <c r="A11" s="443">
        <f t="shared" si="14"/>
        <v>3</v>
      </c>
      <c r="B11" s="218" t="str">
        <f t="shared" si="0"/>
        <v>ti</v>
      </c>
      <c r="C11" s="219" t="s">
        <v>147</v>
      </c>
      <c r="D11" s="220" t="str">
        <f t="shared" si="1"/>
        <v/>
      </c>
      <c r="E11" s="906"/>
      <c r="F11" s="907"/>
      <c r="G11" s="908"/>
      <c r="H11" s="526"/>
      <c r="I11" s="855"/>
      <c r="J11" s="726"/>
      <c r="K11" s="669"/>
      <c r="L11" s="669"/>
      <c r="M11" s="669"/>
      <c r="N11" s="557">
        <f t="shared" si="15"/>
        <v>0</v>
      </c>
      <c r="O11" s="557">
        <f t="shared" si="16"/>
        <v>0</v>
      </c>
      <c r="P11" s="557">
        <f>IF(Stamoplysninger!$H$29="JA",Januar!DG11,CX11)</f>
        <v>0</v>
      </c>
      <c r="Q11" s="557">
        <f t="shared" si="17"/>
        <v>0</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8"/>
        <v>0</v>
      </c>
      <c r="BC11" s="1">
        <f t="shared" si="20"/>
        <v>0</v>
      </c>
      <c r="BD11" s="1">
        <f t="shared" si="9"/>
        <v>0</v>
      </c>
      <c r="BE11" s="1">
        <f t="shared" si="10"/>
        <v>0</v>
      </c>
      <c r="BF11" s="1">
        <f t="shared" si="11"/>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2"/>
        <v>0</v>
      </c>
      <c r="CC11" s="1">
        <f t="shared" si="13"/>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4"/>
        <v>4</v>
      </c>
      <c r="B12" s="218" t="str">
        <f t="shared" si="0"/>
        <v>on</v>
      </c>
      <c r="C12" s="219" t="s">
        <v>242</v>
      </c>
      <c r="D12" s="220" t="str">
        <f t="shared" si="1"/>
        <v/>
      </c>
      <c r="E12" s="906"/>
      <c r="F12" s="907"/>
      <c r="G12" s="908"/>
      <c r="H12" s="526"/>
      <c r="I12" s="855"/>
      <c r="J12" s="726"/>
      <c r="K12" s="669"/>
      <c r="L12" s="669"/>
      <c r="M12" s="669"/>
      <c r="N12" s="557">
        <f t="shared" si="15"/>
        <v>8</v>
      </c>
      <c r="O12" s="557">
        <f t="shared" si="16"/>
        <v>3</v>
      </c>
      <c r="P12" s="557">
        <f>IF(Stamoplysninger!$H$29="JA",Januar!DG12,CX12)</f>
        <v>0.5</v>
      </c>
      <c r="Q12" s="557">
        <f t="shared" si="17"/>
        <v>4.5</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f>IF(AND(C12="Skema 2",B12="on"),Arbejdstidsoversigt!$E$55,"")</f>
        <v>8</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8</v>
      </c>
      <c r="BB12" s="421">
        <f t="shared" si="8"/>
        <v>0</v>
      </c>
      <c r="BC12" s="1">
        <f t="shared" si="20"/>
        <v>0</v>
      </c>
      <c r="BD12" s="1">
        <f t="shared" si="9"/>
        <v>0</v>
      </c>
      <c r="BE12" s="1">
        <f t="shared" si="10"/>
        <v>0</v>
      </c>
      <c r="BF12" s="1">
        <f t="shared" si="11"/>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f>IF(AND(C12="Skema 2",B12="on"),Skemaoplysninger!$Q$28,"")</f>
        <v>0.125</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3</v>
      </c>
      <c r="CB12" s="1">
        <f t="shared" si="12"/>
        <v>0</v>
      </c>
      <c r="CC12" s="1">
        <f t="shared" si="13"/>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f>IF(AND(C12="Skema 2",B12="on"),Skemaoplysninger!$Q$37,"")</f>
        <v>0.5</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0.5</v>
      </c>
      <c r="CY12" s="457">
        <f>IF(C12="Skema 1",Stamoplysninger!$H$30/200,0)</f>
        <v>0</v>
      </c>
      <c r="CZ12" s="457">
        <f>IF(C12="Skema 2",Stamoplysninger!$H$30/200,0)</f>
        <v>1</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1</v>
      </c>
    </row>
    <row r="13" spans="1:211">
      <c r="A13" s="443">
        <f t="shared" si="14"/>
        <v>5</v>
      </c>
      <c r="B13" s="218" t="str">
        <f t="shared" si="0"/>
        <v>to</v>
      </c>
      <c r="C13" s="219" t="s">
        <v>242</v>
      </c>
      <c r="D13" s="220" t="str">
        <f t="shared" si="1"/>
        <v/>
      </c>
      <c r="E13" s="906"/>
      <c r="F13" s="907"/>
      <c r="G13" s="908"/>
      <c r="H13" s="526"/>
      <c r="I13" s="855"/>
      <c r="J13" s="726"/>
      <c r="K13" s="669"/>
      <c r="L13" s="669"/>
      <c r="M13" s="669"/>
      <c r="N13" s="557">
        <f t="shared" si="15"/>
        <v>8</v>
      </c>
      <c r="O13" s="557">
        <f t="shared" si="16"/>
        <v>3</v>
      </c>
      <c r="P13" s="557">
        <f>IF(Stamoplysninger!$H$29="JA",Januar!DG13,CX13)</f>
        <v>0.5</v>
      </c>
      <c r="Q13" s="557">
        <f t="shared" si="17"/>
        <v>4.5</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f>IF(AND(C13="Skema 2",B13="to"),Arbejdstidsoversigt!$E$56,"")</f>
        <v>8</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8</v>
      </c>
      <c r="BB13" s="421">
        <f t="shared" si="8"/>
        <v>0</v>
      </c>
      <c r="BC13" s="1">
        <f t="shared" si="20"/>
        <v>0</v>
      </c>
      <c r="BD13" s="1">
        <f t="shared" si="9"/>
        <v>0</v>
      </c>
      <c r="BE13" s="1">
        <f t="shared" si="10"/>
        <v>0</v>
      </c>
      <c r="BF13" s="1">
        <f t="shared" si="11"/>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f>IF(AND(C13="Skema 2",B13="to"),Skemaoplysninger!$R$28,"")</f>
        <v>0.125</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3</v>
      </c>
      <c r="CB13" s="1">
        <f t="shared" si="12"/>
        <v>0</v>
      </c>
      <c r="CC13" s="1">
        <f t="shared" si="13"/>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f>IF(AND(C13="Skema 2",B13="to"),Skemaoplysninger!$R$37,"")</f>
        <v>0.5</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0.5</v>
      </c>
      <c r="CY13" s="457">
        <f>IF(C13="Skema 1",Stamoplysninger!$H$30/200,0)</f>
        <v>0</v>
      </c>
      <c r="CZ13" s="457">
        <f>IF(C13="Skema 2",Stamoplysninger!$H$30/200,0)</f>
        <v>1</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1</v>
      </c>
    </row>
    <row r="14" spans="1:211" ht="16" customHeight="1">
      <c r="A14" s="443">
        <f t="shared" si="14"/>
        <v>6</v>
      </c>
      <c r="B14" s="218" t="str">
        <f t="shared" si="0"/>
        <v>fr</v>
      </c>
      <c r="C14" s="219" t="s">
        <v>242</v>
      </c>
      <c r="D14" s="220" t="str">
        <f t="shared" si="1"/>
        <v/>
      </c>
      <c r="E14" s="906"/>
      <c r="F14" s="907"/>
      <c r="G14" s="908"/>
      <c r="H14" s="526"/>
      <c r="I14" s="855"/>
      <c r="J14" s="726"/>
      <c r="K14" s="669"/>
      <c r="L14" s="669"/>
      <c r="M14" s="669"/>
      <c r="N14" s="557">
        <f t="shared" si="15"/>
        <v>6.5</v>
      </c>
      <c r="O14" s="557">
        <f t="shared" si="16"/>
        <v>3</v>
      </c>
      <c r="P14" s="557">
        <f>IF(Stamoplysninger!$H$29="JA",Januar!DG14,CX14)</f>
        <v>0.5</v>
      </c>
      <c r="Q14" s="557">
        <f t="shared" si="17"/>
        <v>3</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f>IF(AND(C14="Skema 2",B14="fr"),Arbejdstidsoversigt!$E$57,"")</f>
        <v>6.5</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6.5</v>
      </c>
      <c r="BB14" s="421">
        <f t="shared" si="8"/>
        <v>0</v>
      </c>
      <c r="BC14" s="1">
        <f t="shared" si="20"/>
        <v>0</v>
      </c>
      <c r="BD14" s="1">
        <f t="shared" si="9"/>
        <v>0</v>
      </c>
      <c r="BE14" s="1">
        <f t="shared" si="10"/>
        <v>0</v>
      </c>
      <c r="BF14" s="1">
        <f t="shared" si="11"/>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f>IF(AND(C14="Skema 2",B14="fr"),Skemaoplysninger!$S$28,"")</f>
        <v>0.125</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3</v>
      </c>
      <c r="CB14" s="1">
        <f t="shared" si="12"/>
        <v>0</v>
      </c>
      <c r="CC14" s="1">
        <f t="shared" si="13"/>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f>IF(AND(C14="Skema 2",B14="fr"),Skemaoplysninger!$S$37,"")</f>
        <v>0.5</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0.5</v>
      </c>
      <c r="CY14" s="457">
        <f>IF(C14="Skema 1",Stamoplysninger!$H$30/200,0)</f>
        <v>0</v>
      </c>
      <c r="CZ14" s="457">
        <f>IF(C14="Skema 2",Stamoplysninger!$H$30/200,0)</f>
        <v>1</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4"/>
        <v>7</v>
      </c>
      <c r="B15" s="218" t="str">
        <f t="shared" si="0"/>
        <v>lø</v>
      </c>
      <c r="C15" s="219" t="s">
        <v>138</v>
      </c>
      <c r="D15" s="220" t="str">
        <f t="shared" si="1"/>
        <v/>
      </c>
      <c r="E15" s="906"/>
      <c r="F15" s="907"/>
      <c r="G15" s="908"/>
      <c r="H15" s="526"/>
      <c r="I15" s="726"/>
      <c r="J15" s="726"/>
      <c r="K15" s="669"/>
      <c r="L15" s="669"/>
      <c r="M15" s="669"/>
      <c r="N15" s="557">
        <f t="shared" si="15"/>
        <v>0</v>
      </c>
      <c r="O15" s="557">
        <f t="shared" si="16"/>
        <v>0</v>
      </c>
      <c r="P15" s="557">
        <f>IF(Stamoplysninger!$H$29="JA",Januar!DG15,CX15)</f>
        <v>0</v>
      </c>
      <c r="Q15" s="557">
        <f t="shared" si="17"/>
        <v>0</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0</v>
      </c>
      <c r="BB15" s="421">
        <f t="shared" si="8"/>
        <v>0</v>
      </c>
      <c r="BC15" s="1">
        <f t="shared" si="20"/>
        <v>0</v>
      </c>
      <c r="BD15" s="1">
        <f t="shared" si="9"/>
        <v>0</v>
      </c>
      <c r="BE15" s="1">
        <f t="shared" si="10"/>
        <v>0</v>
      </c>
      <c r="BF15" s="1">
        <f t="shared" si="11"/>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0</v>
      </c>
      <c r="CB15" s="1">
        <f t="shared" si="12"/>
        <v>0</v>
      </c>
      <c r="CC15" s="1">
        <f t="shared" si="13"/>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0</v>
      </c>
    </row>
    <row r="16" spans="1:211">
      <c r="A16" s="443">
        <f t="shared" si="14"/>
        <v>8</v>
      </c>
      <c r="B16" s="218" t="str">
        <f t="shared" si="0"/>
        <v>sø</v>
      </c>
      <c r="C16" s="219" t="s">
        <v>138</v>
      </c>
      <c r="D16" s="220" t="str">
        <f t="shared" si="1"/>
        <v/>
      </c>
      <c r="E16" s="906"/>
      <c r="F16" s="907"/>
      <c r="G16" s="908"/>
      <c r="H16" s="526"/>
      <c r="I16" s="726"/>
      <c r="J16" s="726"/>
      <c r="K16" s="669"/>
      <c r="L16" s="669"/>
      <c r="M16" s="669"/>
      <c r="N16" s="557">
        <f t="shared" si="15"/>
        <v>0</v>
      </c>
      <c r="O16" s="557">
        <f t="shared" si="16"/>
        <v>0</v>
      </c>
      <c r="P16" s="557">
        <f>IF(Stamoplysninger!$H$29="JA",Januar!DG16,CX16)</f>
        <v>0</v>
      </c>
      <c r="Q16" s="557">
        <f t="shared" si="17"/>
        <v>0</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0</v>
      </c>
      <c r="BB16" s="421">
        <f t="shared" si="8"/>
        <v>0</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0</v>
      </c>
      <c r="CB16" s="1">
        <f t="shared" si="12"/>
        <v>0</v>
      </c>
      <c r="CC16" s="1">
        <f t="shared" si="13"/>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0</v>
      </c>
    </row>
    <row r="17" spans="1:111">
      <c r="A17" s="443">
        <f t="shared" si="14"/>
        <v>9</v>
      </c>
      <c r="B17" s="218" t="str">
        <f t="shared" si="0"/>
        <v>ma</v>
      </c>
      <c r="C17" s="219" t="s">
        <v>242</v>
      </c>
      <c r="D17" s="220">
        <f t="shared" si="1"/>
        <v>2.1428571428571428</v>
      </c>
      <c r="E17" s="906"/>
      <c r="F17" s="907"/>
      <c r="G17" s="908"/>
      <c r="H17" s="526"/>
      <c r="I17" s="855"/>
      <c r="J17" s="726"/>
      <c r="K17" s="669"/>
      <c r="L17" s="669"/>
      <c r="M17" s="669"/>
      <c r="N17" s="557">
        <f t="shared" si="15"/>
        <v>8</v>
      </c>
      <c r="O17" s="557">
        <f t="shared" si="16"/>
        <v>4.5</v>
      </c>
      <c r="P17" s="557">
        <f>IF(Stamoplysninger!$H$29="JA",Januar!DG17,CX17)</f>
        <v>1.0833333333333335</v>
      </c>
      <c r="Q17" s="557">
        <f t="shared" si="17"/>
        <v>2.4166666666666665</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f>IF(AND(C17="Skema 2",B17="ma"),Arbejdstidsoversigt!$E$53,"")</f>
        <v>8</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8</v>
      </c>
      <c r="BB17" s="421">
        <f t="shared" si="8"/>
        <v>0</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f>IF(AND(C17="Skema 2",B17="ma"),Skemaoplysninger!$O$28,"")</f>
        <v>0.1875</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4.5</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f>IF(AND(C17="Skema 2",B17="ma"),Skemaoplysninger!$O$37,"")</f>
        <v>1.0833333333333335</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1.0833333333333335</v>
      </c>
      <c r="CY17" s="457">
        <f>IF(C17="Skema 1",Stamoplysninger!$H$30/200,0)</f>
        <v>0</v>
      </c>
      <c r="CZ17" s="457">
        <f>IF(C17="Skema 2",Stamoplysninger!$H$30/200,0)</f>
        <v>1</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4"/>
        <v>10</v>
      </c>
      <c r="B18" s="218" t="str">
        <f t="shared" si="0"/>
        <v>ti</v>
      </c>
      <c r="C18" s="219" t="s">
        <v>242</v>
      </c>
      <c r="D18" s="220" t="str">
        <f t="shared" si="1"/>
        <v/>
      </c>
      <c r="E18" s="906"/>
      <c r="F18" s="907"/>
      <c r="G18" s="908"/>
      <c r="H18" s="526"/>
      <c r="I18" s="855"/>
      <c r="J18" s="726"/>
      <c r="K18" s="669"/>
      <c r="L18" s="669"/>
      <c r="M18" s="669"/>
      <c r="N18" s="557">
        <f t="shared" si="15"/>
        <v>8</v>
      </c>
      <c r="O18" s="557">
        <f t="shared" si="16"/>
        <v>4.5</v>
      </c>
      <c r="P18" s="557">
        <f>IF(Stamoplysninger!$H$29="JA",Januar!DG18,CX18)</f>
        <v>1.0833333333333335</v>
      </c>
      <c r="Q18" s="557">
        <f t="shared" si="17"/>
        <v>2.4166666666666665</v>
      </c>
      <c r="R18" s="558"/>
      <c r="S18" s="564"/>
      <c r="T18" s="565"/>
      <c r="U18" s="565"/>
      <c r="V18" s="559"/>
      <c r="W18" s="763"/>
      <c r="X18" s="560"/>
      <c r="Y18">
        <f t="shared" si="18"/>
        <v>0</v>
      </c>
      <c r="Z18">
        <f t="shared" si="2"/>
        <v>0</v>
      </c>
      <c r="AA18" s="1">
        <f t="shared" si="3"/>
        <v>0</v>
      </c>
      <c r="AB18" s="1">
        <f t="shared" si="4"/>
        <v>0</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f>IF(AND(C18="Skema 2",B18="ti"),Arbejdstidsoversigt!$E$54,"")</f>
        <v>8</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8</v>
      </c>
      <c r="BB18" s="421">
        <f t="shared" si="8"/>
        <v>0</v>
      </c>
      <c r="BC18" s="1">
        <f t="shared" si="20"/>
        <v>0</v>
      </c>
      <c r="BD18" s="1">
        <f t="shared" si="9"/>
        <v>0</v>
      </c>
      <c r="BE18" s="1">
        <f t="shared" si="10"/>
        <v>0</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f>IF(AND(C18="Skema 2",B18="ti"),Skemaoplysninger!$P$28,"")</f>
        <v>0.1875</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4.5</v>
      </c>
      <c r="CB18" s="1">
        <f t="shared" si="12"/>
        <v>0</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f>IF(AND(C18="Skema 2",B18="ti"),Skemaoplysninger!$P$37,"")</f>
        <v>1.0833333333333335</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1.0833333333333335</v>
      </c>
      <c r="CY18" s="457">
        <f>IF(C18="Skema 1",Stamoplysninger!$H$30/200,0)</f>
        <v>0</v>
      </c>
      <c r="CZ18" s="457">
        <f>IF(C18="Skema 2",Stamoplysninger!$H$30/200,0)</f>
        <v>1</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row>
    <row r="19" spans="1:111">
      <c r="A19" s="443">
        <f t="shared" si="14"/>
        <v>11</v>
      </c>
      <c r="B19" s="218" t="str">
        <f t="shared" si="0"/>
        <v>on</v>
      </c>
      <c r="C19" s="219" t="s">
        <v>242</v>
      </c>
      <c r="D19" s="220" t="str">
        <f t="shared" si="1"/>
        <v/>
      </c>
      <c r="E19" s="906"/>
      <c r="F19" s="907"/>
      <c r="G19" s="908"/>
      <c r="H19" s="526"/>
      <c r="I19" s="855"/>
      <c r="J19" s="726"/>
      <c r="K19" s="669"/>
      <c r="L19" s="669"/>
      <c r="M19" s="669"/>
      <c r="N19" s="557">
        <f t="shared" si="15"/>
        <v>8</v>
      </c>
      <c r="O19" s="557">
        <f t="shared" si="16"/>
        <v>3</v>
      </c>
      <c r="P19" s="557">
        <f>IF(Stamoplysninger!$H$29="JA",Januar!DG19,CX19)</f>
        <v>0.5</v>
      </c>
      <c r="Q19" s="557">
        <f t="shared" si="17"/>
        <v>4.5</v>
      </c>
      <c r="R19" s="558"/>
      <c r="S19" s="564"/>
      <c r="T19" s="565"/>
      <c r="U19" s="565"/>
      <c r="V19" s="559"/>
      <c r="W19" s="763"/>
      <c r="X19" s="560"/>
      <c r="Y19">
        <f t="shared" si="18"/>
        <v>0</v>
      </c>
      <c r="Z19">
        <f t="shared" si="2"/>
        <v>0</v>
      </c>
      <c r="AA19" s="1">
        <f t="shared" si="3"/>
        <v>0</v>
      </c>
      <c r="AB19" s="1">
        <f t="shared" si="4"/>
        <v>0</v>
      </c>
      <c r="AC19" s="1">
        <f t="shared" si="5"/>
        <v>0</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f>IF(AND(C19="Skema 2",B19="on"),Arbejdstidsoversigt!$E$55,"")</f>
        <v>8</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8</v>
      </c>
      <c r="BB19" s="421">
        <f t="shared" si="8"/>
        <v>0</v>
      </c>
      <c r="BC19" s="1">
        <f t="shared" si="20"/>
        <v>0</v>
      </c>
      <c r="BD19" s="1">
        <f t="shared" si="9"/>
        <v>0</v>
      </c>
      <c r="BE19" s="1">
        <f t="shared" si="10"/>
        <v>0</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f>IF(AND(C19="Skema 2",B19="on"),Skemaoplysninger!$Q$28,"")</f>
        <v>0.125</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3</v>
      </c>
      <c r="CB19" s="1">
        <f t="shared" si="12"/>
        <v>0</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f>IF(AND(C19="Skema 2",B19="on"),Skemaoplysninger!$Q$37,"")</f>
        <v>0.5</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0.5</v>
      </c>
      <c r="CY19" s="457">
        <f>IF(C19="Skema 1",Stamoplysninger!$H$30/200,0)</f>
        <v>0</v>
      </c>
      <c r="CZ19" s="457">
        <f>IF(C19="Skema 2",Stamoplysninger!$H$30/200,0)</f>
        <v>1</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1</v>
      </c>
    </row>
    <row r="20" spans="1:111">
      <c r="A20" s="443">
        <f>IF(ISNUMBER(A19),A19+1,1)</f>
        <v>12</v>
      </c>
      <c r="B20" s="218" t="str">
        <f t="shared" si="0"/>
        <v>to</v>
      </c>
      <c r="C20" s="219" t="s">
        <v>242</v>
      </c>
      <c r="D20" s="220" t="str">
        <f t="shared" si="1"/>
        <v/>
      </c>
      <c r="E20" s="906"/>
      <c r="F20" s="907"/>
      <c r="G20" s="908"/>
      <c r="H20" s="526"/>
      <c r="I20" s="855"/>
      <c r="J20" s="726"/>
      <c r="K20" s="669"/>
      <c r="L20" s="669"/>
      <c r="M20" s="669"/>
      <c r="N20" s="557">
        <f t="shared" si="15"/>
        <v>8</v>
      </c>
      <c r="O20" s="557">
        <f t="shared" si="16"/>
        <v>3</v>
      </c>
      <c r="P20" s="557">
        <f>IF(Stamoplysninger!$H$29="JA",Januar!DG20,CX20)</f>
        <v>0.5</v>
      </c>
      <c r="Q20" s="557">
        <f t="shared" si="17"/>
        <v>4.5</v>
      </c>
      <c r="R20" s="558"/>
      <c r="S20" s="564"/>
      <c r="T20" s="565"/>
      <c r="U20" s="565"/>
      <c r="V20" s="559"/>
      <c r="W20" s="763"/>
      <c r="X20" s="560"/>
      <c r="Y20">
        <f t="shared" si="18"/>
        <v>0</v>
      </c>
      <c r="Z20">
        <f t="shared" si="2"/>
        <v>0</v>
      </c>
      <c r="AA20" s="1">
        <f t="shared" si="3"/>
        <v>0</v>
      </c>
      <c r="AB20" s="1">
        <f t="shared" si="4"/>
        <v>0</v>
      </c>
      <c r="AC20" s="1">
        <f t="shared" si="5"/>
        <v>0</v>
      </c>
      <c r="AD20" s="1">
        <f t="shared" si="6"/>
        <v>0</v>
      </c>
      <c r="AE20" s="1">
        <f t="shared" si="7"/>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f>IF(AND(C20="Skema 2",B20="to"),Arbejdstidsoversigt!$E$56,"")</f>
        <v>8</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8"/>
        <v>0</v>
      </c>
      <c r="BC20" s="1">
        <f t="shared" si="20"/>
        <v>0</v>
      </c>
      <c r="BD20" s="1">
        <f t="shared" si="9"/>
        <v>0</v>
      </c>
      <c r="BE20" s="1">
        <f t="shared" si="10"/>
        <v>0</v>
      </c>
      <c r="BF20" s="1">
        <f t="shared" si="11"/>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f>IF(AND(C20="Skema 2",B20="to"),Skemaoplysninger!$R$28,"")</f>
        <v>0.125</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v>
      </c>
      <c r="CB20" s="1">
        <f t="shared" si="12"/>
        <v>0</v>
      </c>
      <c r="CC20" s="1">
        <f t="shared" si="13"/>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f>IF(AND(C20="Skema 2",B20="to"),Skemaoplysninger!$R$37,"")</f>
        <v>0.5</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0.5</v>
      </c>
      <c r="CY20" s="457">
        <f>IF(C20="Skema 1",Stamoplysninger!$H$30/200,0)</f>
        <v>0</v>
      </c>
      <c r="CZ20" s="457">
        <f>IF(C20="Skema 2",Stamoplysninger!$H$30/200,0)</f>
        <v>1</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fr</v>
      </c>
      <c r="C21" s="219" t="s">
        <v>242</v>
      </c>
      <c r="D21" s="220" t="str">
        <f t="shared" si="1"/>
        <v/>
      </c>
      <c r="E21" s="909"/>
      <c r="F21" s="910"/>
      <c r="G21" s="911"/>
      <c r="H21" s="525"/>
      <c r="I21" s="855"/>
      <c r="J21" s="726"/>
      <c r="K21" s="669"/>
      <c r="L21" s="669"/>
      <c r="M21" s="669"/>
      <c r="N21" s="557">
        <f t="shared" si="15"/>
        <v>6.5</v>
      </c>
      <c r="O21" s="557">
        <f t="shared" si="16"/>
        <v>3</v>
      </c>
      <c r="P21" s="557">
        <f>IF(Stamoplysninger!$H$29="JA",Januar!DG21,CX21)</f>
        <v>0.5</v>
      </c>
      <c r="Q21" s="557">
        <f t="shared" si="17"/>
        <v>3</v>
      </c>
      <c r="R21" s="558"/>
      <c r="S21" s="564"/>
      <c r="T21" s="565"/>
      <c r="U21" s="565"/>
      <c r="V21" s="559"/>
      <c r="W21" s="763"/>
      <c r="X21" s="560"/>
      <c r="Y21">
        <f t="shared" si="18"/>
        <v>0</v>
      </c>
      <c r="Z21">
        <f t="shared" si="2"/>
        <v>0</v>
      </c>
      <c r="AA21" s="1">
        <f t="shared" si="3"/>
        <v>0</v>
      </c>
      <c r="AB21" s="1">
        <f t="shared" si="4"/>
        <v>0</v>
      </c>
      <c r="AC21" s="1">
        <f t="shared" si="5"/>
        <v>0</v>
      </c>
      <c r="AD21" s="1">
        <f t="shared" si="6"/>
        <v>0</v>
      </c>
      <c r="AE21" s="1">
        <f t="shared" si="7"/>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f>IF(AND(C21="Skema 2",B21="fr"),Arbejdstidsoversigt!$E$57,"")</f>
        <v>6.5</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6.5</v>
      </c>
      <c r="BB21" s="421">
        <f t="shared" si="8"/>
        <v>0</v>
      </c>
      <c r="BC21" s="1">
        <f t="shared" si="20"/>
        <v>0</v>
      </c>
      <c r="BD21" s="1">
        <f t="shared" si="9"/>
        <v>0</v>
      </c>
      <c r="BE21" s="1">
        <f t="shared" si="10"/>
        <v>0</v>
      </c>
      <c r="BF21" s="1">
        <f t="shared" si="11"/>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f>IF(AND(C21="Skema 2",B21="fr"),Skemaoplysninger!$S$28,"")</f>
        <v>0.125</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3</v>
      </c>
      <c r="CB21" s="1">
        <f t="shared" si="12"/>
        <v>0</v>
      </c>
      <c r="CC21" s="1">
        <f t="shared" si="13"/>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f>IF(AND(C21="Skema 2",B21="fr"),Skemaoplysninger!$S$37,"")</f>
        <v>0.5</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0.5</v>
      </c>
      <c r="CY21" s="457">
        <f>IF(C21="Skema 1",Stamoplysninger!$H$30/200,0)</f>
        <v>0</v>
      </c>
      <c r="CZ21" s="457">
        <f>IF(C21="Skema 2",Stamoplysninger!$H$30/200,0)</f>
        <v>1</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4"/>
        <v>14</v>
      </c>
      <c r="B22" s="218" t="str">
        <f t="shared" si="0"/>
        <v>lø</v>
      </c>
      <c r="C22" s="219" t="s">
        <v>138</v>
      </c>
      <c r="D22" s="220" t="str">
        <f t="shared" si="1"/>
        <v/>
      </c>
      <c r="E22" s="909"/>
      <c r="F22" s="910"/>
      <c r="G22" s="911"/>
      <c r="H22" s="525"/>
      <c r="I22" s="726"/>
      <c r="J22" s="726"/>
      <c r="K22" s="669"/>
      <c r="L22" s="669"/>
      <c r="M22" s="669"/>
      <c r="N22" s="557">
        <f t="shared" si="15"/>
        <v>0</v>
      </c>
      <c r="O22" s="557">
        <f t="shared" si="16"/>
        <v>0</v>
      </c>
      <c r="P22" s="557">
        <f>IF(Stamoplysninger!$H$29="JA",Januar!DG22,CX22)</f>
        <v>0</v>
      </c>
      <c r="Q22" s="557">
        <f t="shared" si="17"/>
        <v>0</v>
      </c>
      <c r="R22" s="558"/>
      <c r="S22" s="564"/>
      <c r="T22" s="565"/>
      <c r="U22" s="565"/>
      <c r="V22" s="559"/>
      <c r="W22" s="763"/>
      <c r="X22" s="560"/>
      <c r="Y22">
        <f t="shared" si="18"/>
        <v>0</v>
      </c>
      <c r="Z22">
        <f t="shared" si="2"/>
        <v>0</v>
      </c>
      <c r="AA22" s="1">
        <f t="shared" si="3"/>
        <v>0</v>
      </c>
      <c r="AB22" s="1">
        <f t="shared" si="4"/>
        <v>0</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0</v>
      </c>
      <c r="BB22" s="421">
        <f t="shared" si="8"/>
        <v>0</v>
      </c>
      <c r="BC22" s="1">
        <f t="shared" si="20"/>
        <v>0</v>
      </c>
      <c r="BD22" s="1">
        <f t="shared" si="9"/>
        <v>0</v>
      </c>
      <c r="BE22" s="1">
        <f t="shared" si="10"/>
        <v>0</v>
      </c>
      <c r="BF22" s="1">
        <f t="shared" si="11"/>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0</v>
      </c>
      <c r="CB22" s="1">
        <f t="shared" si="12"/>
        <v>0</v>
      </c>
      <c r="CC22" s="1">
        <f t="shared" si="13"/>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v>
      </c>
      <c r="CY22" s="457">
        <f>IF(C22="Skema 1",Stamoplysninger!$H$30/200,0)</f>
        <v>0</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0</v>
      </c>
    </row>
    <row r="23" spans="1:111">
      <c r="A23" s="443">
        <f t="shared" si="14"/>
        <v>15</v>
      </c>
      <c r="B23" s="218" t="str">
        <f t="shared" si="0"/>
        <v>sø</v>
      </c>
      <c r="C23" s="219" t="s">
        <v>138</v>
      </c>
      <c r="D23" s="220" t="str">
        <f t="shared" si="1"/>
        <v/>
      </c>
      <c r="E23" s="909"/>
      <c r="F23" s="910"/>
      <c r="G23" s="911"/>
      <c r="H23" s="525"/>
      <c r="I23" s="726"/>
      <c r="J23" s="726"/>
      <c r="K23" s="669"/>
      <c r="L23" s="669"/>
      <c r="M23" s="669"/>
      <c r="N23" s="557">
        <f t="shared" si="15"/>
        <v>0</v>
      </c>
      <c r="O23" s="557">
        <f t="shared" si="16"/>
        <v>0</v>
      </c>
      <c r="P23" s="557">
        <f>IF(Stamoplysninger!$H$29="JA",Januar!DG23,CX23)</f>
        <v>0</v>
      </c>
      <c r="Q23" s="557">
        <f t="shared" si="17"/>
        <v>0</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0</v>
      </c>
      <c r="BB23" s="421">
        <f t="shared" si="8"/>
        <v>0</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2"/>
        <v>0</v>
      </c>
      <c r="CC23" s="1">
        <f t="shared" si="13"/>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row>
    <row r="24" spans="1:111">
      <c r="A24" s="443">
        <f>IF(ISNUMBER(A23),A23+1,1)</f>
        <v>16</v>
      </c>
      <c r="B24" s="218" t="str">
        <f t="shared" si="0"/>
        <v>ma</v>
      </c>
      <c r="C24" s="219" t="s">
        <v>242</v>
      </c>
      <c r="D24" s="220">
        <f t="shared" si="1"/>
        <v>3.1428571428571428</v>
      </c>
      <c r="E24" s="906"/>
      <c r="F24" s="907"/>
      <c r="G24" s="908"/>
      <c r="H24" s="526"/>
      <c r="I24" s="855"/>
      <c r="J24" s="726"/>
      <c r="K24" s="669"/>
      <c r="L24" s="669"/>
      <c r="M24" s="669"/>
      <c r="N24" s="557">
        <f t="shared" si="15"/>
        <v>8</v>
      </c>
      <c r="O24" s="557">
        <f t="shared" si="16"/>
        <v>4.5</v>
      </c>
      <c r="P24" s="557">
        <f>IF(Stamoplysninger!$H$29="JA",Januar!DG24,CX24)</f>
        <v>1.0833333333333335</v>
      </c>
      <c r="Q24" s="557">
        <f t="shared" si="17"/>
        <v>2.4166666666666665</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f>IF(AND(C24="Skema 2",B24="ma"),Arbejdstidsoversigt!$E$53,"")</f>
        <v>8</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8</v>
      </c>
      <c r="BB24" s="421">
        <f t="shared" si="8"/>
        <v>0</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f>IF(AND(C24="Skema 2",B24="ma"),Skemaoplysninger!$O$28,"")</f>
        <v>0.1875</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4.5</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f>IF(AND(C24="Skema 2",B24="ma"),Skemaoplysninger!$O$37,"")</f>
        <v>1.0833333333333335</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1.0833333333333335</v>
      </c>
      <c r="CY24" s="457">
        <f>IF(C24="Skema 1",Stamoplysninger!$H$30/200,0)</f>
        <v>0</v>
      </c>
      <c r="CZ24" s="457">
        <f>IF(C24="Skema 2",Stamoplysninger!$H$30/200,0)</f>
        <v>1</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4"/>
        <v>17</v>
      </c>
      <c r="B25" s="218" t="str">
        <f t="shared" si="0"/>
        <v>ti</v>
      </c>
      <c r="C25" s="219" t="s">
        <v>242</v>
      </c>
      <c r="D25" s="220" t="str">
        <f t="shared" si="1"/>
        <v/>
      </c>
      <c r="E25" s="906"/>
      <c r="F25" s="907"/>
      <c r="G25" s="908"/>
      <c r="H25" s="526"/>
      <c r="I25" s="855"/>
      <c r="J25" s="726"/>
      <c r="K25" s="669"/>
      <c r="L25" s="669"/>
      <c r="M25" s="669"/>
      <c r="N25" s="557">
        <f t="shared" si="15"/>
        <v>8</v>
      </c>
      <c r="O25" s="557">
        <f t="shared" si="16"/>
        <v>4.5</v>
      </c>
      <c r="P25" s="557">
        <f>IF(Stamoplysninger!$H$29="JA",Januar!DG25,CX25)</f>
        <v>1.0833333333333335</v>
      </c>
      <c r="Q25" s="557">
        <f t="shared" si="17"/>
        <v>2.4166666666666665</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f>IF(AND(C25="Skema 2",B25="ti"),Arbejdstidsoversigt!$E$54,"")</f>
        <v>8</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8</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f>IF(AND(C25="Skema 2",B25="ti"),Skemaoplysninger!$P$28,"")</f>
        <v>0.1875</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4.5</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f>IF(AND(C25="Skema 2",B25="ti"),Skemaoplysninger!$P$37,"")</f>
        <v>1.0833333333333335</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1.0833333333333335</v>
      </c>
      <c r="CY25" s="457">
        <f>IF(C25="Skema 1",Stamoplysninger!$H$30/200,0)</f>
        <v>0</v>
      </c>
      <c r="CZ25" s="457">
        <f>IF(C25="Skema 2",Stamoplysninger!$H$30/200,0)</f>
        <v>1</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row>
    <row r="26" spans="1:111">
      <c r="A26" s="443">
        <f t="shared" si="14"/>
        <v>18</v>
      </c>
      <c r="B26" s="218" t="str">
        <f t="shared" si="0"/>
        <v>on</v>
      </c>
      <c r="C26" s="219" t="s">
        <v>242</v>
      </c>
      <c r="D26" s="220" t="str">
        <f t="shared" si="1"/>
        <v/>
      </c>
      <c r="E26" s="906"/>
      <c r="F26" s="907"/>
      <c r="G26" s="908"/>
      <c r="H26" s="526"/>
      <c r="I26" s="855"/>
      <c r="J26" s="726"/>
      <c r="K26" s="669"/>
      <c r="L26" s="669"/>
      <c r="M26" s="669"/>
      <c r="N26" s="557">
        <f t="shared" si="15"/>
        <v>8</v>
      </c>
      <c r="O26" s="557">
        <f t="shared" si="16"/>
        <v>3</v>
      </c>
      <c r="P26" s="557">
        <f>IF(Stamoplysninger!$H$29="JA",Januar!DG26,CX26)</f>
        <v>0.5</v>
      </c>
      <c r="Q26" s="557">
        <f t="shared" si="17"/>
        <v>4.5</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f>IF(AND(C26="Skema 2",B26="on"),Arbejdstidsoversigt!$E$55,"")</f>
        <v>8</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8</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f>IF(AND(C26="Skema 2",B26="on"),Skemaoplysninger!$Q$28,"")</f>
        <v>0.125</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3</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f>IF(AND(C26="Skema 2",B26="on"),Skemaoplysninger!$Q$37,"")</f>
        <v>0.5</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0.5</v>
      </c>
      <c r="CY26" s="457">
        <f>IF(C26="Skema 1",Stamoplysninger!$H$30/200,0)</f>
        <v>0</v>
      </c>
      <c r="CZ26" s="457">
        <f>IF(C26="Skema 2",Stamoplysninger!$H$30/200,0)</f>
        <v>1</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1</v>
      </c>
    </row>
    <row r="27" spans="1:111">
      <c r="A27" s="443">
        <f t="shared" si="14"/>
        <v>19</v>
      </c>
      <c r="B27" s="218" t="str">
        <f t="shared" si="0"/>
        <v>to</v>
      </c>
      <c r="C27" s="219" t="s">
        <v>242</v>
      </c>
      <c r="D27" s="220" t="str">
        <f t="shared" si="1"/>
        <v/>
      </c>
      <c r="E27" s="906"/>
      <c r="F27" s="907"/>
      <c r="G27" s="908"/>
      <c r="H27" s="526"/>
      <c r="I27" s="855"/>
      <c r="J27" s="726"/>
      <c r="K27" s="669"/>
      <c r="L27" s="669"/>
      <c r="M27" s="669"/>
      <c r="N27" s="557">
        <f t="shared" si="15"/>
        <v>8</v>
      </c>
      <c r="O27" s="557">
        <f t="shared" si="16"/>
        <v>3</v>
      </c>
      <c r="P27" s="557">
        <f>IF(Stamoplysninger!$H$29="JA",Januar!DG27,CX27)</f>
        <v>0.5</v>
      </c>
      <c r="Q27" s="557">
        <f t="shared" si="17"/>
        <v>4.5</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f>IF(AND(C27="Skema 2",B27="to"),Arbejdstidsoversigt!$E$56,"")</f>
        <v>8</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8</v>
      </c>
      <c r="BB27" s="421">
        <f t="shared" si="8"/>
        <v>0</v>
      </c>
      <c r="BC27" s="1">
        <f t="shared" si="20"/>
        <v>0</v>
      </c>
      <c r="BD27" s="1">
        <f t="shared" si="9"/>
        <v>0</v>
      </c>
      <c r="BE27" s="1">
        <f t="shared" si="10"/>
        <v>0</v>
      </c>
      <c r="BF27" s="1">
        <f t="shared" si="11"/>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f>IF(AND(C27="Skema 2",B27="to"),Skemaoplysninger!$R$28,"")</f>
        <v>0.125</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3</v>
      </c>
      <c r="CB27" s="1">
        <f t="shared" si="12"/>
        <v>0</v>
      </c>
      <c r="CC27" s="1">
        <f t="shared" si="13"/>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f>IF(AND(C27="Skema 2",B27="to"),Skemaoplysninger!$R$37,"")</f>
        <v>0.5</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0.5</v>
      </c>
      <c r="CY27" s="457">
        <f>IF(C27="Skema 1",Stamoplysninger!$H$30/200,0)</f>
        <v>0</v>
      </c>
      <c r="CZ27" s="457">
        <f>IF(C27="Skema 2",Stamoplysninger!$H$30/200,0)</f>
        <v>1</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1</v>
      </c>
    </row>
    <row r="28" spans="1:111">
      <c r="A28" s="443">
        <f t="shared" si="14"/>
        <v>20</v>
      </c>
      <c r="B28" s="218" t="str">
        <f t="shared" si="0"/>
        <v>fr</v>
      </c>
      <c r="C28" s="219" t="s">
        <v>242</v>
      </c>
      <c r="D28" s="220" t="str">
        <f t="shared" si="1"/>
        <v/>
      </c>
      <c r="E28" s="906"/>
      <c r="F28" s="907"/>
      <c r="G28" s="908"/>
      <c r="H28" s="526"/>
      <c r="I28" s="855"/>
      <c r="J28" s="726"/>
      <c r="K28" s="669"/>
      <c r="L28" s="669"/>
      <c r="M28" s="669"/>
      <c r="N28" s="557">
        <f t="shared" si="15"/>
        <v>6.5</v>
      </c>
      <c r="O28" s="557">
        <f t="shared" si="16"/>
        <v>3</v>
      </c>
      <c r="P28" s="557">
        <f>IF(Stamoplysninger!$H$29="JA",Januar!DG28,CX28)</f>
        <v>0.5</v>
      </c>
      <c r="Q28" s="557">
        <f t="shared" si="17"/>
        <v>3</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f>IF(AND(C28="Skema 2",B28="fr"),Arbejdstidsoversigt!$E$57,"")</f>
        <v>6.5</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6.5</v>
      </c>
      <c r="BB28" s="421">
        <f t="shared" si="8"/>
        <v>0</v>
      </c>
      <c r="BC28" s="1">
        <f t="shared" si="20"/>
        <v>0</v>
      </c>
      <c r="BD28" s="1">
        <f t="shared" si="9"/>
        <v>0</v>
      </c>
      <c r="BE28" s="1">
        <f t="shared" si="10"/>
        <v>0</v>
      </c>
      <c r="BF28" s="1">
        <f t="shared" si="11"/>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f>IF(AND(C28="Skema 2",B28="fr"),Skemaoplysninger!$S$28,"")</f>
        <v>0.125</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3</v>
      </c>
      <c r="CB28" s="1">
        <f t="shared" si="12"/>
        <v>0</v>
      </c>
      <c r="CC28" s="1">
        <f t="shared" si="13"/>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f>IF(AND(C28="Skema 2",B28="fr"),Skemaoplysninger!$S$37,"")</f>
        <v>0.5</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0.5</v>
      </c>
      <c r="CY28" s="457">
        <f>IF(C28="Skema 1",Stamoplysninger!$H$30/200,0)</f>
        <v>0</v>
      </c>
      <c r="CZ28" s="457">
        <f>IF(C28="Skema 2",Stamoplysninger!$H$30/200,0)</f>
        <v>1</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4"/>
        <v>21</v>
      </c>
      <c r="B29" s="218" t="str">
        <f t="shared" si="0"/>
        <v>lø</v>
      </c>
      <c r="C29" s="219" t="s">
        <v>138</v>
      </c>
      <c r="D29" s="220" t="str">
        <f t="shared" si="1"/>
        <v/>
      </c>
      <c r="E29" s="906"/>
      <c r="F29" s="907"/>
      <c r="G29" s="908"/>
      <c r="H29" s="526"/>
      <c r="I29" s="726"/>
      <c r="J29" s="726"/>
      <c r="K29" s="669"/>
      <c r="L29" s="669"/>
      <c r="M29" s="669"/>
      <c r="N29" s="557">
        <f t="shared" si="15"/>
        <v>0</v>
      </c>
      <c r="O29" s="557">
        <f t="shared" si="16"/>
        <v>0</v>
      </c>
      <c r="P29" s="557">
        <f>IF(Stamoplysninger!$H$29="JA",Januar!DG29,CX29)</f>
        <v>0</v>
      </c>
      <c r="Q29" s="557">
        <f t="shared" si="17"/>
        <v>0</v>
      </c>
      <c r="R29" s="558"/>
      <c r="S29" s="564"/>
      <c r="T29" s="565"/>
      <c r="U29" s="565"/>
      <c r="V29" s="559"/>
      <c r="W29" s="763"/>
      <c r="X29" s="560"/>
      <c r="Y29">
        <f t="shared" si="18"/>
        <v>0</v>
      </c>
      <c r="Z29">
        <f t="shared" si="2"/>
        <v>0</v>
      </c>
      <c r="AA29" s="1">
        <f t="shared" si="3"/>
        <v>0</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0</v>
      </c>
      <c r="BB29" s="421">
        <f t="shared" si="8"/>
        <v>0</v>
      </c>
      <c r="BC29" s="1">
        <f t="shared" si="20"/>
        <v>0</v>
      </c>
      <c r="BD29" s="1">
        <f t="shared" si="9"/>
        <v>0</v>
      </c>
      <c r="BE29" s="1">
        <f t="shared" si="10"/>
        <v>0</v>
      </c>
      <c r="BF29" s="1">
        <f t="shared" si="11"/>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0</v>
      </c>
      <c r="CB29" s="1">
        <f t="shared" si="12"/>
        <v>0</v>
      </c>
      <c r="CC29" s="1">
        <f t="shared" si="13"/>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0</v>
      </c>
    </row>
    <row r="30" spans="1:111">
      <c r="A30" s="443">
        <f t="shared" si="14"/>
        <v>22</v>
      </c>
      <c r="B30" s="218" t="str">
        <f t="shared" si="0"/>
        <v>sø</v>
      </c>
      <c r="C30" s="219" t="s">
        <v>138</v>
      </c>
      <c r="D30" s="220" t="str">
        <f t="shared" si="1"/>
        <v/>
      </c>
      <c r="E30" s="906"/>
      <c r="F30" s="907"/>
      <c r="G30" s="908"/>
      <c r="H30" s="526"/>
      <c r="I30" s="726"/>
      <c r="J30" s="726"/>
      <c r="K30" s="669"/>
      <c r="L30" s="669"/>
      <c r="M30" s="669"/>
      <c r="N30" s="557">
        <f t="shared" si="15"/>
        <v>0</v>
      </c>
      <c r="O30" s="557">
        <f t="shared" si="16"/>
        <v>0</v>
      </c>
      <c r="P30" s="557">
        <f>IF(Stamoplysninger!$H$29="JA",Januar!DG30,CX30)</f>
        <v>0</v>
      </c>
      <c r="Q30" s="557">
        <f t="shared" si="17"/>
        <v>0</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0</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row>
    <row r="31" spans="1:111">
      <c r="A31" s="443">
        <f t="shared" si="14"/>
        <v>23</v>
      </c>
      <c r="B31" s="218" t="str">
        <f t="shared" si="0"/>
        <v>ma</v>
      </c>
      <c r="C31" s="219" t="s">
        <v>246</v>
      </c>
      <c r="D31" s="220">
        <f t="shared" si="1"/>
        <v>4.1428571428571432</v>
      </c>
      <c r="E31" s="906" t="s">
        <v>552</v>
      </c>
      <c r="F31" s="907"/>
      <c r="G31" s="908"/>
      <c r="H31" s="526"/>
      <c r="I31" s="855"/>
      <c r="J31" s="726"/>
      <c r="K31" s="669">
        <v>7</v>
      </c>
      <c r="L31" s="669">
        <v>4.5</v>
      </c>
      <c r="M31" s="669">
        <v>1</v>
      </c>
      <c r="N31" s="557">
        <f t="shared" si="15"/>
        <v>7</v>
      </c>
      <c r="O31" s="557">
        <f t="shared" si="16"/>
        <v>4.5</v>
      </c>
      <c r="P31" s="557">
        <f>IF(Stamoplysninger!$H$29="JA",Januar!DG31,CX31)</f>
        <v>1</v>
      </c>
      <c r="Q31" s="557">
        <f t="shared" si="17"/>
        <v>1.5</v>
      </c>
      <c r="R31" s="558"/>
      <c r="S31" s="564"/>
      <c r="T31" s="565"/>
      <c r="U31" s="565"/>
      <c r="V31" s="559"/>
      <c r="W31" s="763"/>
      <c r="X31" s="560"/>
      <c r="Y31">
        <f t="shared" si="18"/>
        <v>0</v>
      </c>
      <c r="Z31">
        <f t="shared" si="2"/>
        <v>0</v>
      </c>
      <c r="AA31" s="1">
        <f t="shared" si="3"/>
        <v>7</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7</v>
      </c>
      <c r="BB31" s="421">
        <f t="shared" si="8"/>
        <v>0</v>
      </c>
      <c r="BC31" s="1">
        <f t="shared" si="20"/>
        <v>0</v>
      </c>
      <c r="BD31" s="1">
        <f t="shared" si="9"/>
        <v>0</v>
      </c>
      <c r="BE31" s="1">
        <f t="shared" si="10"/>
        <v>0</v>
      </c>
      <c r="BF31" s="1">
        <f t="shared" si="11"/>
        <v>4.5</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4.5</v>
      </c>
      <c r="CB31" s="1">
        <f t="shared" si="12"/>
        <v>0</v>
      </c>
      <c r="CC31" s="1">
        <f t="shared" si="13"/>
        <v>1</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1</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1</v>
      </c>
      <c r="DE31" s="457">
        <f>IF(C31="lejrskole",Stamoplysninger!$H$30/200,0)</f>
        <v>0</v>
      </c>
      <c r="DF31" s="457">
        <f>IF(C31="ekskursion",Stamoplysninger!$H$30/200,0)</f>
        <v>0</v>
      </c>
      <c r="DG31" s="457">
        <f t="shared" si="22"/>
        <v>1</v>
      </c>
    </row>
    <row r="32" spans="1:111">
      <c r="A32" s="443">
        <f t="shared" si="14"/>
        <v>24</v>
      </c>
      <c r="B32" s="218" t="str">
        <f t="shared" si="0"/>
        <v>ti</v>
      </c>
      <c r="C32" s="219" t="s">
        <v>246</v>
      </c>
      <c r="D32" s="220" t="str">
        <f t="shared" si="1"/>
        <v/>
      </c>
      <c r="E32" s="449"/>
      <c r="F32" s="450"/>
      <c r="G32" s="451"/>
      <c r="H32" s="526"/>
      <c r="I32" s="855"/>
      <c r="J32" s="726"/>
      <c r="K32" s="669">
        <v>7</v>
      </c>
      <c r="L32" s="669">
        <v>4.5</v>
      </c>
      <c r="M32" s="669">
        <v>1</v>
      </c>
      <c r="N32" s="557">
        <f t="shared" si="15"/>
        <v>7</v>
      </c>
      <c r="O32" s="557">
        <f t="shared" si="16"/>
        <v>4.5</v>
      </c>
      <c r="P32" s="557">
        <f>IF(Stamoplysninger!$H$29="JA",Januar!DG32,CX32)</f>
        <v>1</v>
      </c>
      <c r="Q32" s="557">
        <f t="shared" si="17"/>
        <v>1.5</v>
      </c>
      <c r="R32" s="558"/>
      <c r="S32" s="564"/>
      <c r="T32" s="565"/>
      <c r="U32" s="565"/>
      <c r="V32" s="559"/>
      <c r="W32" s="763"/>
      <c r="X32" s="560"/>
      <c r="Y32">
        <f t="shared" si="18"/>
        <v>0</v>
      </c>
      <c r="Z32">
        <f t="shared" si="2"/>
        <v>0</v>
      </c>
      <c r="AA32" s="1">
        <f t="shared" si="3"/>
        <v>7</v>
      </c>
      <c r="AB32" s="1">
        <f t="shared" si="4"/>
        <v>0</v>
      </c>
      <c r="AC32" s="1">
        <f t="shared" si="5"/>
        <v>0</v>
      </c>
      <c r="AD32" s="1">
        <f t="shared" si="6"/>
        <v>0</v>
      </c>
      <c r="AE32" s="1">
        <f t="shared" si="7"/>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7</v>
      </c>
      <c r="BB32" s="421">
        <f t="shared" si="8"/>
        <v>0</v>
      </c>
      <c r="BC32" s="1">
        <f t="shared" si="20"/>
        <v>0</v>
      </c>
      <c r="BD32" s="1">
        <f t="shared" si="9"/>
        <v>0</v>
      </c>
      <c r="BE32" s="1">
        <f t="shared" si="10"/>
        <v>0</v>
      </c>
      <c r="BF32" s="1">
        <f t="shared" si="11"/>
        <v>4.5</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4.5</v>
      </c>
      <c r="CB32" s="1">
        <f t="shared" si="12"/>
        <v>0</v>
      </c>
      <c r="CC32" s="1">
        <f t="shared" si="13"/>
        <v>1</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1</v>
      </c>
      <c r="CY32" s="457">
        <f>IF(C32="Skema 1",Stamoplysninger!$H$30/200,0)</f>
        <v>0</v>
      </c>
      <c r="CZ32" s="457">
        <f>IF(C32="Skema 2",Stamoplysninger!$H$30/200,0)</f>
        <v>0</v>
      </c>
      <c r="DA32" s="457">
        <f>IF(C32="Skema 3",Stamoplysninger!$H$30/200,0)</f>
        <v>0</v>
      </c>
      <c r="DB32" s="457">
        <f>IF(C32="Skema 4",Stamoplysninger!$H$30/200,0)</f>
        <v>0</v>
      </c>
      <c r="DC32" s="457">
        <f>IF(C32="fagdag",Stamoplysninger!$H$30/200,0)</f>
        <v>0</v>
      </c>
      <c r="DD32" s="457">
        <f>IF(C32="emnedag",Stamoplysninger!$H$30/200,0)</f>
        <v>1</v>
      </c>
      <c r="DE32" s="457">
        <f>IF(C32="lejrskole",Stamoplysninger!$H$30/200,0)</f>
        <v>0</v>
      </c>
      <c r="DF32" s="457">
        <f>IF(C32="ekskursion",Stamoplysninger!$H$30/200,0)</f>
        <v>0</v>
      </c>
      <c r="DG32" s="457">
        <f t="shared" si="22"/>
        <v>1</v>
      </c>
    </row>
    <row r="33" spans="1:111">
      <c r="A33" s="443">
        <f t="shared" si="14"/>
        <v>25</v>
      </c>
      <c r="B33" s="218" t="str">
        <f t="shared" si="0"/>
        <v>on</v>
      </c>
      <c r="C33" s="219" t="s">
        <v>246</v>
      </c>
      <c r="D33" s="220" t="str">
        <f t="shared" si="1"/>
        <v/>
      </c>
      <c r="E33" s="906"/>
      <c r="F33" s="907"/>
      <c r="G33" s="908"/>
      <c r="H33" s="526"/>
      <c r="I33" s="855"/>
      <c r="J33" s="726"/>
      <c r="K33" s="669">
        <v>7</v>
      </c>
      <c r="L33" s="669">
        <v>4.5</v>
      </c>
      <c r="M33" s="669">
        <v>1</v>
      </c>
      <c r="N33" s="557">
        <f t="shared" si="15"/>
        <v>7</v>
      </c>
      <c r="O33" s="557">
        <f t="shared" si="16"/>
        <v>4.5</v>
      </c>
      <c r="P33" s="557">
        <f>IF(Stamoplysninger!$H$29="JA",Januar!DG33,CX33)</f>
        <v>1</v>
      </c>
      <c r="Q33" s="557">
        <f t="shared" si="17"/>
        <v>1.5</v>
      </c>
      <c r="R33" s="558"/>
      <c r="S33" s="564"/>
      <c r="T33" s="565"/>
      <c r="U33" s="565"/>
      <c r="V33" s="559"/>
      <c r="W33" s="763"/>
      <c r="X33" s="560"/>
      <c r="Y33">
        <f t="shared" si="18"/>
        <v>0</v>
      </c>
      <c r="Z33">
        <f t="shared" si="2"/>
        <v>0</v>
      </c>
      <c r="AA33" s="1">
        <f t="shared" si="3"/>
        <v>7</v>
      </c>
      <c r="AB33" s="1">
        <f t="shared" si="4"/>
        <v>0</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7</v>
      </c>
      <c r="BB33" s="421">
        <f t="shared" si="8"/>
        <v>0</v>
      </c>
      <c r="BC33" s="1">
        <f t="shared" si="20"/>
        <v>0</v>
      </c>
      <c r="BD33" s="1">
        <f t="shared" si="9"/>
        <v>0</v>
      </c>
      <c r="BE33" s="1">
        <f t="shared" si="10"/>
        <v>0</v>
      </c>
      <c r="BF33" s="1">
        <f t="shared" si="11"/>
        <v>4.5</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4.5</v>
      </c>
      <c r="CB33" s="1">
        <f t="shared" si="12"/>
        <v>0</v>
      </c>
      <c r="CC33" s="1">
        <f t="shared" si="13"/>
        <v>1</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1</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1</v>
      </c>
      <c r="DE33" s="457">
        <f>IF(C33="lejrskole",Stamoplysninger!$H$30/200,0)</f>
        <v>0</v>
      </c>
      <c r="DF33" s="457">
        <f>IF(C33="ekskursion",Stamoplysninger!$H$30/200,0)</f>
        <v>0</v>
      </c>
      <c r="DG33" s="457">
        <f t="shared" si="22"/>
        <v>1</v>
      </c>
    </row>
    <row r="34" spans="1:111">
      <c r="A34" s="443">
        <f t="shared" si="14"/>
        <v>26</v>
      </c>
      <c r="B34" s="218" t="str">
        <f t="shared" si="0"/>
        <v>to</v>
      </c>
      <c r="C34" s="219" t="s">
        <v>246</v>
      </c>
      <c r="D34" s="220" t="str">
        <f t="shared" si="1"/>
        <v/>
      </c>
      <c r="E34" s="906"/>
      <c r="F34" s="907"/>
      <c r="G34" s="908"/>
      <c r="H34" s="526"/>
      <c r="I34" s="855"/>
      <c r="J34" s="726"/>
      <c r="K34" s="669">
        <v>7</v>
      </c>
      <c r="L34" s="669">
        <v>4.5</v>
      </c>
      <c r="M34" s="669">
        <v>1</v>
      </c>
      <c r="N34" s="557">
        <f t="shared" si="15"/>
        <v>7</v>
      </c>
      <c r="O34" s="557">
        <f t="shared" si="16"/>
        <v>4.5</v>
      </c>
      <c r="P34" s="557">
        <f>IF(Stamoplysninger!$H$29="JA",Januar!DG34,CX34)</f>
        <v>1</v>
      </c>
      <c r="Q34" s="557">
        <f t="shared" si="17"/>
        <v>1.5</v>
      </c>
      <c r="R34" s="558"/>
      <c r="S34" s="564"/>
      <c r="T34" s="565"/>
      <c r="U34" s="565"/>
      <c r="V34" s="559"/>
      <c r="W34" s="763"/>
      <c r="X34" s="560"/>
      <c r="Y34">
        <f t="shared" si="18"/>
        <v>0</v>
      </c>
      <c r="Z34">
        <f t="shared" si="2"/>
        <v>0</v>
      </c>
      <c r="AA34" s="1">
        <f t="shared" si="3"/>
        <v>7</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7</v>
      </c>
      <c r="BB34" s="421">
        <f t="shared" si="8"/>
        <v>0</v>
      </c>
      <c r="BC34" s="1">
        <f t="shared" si="20"/>
        <v>0</v>
      </c>
      <c r="BD34" s="1">
        <f t="shared" si="9"/>
        <v>0</v>
      </c>
      <c r="BE34" s="1">
        <f t="shared" si="10"/>
        <v>0</v>
      </c>
      <c r="BF34" s="1">
        <f t="shared" si="11"/>
        <v>4.5</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4.5</v>
      </c>
      <c r="CB34" s="1">
        <f t="shared" si="12"/>
        <v>0</v>
      </c>
      <c r="CC34" s="1">
        <f t="shared" si="13"/>
        <v>1</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1</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1</v>
      </c>
      <c r="DE34" s="457">
        <f>IF(C34="lejrskole",Stamoplysninger!$H$30/200,0)</f>
        <v>0</v>
      </c>
      <c r="DF34" s="457">
        <f>IF(C34="ekskursion",Stamoplysninger!$H$30/200,0)</f>
        <v>0</v>
      </c>
      <c r="DG34" s="457">
        <f t="shared" si="22"/>
        <v>1</v>
      </c>
    </row>
    <row r="35" spans="1:111">
      <c r="A35" s="443">
        <f t="shared" si="14"/>
        <v>27</v>
      </c>
      <c r="B35" s="218" t="str">
        <f t="shared" si="0"/>
        <v>fr</v>
      </c>
      <c r="C35" s="219" t="s">
        <v>246</v>
      </c>
      <c r="D35" s="220" t="str">
        <f t="shared" si="1"/>
        <v/>
      </c>
      <c r="E35" s="906"/>
      <c r="F35" s="907"/>
      <c r="G35" s="908"/>
      <c r="H35" s="526" t="s">
        <v>597</v>
      </c>
      <c r="I35" s="855"/>
      <c r="J35" s="726"/>
      <c r="K35" s="669">
        <v>5</v>
      </c>
      <c r="L35" s="669">
        <v>2.25</v>
      </c>
      <c r="M35" s="669">
        <v>0.75</v>
      </c>
      <c r="N35" s="557">
        <f t="shared" si="15"/>
        <v>5</v>
      </c>
      <c r="O35" s="557">
        <f t="shared" si="16"/>
        <v>2.25</v>
      </c>
      <c r="P35" s="557">
        <f>IF(Stamoplysninger!$H$29="JA",Januar!DG35,CX35)</f>
        <v>0.75</v>
      </c>
      <c r="Q35" s="557">
        <f t="shared" si="17"/>
        <v>2</v>
      </c>
      <c r="R35" s="558">
        <v>5</v>
      </c>
      <c r="S35" s="564"/>
      <c r="T35" s="565"/>
      <c r="U35" s="565"/>
      <c r="V35" s="559"/>
      <c r="W35" s="763"/>
      <c r="X35" s="560"/>
      <c r="Y35">
        <f t="shared" si="18"/>
        <v>0</v>
      </c>
      <c r="Z35">
        <f t="shared" si="2"/>
        <v>0</v>
      </c>
      <c r="AA35" s="1">
        <f t="shared" si="3"/>
        <v>5</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5</v>
      </c>
      <c r="BB35" s="421">
        <f t="shared" si="8"/>
        <v>0</v>
      </c>
      <c r="BC35" s="1">
        <f t="shared" si="20"/>
        <v>0</v>
      </c>
      <c r="BD35" s="1">
        <f t="shared" si="9"/>
        <v>0</v>
      </c>
      <c r="BE35" s="1">
        <f t="shared" si="10"/>
        <v>0</v>
      </c>
      <c r="BF35" s="1">
        <f t="shared" si="11"/>
        <v>2.25</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2.25</v>
      </c>
      <c r="CB35" s="1">
        <f t="shared" si="12"/>
        <v>0</v>
      </c>
      <c r="CC35" s="1">
        <f t="shared" si="13"/>
        <v>0.75</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0.75</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1</v>
      </c>
      <c r="DE35" s="457">
        <f>IF(C35="lejrskole",Stamoplysninger!$H$30/200,0)</f>
        <v>0</v>
      </c>
      <c r="DF35" s="457">
        <f>IF(C35="ekskursion",Stamoplysninger!$H$30/200,0)</f>
        <v>0</v>
      </c>
      <c r="DG35" s="457">
        <f t="shared" si="22"/>
        <v>1</v>
      </c>
    </row>
    <row r="36" spans="1:111">
      <c r="A36" s="443">
        <f t="shared" si="14"/>
        <v>28</v>
      </c>
      <c r="B36" s="218" t="str">
        <f t="shared" si="0"/>
        <v>lø</v>
      </c>
      <c r="C36" s="219" t="s">
        <v>138</v>
      </c>
      <c r="D36" s="220" t="str">
        <f t="shared" si="1"/>
        <v/>
      </c>
      <c r="E36" s="906"/>
      <c r="F36" s="907"/>
      <c r="G36" s="908"/>
      <c r="H36" s="526"/>
      <c r="I36" s="726"/>
      <c r="J36" s="726"/>
      <c r="K36" s="669"/>
      <c r="L36" s="669"/>
      <c r="M36" s="669"/>
      <c r="N36" s="557">
        <f t="shared" si="15"/>
        <v>0</v>
      </c>
      <c r="O36" s="557">
        <f t="shared" si="16"/>
        <v>0</v>
      </c>
      <c r="P36" s="557">
        <f>IF(Stamoplysninger!$H$29="JA",Januar!DG36,CX36)</f>
        <v>0</v>
      </c>
      <c r="Q36" s="557">
        <f t="shared" si="17"/>
        <v>0</v>
      </c>
      <c r="R36" s="558"/>
      <c r="S36" s="564"/>
      <c r="T36" s="565"/>
      <c r="U36" s="565"/>
      <c r="V36" s="559"/>
      <c r="W36" s="763"/>
      <c r="X36" s="560"/>
      <c r="Y36">
        <f t="shared" si="18"/>
        <v>0</v>
      </c>
      <c r="Z36">
        <f t="shared" si="2"/>
        <v>0</v>
      </c>
      <c r="AA36" s="1">
        <f t="shared" si="3"/>
        <v>0</v>
      </c>
      <c r="AB36" s="1">
        <f t="shared" si="4"/>
        <v>0</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0</v>
      </c>
      <c r="BB36" s="421">
        <f t="shared" si="8"/>
        <v>0</v>
      </c>
      <c r="BC36" s="1">
        <f t="shared" si="20"/>
        <v>0</v>
      </c>
      <c r="BD36" s="1">
        <f t="shared" si="9"/>
        <v>0</v>
      </c>
      <c r="BE36" s="1">
        <f t="shared" si="10"/>
        <v>0</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2"/>
        <v>0</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row>
    <row r="37" spans="1:111">
      <c r="A37" s="443">
        <f>IF(ISNUMBER(A36),A36+1,1)</f>
        <v>29</v>
      </c>
      <c r="B37" s="218" t="str">
        <f t="shared" si="0"/>
        <v>sø</v>
      </c>
      <c r="C37" s="219" t="s">
        <v>138</v>
      </c>
      <c r="D37" s="220" t="str">
        <f t="shared" si="1"/>
        <v/>
      </c>
      <c r="E37" s="906"/>
      <c r="F37" s="907"/>
      <c r="G37" s="908"/>
      <c r="H37" s="526"/>
      <c r="I37" s="726"/>
      <c r="J37" s="726"/>
      <c r="K37" s="669"/>
      <c r="L37" s="669"/>
      <c r="M37" s="669"/>
      <c r="N37" s="557">
        <f t="shared" si="15"/>
        <v>0</v>
      </c>
      <c r="O37" s="557">
        <f t="shared" si="16"/>
        <v>0</v>
      </c>
      <c r="P37" s="557">
        <f>IF(Stamoplysninger!$H$29="JA",Januar!DG37,CX37)</f>
        <v>0</v>
      </c>
      <c r="Q37" s="557">
        <f t="shared" si="17"/>
        <v>0</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4"/>
        <v>30</v>
      </c>
      <c r="B38" s="218" t="str">
        <f t="shared" si="0"/>
        <v>ma</v>
      </c>
      <c r="C38" s="219" t="s">
        <v>155</v>
      </c>
      <c r="D38" s="220">
        <f t="shared" si="1"/>
        <v>5.1428571428571432</v>
      </c>
      <c r="E38" s="906" t="s">
        <v>5</v>
      </c>
      <c r="F38" s="907"/>
      <c r="G38" s="908"/>
      <c r="H38" s="526"/>
      <c r="I38" s="855"/>
      <c r="J38" s="726"/>
      <c r="K38" s="669">
        <v>8</v>
      </c>
      <c r="L38" s="669">
        <v>4.5</v>
      </c>
      <c r="M38" s="669">
        <v>1</v>
      </c>
      <c r="N38" s="557">
        <f t="shared" si="15"/>
        <v>8</v>
      </c>
      <c r="O38" s="557">
        <f t="shared" si="16"/>
        <v>4.5</v>
      </c>
      <c r="P38" s="557">
        <f>IF(Stamoplysninger!$H$29="JA",Januar!DG38,CX38)</f>
        <v>1</v>
      </c>
      <c r="Q38" s="557">
        <f t="shared" si="17"/>
        <v>2.5</v>
      </c>
      <c r="R38" s="558"/>
      <c r="S38" s="564"/>
      <c r="T38" s="565"/>
      <c r="U38" s="762"/>
      <c r="V38" s="559"/>
      <c r="W38" s="763"/>
      <c r="X38" s="560"/>
      <c r="Y38">
        <f t="shared" si="18"/>
        <v>0</v>
      </c>
      <c r="Z38">
        <f t="shared" si="2"/>
        <v>0</v>
      </c>
      <c r="AA38" s="1">
        <f t="shared" si="3"/>
        <v>0</v>
      </c>
      <c r="AB38" s="1">
        <f t="shared" si="4"/>
        <v>8</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8</v>
      </c>
      <c r="BB38" s="421">
        <f t="shared" si="8"/>
        <v>0</v>
      </c>
      <c r="BC38" s="1">
        <f t="shared" si="20"/>
        <v>0</v>
      </c>
      <c r="BD38" s="1">
        <f t="shared" si="9"/>
        <v>0</v>
      </c>
      <c r="BE38" s="1">
        <f t="shared" si="10"/>
        <v>4.5</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3",B38="ti"),Skemaoplysninger!$Z$28,"")</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4.5</v>
      </c>
      <c r="CB38" s="1">
        <f t="shared" si="12"/>
        <v>1</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1</v>
      </c>
      <c r="CY38" s="457">
        <f>IF(C38="Skema 1",Stamoplysninger!$H$30/200,0)</f>
        <v>0</v>
      </c>
      <c r="CZ38" s="457">
        <f>IF(C38="Skema 2",Stamoplysninger!$H$30/200,0)</f>
        <v>0</v>
      </c>
      <c r="DA38" s="457">
        <f>IF(C38="Skema 3",Stamoplysninger!$H$30/200,0)</f>
        <v>0</v>
      </c>
      <c r="DB38" s="457">
        <f>IF(C38="Skema 4",Stamoplysninger!$H$30/200,0)</f>
        <v>0</v>
      </c>
      <c r="DC38" s="457">
        <f>IF(C38="fagdag",Stamoplysninger!$H$30/200,0)</f>
        <v>1</v>
      </c>
      <c r="DD38" s="457">
        <f>IF(C38="emnedag",Stamoplysninger!$H$30/200,0)</f>
        <v>0</v>
      </c>
      <c r="DE38" s="457">
        <f>IF(C38="lejrskole",Stamoplysninger!$H$30/200,0)</f>
        <v>0</v>
      </c>
      <c r="DF38" s="457">
        <f>IF(C38="ekskursion",Stamoplysninger!$H$30/200,0)</f>
        <v>0</v>
      </c>
      <c r="DG38" s="457">
        <f t="shared" si="22"/>
        <v>1</v>
      </c>
    </row>
    <row r="39" spans="1:111">
      <c r="A39" s="443">
        <f>IF(ISNUMBER(A38),A38+1,1)</f>
        <v>31</v>
      </c>
      <c r="B39" s="218" t="str">
        <f t="shared" si="0"/>
        <v>ti</v>
      </c>
      <c r="C39" s="219" t="s">
        <v>242</v>
      </c>
      <c r="D39" s="220" t="str">
        <f t="shared" si="1"/>
        <v/>
      </c>
      <c r="E39" s="909"/>
      <c r="F39" s="910"/>
      <c r="G39" s="911"/>
      <c r="H39" s="525"/>
      <c r="I39" s="855"/>
      <c r="J39" s="726"/>
      <c r="K39" s="669"/>
      <c r="L39" s="669"/>
      <c r="M39" s="669"/>
      <c r="N39" s="557">
        <f t="shared" si="15"/>
        <v>8</v>
      </c>
      <c r="O39" s="557">
        <f t="shared" si="16"/>
        <v>4.5</v>
      </c>
      <c r="P39" s="557">
        <f>IF(Stamoplysninger!$H$29="JA",Januar!DG39,CX39)</f>
        <v>1.0833333333333335</v>
      </c>
      <c r="Q39" s="557">
        <f t="shared" si="17"/>
        <v>2.4166666666666665</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t="str">
        <f>IF(AND(C39="Skema 1",B39="ma"),Arbejdstidsoversigt!$E$44,"")</f>
        <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f>IF(AND(C39="Skema 2",B39="ti"),Arbejdstidsoversigt!$E$54,"")</f>
        <v>8</v>
      </c>
      <c r="AN39" s="383" t="str">
        <f>IF(AND(C39="Skema 2",B39="on"),Arbejdstidsoversigt!$E$55,"")</f>
        <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8</v>
      </c>
      <c r="BB39" s="421">
        <f t="shared" si="8"/>
        <v>0</v>
      </c>
      <c r="BC39" s="1">
        <f t="shared" si="20"/>
        <v>0</v>
      </c>
      <c r="BD39" s="1">
        <f t="shared" si="9"/>
        <v>0</v>
      </c>
      <c r="BE39" s="1">
        <f t="shared" si="10"/>
        <v>0</v>
      </c>
      <c r="BF39" s="1">
        <f t="shared" si="11"/>
        <v>0</v>
      </c>
      <c r="BG39" s="382" t="str">
        <f>IF(AND(C39="Skema 1",B39="ma"),Skemaoplysninger!$E$28,"")</f>
        <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f>IF(AND(C39="Skema 2",B39="ti"),Skemaoplysninger!$P$28,"")</f>
        <v>0.1875</v>
      </c>
      <c r="BN39" s="382" t="str">
        <f>IF(AND(C39="Skema 2",B39="on"),Skemaoplysninger!$Q$28,"")</f>
        <v/>
      </c>
      <c r="BO39" s="382" t="str">
        <f>IF(AND(C39="Skema 2",B39="to"),Skemaoplysninger!$R$28,"")</f>
        <v/>
      </c>
      <c r="BP39" s="382" t="str">
        <f>IF(AND(C39="Skema 2",B39="fr"),Skemaoplysninger!$S$28,"")</f>
        <v/>
      </c>
      <c r="BQ39" s="382" t="str">
        <f>IF(AND(C39="Skema 3",B39="ma"),Skemaoplysninger!$Y$28,"")</f>
        <v/>
      </c>
      <c r="BR39" s="382" t="str">
        <f>IF(AND(C39="Skema 3",B39="ti"),Skemaoplysninger!$Z$28,"")</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4.5</v>
      </c>
      <c r="CB39" s="1">
        <f t="shared" si="12"/>
        <v>0</v>
      </c>
      <c r="CC39" s="1">
        <f t="shared" si="13"/>
        <v>0</v>
      </c>
      <c r="CD39" s="382" t="str">
        <f>IF(AND(C39="Skema 1",B39="ma"),Skemaoplysninger!$E$37,"")</f>
        <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f>IF(AND(C39="Skema 2",B39="ti"),Skemaoplysninger!$P$37,"")</f>
        <v>1.0833333333333335</v>
      </c>
      <c r="CK39" s="382" t="str">
        <f>IF(AND(C39="Skema 2",B39="on"),Skemaoplysninger!$Q$37,"")</f>
        <v/>
      </c>
      <c r="CL39" s="382" t="str">
        <f>IF(AND(C39="Skema 2",B39="to"),Skemaoplysninger!$R$37,"")</f>
        <v/>
      </c>
      <c r="CM39" s="382" t="str">
        <f>IF(AND(C39="Skema 2",B39="fr"),Skemaoplysninger!$S$37,"")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1.0833333333333335</v>
      </c>
      <c r="CY39" s="457">
        <f>IF(C39="Skema 1",Stamoplysninger!$H$30/200,0)</f>
        <v>0</v>
      </c>
      <c r="CZ39" s="457">
        <f>IF(C39="Skema 2",Stamoplysninger!$H$30/200,0)</f>
        <v>1</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1</v>
      </c>
    </row>
    <row r="40" spans="1:111" ht="17" thickBot="1">
      <c r="A40" s="1101" t="s">
        <v>308</v>
      </c>
      <c r="B40" s="1102"/>
      <c r="C40" s="1102"/>
      <c r="D40" s="1102"/>
      <c r="E40" s="1102"/>
      <c r="F40" s="1102"/>
      <c r="G40" s="1102"/>
      <c r="H40" s="1102"/>
      <c r="I40" s="1103"/>
      <c r="J40" s="552"/>
      <c r="K40" s="561"/>
      <c r="L40" s="561"/>
      <c r="M40" s="561"/>
      <c r="N40" s="562">
        <f t="shared" ref="N40:Q40" si="23">SUM(N9:N39)</f>
        <v>148.5</v>
      </c>
      <c r="O40" s="562">
        <f t="shared" si="23"/>
        <v>74.25</v>
      </c>
      <c r="P40" s="562">
        <f t="shared" si="23"/>
        <v>15.666666666666668</v>
      </c>
      <c r="Q40" s="562">
        <f t="shared" si="23"/>
        <v>58.583333333333329</v>
      </c>
      <c r="R40"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5</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0</v>
      </c>
      <c r="Z40" s="706">
        <f>Z9+Z10+Z11+Z12+Z13+Z14+Z15+Z16+Z17+Z18+Z19+Z20+Z21+Z22+Z23+Z24+Z25+Z26+Z27+Z28+Z29+Z30+Z31+Z32+Z33+Z34+Z35+Z36+Z37+Z38+Z39</f>
        <v>0</v>
      </c>
      <c r="AA40" s="431">
        <f t="shared" ref="AA40:AF40" si="24">SUM(AA9:AA39)</f>
        <v>33</v>
      </c>
      <c r="AB40" s="431">
        <f t="shared" si="24"/>
        <v>8</v>
      </c>
      <c r="AC40" s="431">
        <f t="shared" si="24"/>
        <v>0</v>
      </c>
      <c r="AD40" s="431">
        <f t="shared" si="24"/>
        <v>0</v>
      </c>
      <c r="AE40" s="431">
        <f t="shared" si="24"/>
        <v>0</v>
      </c>
      <c r="AF40" s="585">
        <f t="shared" si="24"/>
        <v>0</v>
      </c>
      <c r="AQ40" s="383"/>
      <c r="AR40" s="383"/>
      <c r="AS40" s="383"/>
      <c r="AT40" s="383"/>
      <c r="AU40" s="383"/>
      <c r="AV40" s="383"/>
      <c r="AW40" s="383"/>
      <c r="AX40" s="383"/>
      <c r="AY40" s="383"/>
      <c r="AZ40" s="383"/>
      <c r="BA40" s="1">
        <f>SUM(BA9:BA39)</f>
        <v>148.5</v>
      </c>
      <c r="BB40" s="180"/>
      <c r="BC40" s="431">
        <f>SUM(BC9:BC39)</f>
        <v>0</v>
      </c>
      <c r="BD40" s="431">
        <f>SUM(BD9:BD39)</f>
        <v>0</v>
      </c>
      <c r="BE40" s="431">
        <f t="shared" ref="BE40:BF40" si="25">SUM(BE9:BE39)</f>
        <v>4.5</v>
      </c>
      <c r="BF40" s="431">
        <f t="shared" si="25"/>
        <v>20.25</v>
      </c>
      <c r="BQ40" s="383"/>
      <c r="BR40" s="383"/>
      <c r="BS40" s="383"/>
      <c r="BT40" s="383"/>
      <c r="BU40" s="383"/>
      <c r="BV40" s="383"/>
      <c r="BW40" s="383"/>
      <c r="BX40" s="383"/>
      <c r="BY40" s="383"/>
      <c r="BZ40" s="383"/>
      <c r="CA40" s="431">
        <f>SUM(CA9:CA39)</f>
        <v>74.25</v>
      </c>
      <c r="CB40" s="431">
        <f t="shared" ref="CB40:CC40" si="26">SUM(CB9:CB39)</f>
        <v>1</v>
      </c>
      <c r="CC40" s="431">
        <f t="shared" si="26"/>
        <v>4.75</v>
      </c>
      <c r="CN40" s="383"/>
      <c r="CO40" s="383"/>
      <c r="CP40" s="383"/>
      <c r="CQ40" s="383"/>
      <c r="CR40" s="383"/>
      <c r="CS40" s="383"/>
      <c r="CT40" s="383"/>
      <c r="CU40" s="383"/>
      <c r="CV40" s="383"/>
      <c r="CW40" s="383"/>
      <c r="CX40" s="457"/>
      <c r="CY40" s="457">
        <f t="shared" ref="CY40:DG40" si="27">SUM(CY9:CY39)</f>
        <v>0</v>
      </c>
      <c r="CZ40" s="457">
        <f t="shared" si="27"/>
        <v>14</v>
      </c>
      <c r="DA40" s="457">
        <f t="shared" si="27"/>
        <v>0</v>
      </c>
      <c r="DB40" s="457">
        <f t="shared" si="27"/>
        <v>0</v>
      </c>
      <c r="DC40" s="457">
        <f t="shared" si="27"/>
        <v>1</v>
      </c>
      <c r="DD40" s="457">
        <f t="shared" si="27"/>
        <v>5</v>
      </c>
      <c r="DE40" s="457">
        <f t="shared" si="27"/>
        <v>0</v>
      </c>
      <c r="DF40" s="457">
        <f t="shared" si="27"/>
        <v>0</v>
      </c>
      <c r="DG40" s="457">
        <f t="shared" si="27"/>
        <v>20</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6"/>
      <c r="AB41" s="445"/>
      <c r="AC41" s="445"/>
      <c r="AD41" s="446"/>
      <c r="AE41" s="446"/>
      <c r="AF41"/>
      <c r="AG41" s="446"/>
      <c r="AR41" s="447"/>
      <c r="AS41" s="447"/>
      <c r="AT41" s="447"/>
      <c r="AU41" s="447"/>
      <c r="AV41" s="447"/>
      <c r="AW41" s="447"/>
      <c r="AX41" s="447"/>
      <c r="AY41" s="447"/>
      <c r="AZ41" s="447"/>
      <c r="BA41" s="447"/>
      <c r="BB41" s="447"/>
      <c r="BC41" s="446"/>
      <c r="BD41" s="446"/>
      <c r="BE41" s="446"/>
      <c r="BF41" s="446"/>
      <c r="BG41" s="448"/>
      <c r="BR41" s="447"/>
      <c r="BS41" s="447"/>
      <c r="BT41" s="447"/>
      <c r="BU41" s="447"/>
      <c r="BV41" s="447"/>
      <c r="BW41" s="447"/>
      <c r="BX41" s="447"/>
      <c r="BY41" s="447"/>
      <c r="BZ41" s="447"/>
      <c r="CA41" s="447"/>
      <c r="CB41" s="446"/>
      <c r="CC41" s="446"/>
      <c r="CD41" s="448"/>
      <c r="CO41" s="447"/>
      <c r="CP41" s="447"/>
      <c r="CQ41" s="447"/>
      <c r="CR41" s="447"/>
      <c r="CS41" s="447"/>
      <c r="CT41" s="447"/>
      <c r="CU41" s="447"/>
      <c r="CV41" s="447"/>
      <c r="CW41" s="447"/>
      <c r="CX41" s="458"/>
      <c r="CY41" s="458"/>
    </row>
    <row r="42" spans="1:111" ht="70" customHeight="1">
      <c r="A42" s="1138" t="str">
        <f>"Arbejdstid for "&amp;A7&amp;" måned:"</f>
        <v>Arbejdstid for Januar måned:</v>
      </c>
      <c r="B42" s="1139"/>
      <c r="C42" s="1139"/>
      <c r="D42" s="1139"/>
      <c r="E42" s="1139"/>
      <c r="F42" s="1139"/>
      <c r="G42" s="1139"/>
      <c r="H42" s="571" t="s">
        <v>303</v>
      </c>
      <c r="I42" s="1139" t="s">
        <v>264</v>
      </c>
      <c r="J42" s="1140"/>
      <c r="K42" s="1141"/>
      <c r="L42" s="472"/>
      <c r="M42" s="1164" t="str">
        <f>"Ulempetimer og weekendtimer i "&amp;A5&amp;""</f>
        <v>Ulempetimer og weekendtimer i Januar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22</v>
      </c>
      <c r="I43" s="1107">
        <f>IF(Stamoplysninger!$E$12="Ja",1924/Arbejdstidsoversigt!$K$9*Stamoplysninger!$E$15*H43,H43*7.4*Stamoplysninger!$E$13)</f>
        <v>162.17624521072798</v>
      </c>
      <c r="J43" s="1108"/>
      <c r="K43" s="1109"/>
      <c r="L43" s="468"/>
      <c r="M43" s="1167" t="s">
        <v>368</v>
      </c>
      <c r="N43" s="1168"/>
      <c r="O43" s="1168"/>
      <c r="P43" s="1168"/>
      <c r="Q43" s="1168"/>
      <c r="R43" s="1168"/>
      <c r="S43" s="1168"/>
      <c r="T43" s="1168"/>
      <c r="U43" s="1168"/>
      <c r="V43" s="1169">
        <f>M62+S61+T61+M65+M69+M63+N62+N69</f>
        <v>1.25</v>
      </c>
      <c r="W43" s="1169"/>
      <c r="X43" s="1170"/>
      <c r="Y43" s="437"/>
      <c r="Z43" s="437"/>
      <c r="AD43" s="124"/>
      <c r="AE43" s="124"/>
      <c r="AZ43" s="436"/>
      <c r="BM43" s="1"/>
      <c r="CJ43" s="1"/>
      <c r="CU43" s="455"/>
      <c r="CV43" s="455"/>
      <c r="CY43"/>
      <c r="CZ43"/>
    </row>
    <row r="44" spans="1:111">
      <c r="A44" s="1105" t="str">
        <f>"Ferie "&amp;A7&amp;" måned"</f>
        <v>Ferie Januar måned</v>
      </c>
      <c r="B44" s="1106"/>
      <c r="C44" s="1106"/>
      <c r="D44" s="1106"/>
      <c r="E44" s="1106"/>
      <c r="F44" s="1106"/>
      <c r="G44" s="1106"/>
      <c r="H44" s="467" t="str">
        <f>IF(D62&gt;0,$D$62,"0")</f>
        <v>0</v>
      </c>
      <c r="I44" s="1110">
        <f>H44*7.4*Stamoplysninger!$E$15</f>
        <v>0</v>
      </c>
      <c r="J44" s="1111"/>
      <c r="K44" s="1112"/>
      <c r="L44" s="468"/>
      <c r="M44" s="1171" t="s">
        <v>307</v>
      </c>
      <c r="N44" s="1172"/>
      <c r="O44" s="1172"/>
      <c r="P44" s="1172"/>
      <c r="Q44" s="1172"/>
      <c r="R44" s="1172"/>
      <c r="S44" s="1172"/>
      <c r="T44" s="1172"/>
      <c r="U44" s="1172"/>
      <c r="V44" s="1173">
        <f>M61+S60+T60+M64+M68+M60+N60+N68</f>
        <v>0</v>
      </c>
      <c r="W44" s="1173"/>
      <c r="X44" s="1174"/>
      <c r="Y44" s="437"/>
      <c r="Z44" s="437"/>
      <c r="AD44" s="124"/>
      <c r="AE44" s="124"/>
      <c r="AZ44" s="436"/>
      <c r="BM44" s="1"/>
      <c r="CJ44" s="1"/>
      <c r="CU44" s="455"/>
      <c r="CV44" s="455"/>
      <c r="CY44"/>
      <c r="CZ44"/>
    </row>
    <row r="45" spans="1:111">
      <c r="A45" s="1105" t="str">
        <f>"Søgnehelligdage i "&amp;A7&amp;" måned"</f>
        <v>Søgnehelligdage i Januar måned</v>
      </c>
      <c r="B45" s="1106"/>
      <c r="C45" s="1106"/>
      <c r="D45" s="1106"/>
      <c r="E45" s="1106"/>
      <c r="F45" s="1106"/>
      <c r="G45" s="1106"/>
      <c r="H45" s="467">
        <f>IF(D61&gt;0,D61,0)</f>
        <v>0</v>
      </c>
      <c r="I45" s="1110">
        <f>H45*7.4*Stamoplysninger!$E$15</f>
        <v>0</v>
      </c>
      <c r="J45" s="1111"/>
      <c r="K45" s="1112"/>
      <c r="L45" s="469"/>
      <c r="M45" s="1175" t="s">
        <v>347</v>
      </c>
      <c r="N45" s="1176"/>
      <c r="O45" s="1176"/>
      <c r="P45" s="1176"/>
      <c r="Q45" s="1176"/>
      <c r="R45" s="1176"/>
      <c r="S45" s="1176"/>
      <c r="T45" s="1176"/>
      <c r="U45" s="1176"/>
      <c r="V45" s="1186">
        <f>December!V55</f>
        <v>0</v>
      </c>
      <c r="W45" s="1186"/>
      <c r="X45" s="1187"/>
      <c r="Y45" s="437"/>
      <c r="Z45" s="437"/>
      <c r="AD45" s="124"/>
      <c r="AE45" s="124"/>
      <c r="AZ45" s="436"/>
      <c r="BM45" s="1"/>
      <c r="CJ45" s="1"/>
      <c r="CU45" s="455"/>
      <c r="CV45" s="455"/>
      <c r="CY45"/>
      <c r="CZ45"/>
    </row>
    <row r="46" spans="1:111">
      <c r="A46" s="1105" t="str">
        <f>"Nettoarbejdstid ialt i "&amp;A7&amp;" måned"</f>
        <v>Nettoarbejdstid ialt i Januar måned</v>
      </c>
      <c r="B46" s="1106"/>
      <c r="C46" s="1106"/>
      <c r="D46" s="1106"/>
      <c r="E46" s="1106"/>
      <c r="F46" s="1106"/>
      <c r="G46" s="1106"/>
      <c r="H46" s="470">
        <f>H43-H44-H45</f>
        <v>22</v>
      </c>
      <c r="I46" s="1110">
        <f>I43-I44-I45</f>
        <v>162.17624521072798</v>
      </c>
      <c r="J46" s="1111"/>
      <c r="K46" s="1112"/>
      <c r="L46" s="469"/>
      <c r="M46" s="1134" t="s">
        <v>354</v>
      </c>
      <c r="N46" s="1135"/>
      <c r="O46" s="1135"/>
      <c r="P46" s="1135"/>
      <c r="Q46" s="1135"/>
      <c r="R46" s="1135"/>
      <c r="S46" s="1135"/>
      <c r="T46" s="1135"/>
      <c r="U46" s="1135"/>
      <c r="V46" s="1136">
        <f>V44+V45</f>
        <v>0</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Januar måned kalender</v>
      </c>
      <c r="B47" s="1114"/>
      <c r="C47" s="1114"/>
      <c r="D47" s="1114"/>
      <c r="E47" s="1114"/>
      <c r="F47" s="1114"/>
      <c r="G47" s="1114"/>
      <c r="H47" s="866">
        <f>D53+D54+D55+D56+D57+D58+D59</f>
        <v>20</v>
      </c>
      <c r="I47" s="1115">
        <f>N40+R40-J56</f>
        <v>153.5</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0</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09">
      <c r="A49" s="1126" t="str">
        <f>"Arbejde særligt planlagt for "&amp;A7&amp;" måned efter fanen skemaoplysninger"</f>
        <v>Arbejde særligt planlagt for Januar måned efter fanen skemaoplysninger</v>
      </c>
      <c r="B49" s="1127"/>
      <c r="C49" s="1127"/>
      <c r="D49" s="1127"/>
      <c r="E49" s="1127"/>
      <c r="F49" s="1127"/>
      <c r="G49" s="1127"/>
      <c r="H49" s="1128"/>
      <c r="I49" s="1116">
        <f>Skemaoplysninger!P67</f>
        <v>10</v>
      </c>
      <c r="J49" s="1124"/>
      <c r="K49" s="1125"/>
      <c r="L49" s="680"/>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09">
      <c r="A50" s="1142" t="s">
        <v>342</v>
      </c>
      <c r="B50" s="1143"/>
      <c r="C50" s="1143"/>
      <c r="D50" s="1143"/>
      <c r="E50" s="1143"/>
      <c r="F50" s="1143"/>
      <c r="G50" s="1143"/>
      <c r="H50" s="1143"/>
      <c r="I50" s="1194">
        <f>V40+X40-N57</f>
        <v>0</v>
      </c>
      <c r="J50" s="1118"/>
      <c r="K50" s="1195"/>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09" ht="17" thickBot="1">
      <c r="A51" s="471" t="str">
        <f>"Faktisk arbejdstid ialt i "&amp;A7&amp;" måned"</f>
        <v>Faktisk arbejdstid ialt i Januar måned</v>
      </c>
      <c r="B51" s="553"/>
      <c r="C51" s="554"/>
      <c r="D51" s="554"/>
      <c r="E51" s="554"/>
      <c r="F51" s="554"/>
      <c r="G51" s="554"/>
      <c r="H51" s="555"/>
      <c r="I51" s="1129">
        <f>I47+I50+I49+I48</f>
        <v>163.5</v>
      </c>
      <c r="J51" s="1130"/>
      <c r="K51" s="1131"/>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465"/>
      <c r="B52" s="465"/>
      <c r="C52" s="465"/>
      <c r="D52" s="465"/>
      <c r="E52" s="465"/>
      <c r="F52" s="465"/>
      <c r="G52" s="465"/>
      <c r="H52" s="452"/>
      <c r="I52" s="459"/>
      <c r="J52" s="459"/>
      <c r="K52" s="473" t="s">
        <v>343</v>
      </c>
      <c r="L52" s="439"/>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683" t="s">
        <v>241</v>
      </c>
      <c r="B53" s="689"/>
      <c r="C53" s="689"/>
      <c r="D53" s="683">
        <f>COUNTIF([0]!Januar,"Skema 1")</f>
        <v>0</v>
      </c>
      <c r="E53" s="690"/>
      <c r="F53" s="576" t="s">
        <v>221</v>
      </c>
      <c r="G53" s="576">
        <f>COUNTIFS($B$9:$B$39,"ma",[0]!Januar,"Skema 1")</f>
        <v>0</v>
      </c>
      <c r="H53" s="576"/>
      <c r="I53" s="576"/>
      <c r="J53" s="577"/>
      <c r="K53" s="681"/>
      <c r="L53" s="439"/>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c r="A54" s="1188" t="s">
        <v>242</v>
      </c>
      <c r="B54" s="1188"/>
      <c r="C54" s="1188"/>
      <c r="D54" s="683">
        <f>COUNTIF([0]!Januar,"Skema 2")</f>
        <v>14</v>
      </c>
      <c r="E54" s="690"/>
      <c r="F54" s="576" t="s">
        <v>222</v>
      </c>
      <c r="G54" s="576">
        <f>COUNTIFS($B$9:$B$39,"ti",[0]!Januar,"Skema 1")</f>
        <v>0</v>
      </c>
      <c r="H54" s="576"/>
      <c r="I54" s="576"/>
      <c r="J54" s="577"/>
      <c r="K54" s="681"/>
      <c r="L54" s="439"/>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09" ht="17" thickBot="1">
      <c r="A55" s="1188" t="s">
        <v>243</v>
      </c>
      <c r="B55" s="1188"/>
      <c r="C55" s="1188"/>
      <c r="D55" s="683">
        <f>COUNTIF([0]!Januar,"Skema 3")</f>
        <v>0</v>
      </c>
      <c r="E55" s="690"/>
      <c r="F55" s="576" t="s">
        <v>223</v>
      </c>
      <c r="G55" s="576">
        <f>COUNTIFS($B$9:$B$39,"on",[0]!Januar,"Skema 1")</f>
        <v>0</v>
      </c>
      <c r="H55" s="576"/>
      <c r="I55" s="576"/>
      <c r="J55" s="577"/>
      <c r="K55" s="681"/>
      <c r="L55" s="422"/>
      <c r="M55" s="1151" t="s">
        <v>346</v>
      </c>
      <c r="N55" s="1152"/>
      <c r="O55" s="1152"/>
      <c r="P55" s="1152"/>
      <c r="Q55" s="1152"/>
      <c r="R55" s="1152"/>
      <c r="S55" s="1152"/>
      <c r="T55" s="1152"/>
      <c r="U55" s="1153"/>
      <c r="V55" s="1154">
        <f>V46-SUM(V49:W54)</f>
        <v>0</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09" hidden="1">
      <c r="A56" s="1188" t="s">
        <v>244</v>
      </c>
      <c r="B56" s="1188"/>
      <c r="C56" s="1188"/>
      <c r="D56" s="683">
        <f>COUNTIF([0]!Januar,"Skema 4")</f>
        <v>0</v>
      </c>
      <c r="E56" s="690"/>
      <c r="F56" s="576" t="s">
        <v>225</v>
      </c>
      <c r="G56" s="576">
        <f>COUNTIFS($B$9:$B$39,"to",[0]!Januar,"Skema 1")</f>
        <v>0</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45"/>
      <c r="L56" s="768"/>
      <c r="M56" s="761" t="s">
        <v>378</v>
      </c>
      <c r="N56" s="761" t="s">
        <v>482</v>
      </c>
      <c r="O56" s="465"/>
      <c r="P56" s="465"/>
      <c r="Q56" s="465"/>
      <c r="R56" s="465"/>
      <c r="S56" s="465"/>
      <c r="T56" s="465"/>
      <c r="U56" s="465"/>
      <c r="V56" s="465"/>
      <c r="W56" s="465"/>
      <c r="X56" s="465"/>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83" t="s">
        <v>117</v>
      </c>
      <c r="B57" s="683"/>
      <c r="C57" s="683"/>
      <c r="D57" s="683">
        <f>COUNTIF([0]!Januar,"Fagdag")+COUNTIF([0]!Januar,"emnedag")</f>
        <v>6</v>
      </c>
      <c r="E57" s="690"/>
      <c r="F57" s="576" t="s">
        <v>224</v>
      </c>
      <c r="G57" s="576">
        <f>COUNTIFS($B$9:$B$39,"fr",[0]!Januar,"Skema 1")</f>
        <v>0</v>
      </c>
      <c r="H57" s="576"/>
      <c r="I57" s="578" t="s">
        <v>380</v>
      </c>
      <c r="J57" s="577"/>
      <c r="K57" s="578"/>
      <c r="L57" s="769"/>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7" s="754"/>
      <c r="P57" s="581"/>
      <c r="Q57" s="757" t="s">
        <v>382</v>
      </c>
      <c r="R57" s="459"/>
      <c r="S57" s="459"/>
      <c r="T57" s="459" t="s">
        <v>383</v>
      </c>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91" t="s">
        <v>116</v>
      </c>
      <c r="B58" s="683"/>
      <c r="C58" s="683"/>
      <c r="D58" s="683">
        <f>COUNTIF([0]!Januar,"Lejrskole")+COUNTIF([0]!Januar,"Ekskursion")</f>
        <v>0</v>
      </c>
      <c r="E58" s="690"/>
      <c r="F58" s="576"/>
      <c r="G58" s="576"/>
      <c r="H58" s="576"/>
      <c r="I58" s="578" t="s">
        <v>394</v>
      </c>
      <c r="J58" s="577"/>
      <c r="K58" s="578"/>
      <c r="L58" s="769"/>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115</v>
      </c>
      <c r="B59" s="683"/>
      <c r="C59" s="683"/>
      <c r="D59" s="683">
        <f>COUNTIF([0]!Januar,"Pæd.dag")</f>
        <v>0</v>
      </c>
      <c r="E59" s="690"/>
      <c r="F59" s="576" t="s">
        <v>226</v>
      </c>
      <c r="G59" s="576">
        <f>COUNTIFS($B$9:$B$39,"ma",[0]!Januar,"Skema 2")</f>
        <v>2</v>
      </c>
      <c r="H59" s="576"/>
      <c r="I59" s="576" t="s">
        <v>393</v>
      </c>
      <c r="J59" s="577"/>
      <c r="K59" s="45"/>
      <c r="L59" s="769"/>
      <c r="M59" s="754">
        <f>SUM(M57:M58)</f>
        <v>0</v>
      </c>
      <c r="N59" s="754">
        <f>SUM(N57:N58)</f>
        <v>0</v>
      </c>
      <c r="O59" s="756">
        <f>(M59+N59)/2</f>
        <v>0</v>
      </c>
      <c r="P59" s="581">
        <f>SUM(M59:O59)</f>
        <v>0</v>
      </c>
      <c r="Q59" s="757">
        <f>(M59+N59)*25%</f>
        <v>0</v>
      </c>
      <c r="R59" s="459"/>
      <c r="S59" s="459"/>
      <c r="T59" s="459"/>
      <c r="U59" s="459"/>
      <c r="V59" s="459"/>
      <c r="W59" s="582"/>
      <c r="X59" s="582"/>
      <c r="Y59" s="437"/>
      <c r="Z59" s="437"/>
      <c r="AA59" s="437"/>
      <c r="AB59" s="387"/>
      <c r="AC59" s="454"/>
      <c r="AD59" s="454"/>
      <c r="AE59" s="454"/>
      <c r="AG59" s="437"/>
      <c r="AI59" s="437"/>
      <c r="AJ59" s="437"/>
      <c r="AN59" s="124"/>
      <c r="AO59" s="124"/>
      <c r="BI59" s="436"/>
      <c r="BV59" s="1"/>
      <c r="CS59" s="1"/>
      <c r="CY59"/>
      <c r="CZ59"/>
      <c r="DD59" s="455"/>
      <c r="DE59" s="455"/>
    </row>
    <row r="60" spans="1:109" hidden="1">
      <c r="A60" s="683" t="s">
        <v>138</v>
      </c>
      <c r="B60" s="683"/>
      <c r="C60" s="683"/>
      <c r="D60" s="683">
        <f>COUNTIF([0]!Januar,"Weekend")</f>
        <v>9</v>
      </c>
      <c r="E60" s="690"/>
      <c r="F60" s="576" t="s">
        <v>227</v>
      </c>
      <c r="G60" s="576">
        <f>COUNTIFS($B$9:$B$39,"ti",[0]!Januar,"Skema 2")</f>
        <v>3</v>
      </c>
      <c r="H60" s="576"/>
      <c r="I60" s="576" t="s">
        <v>564</v>
      </c>
      <c r="J60" s="577"/>
      <c r="K60" s="45"/>
      <c r="L60" s="857"/>
      <c r="M60" s="858">
        <f>IF(Stamoplysninger!$B$26="Weekendtimer og weekendtillæg afspadseres.",M57,0)</f>
        <v>0</v>
      </c>
      <c r="N60" s="858">
        <f>IF(Stamoplysninger!$B$26="Weekendtimer og weekendtillæg afspadseres.",N57,0)</f>
        <v>0</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s="436"/>
      <c r="Z60"/>
      <c r="AM60" s="1"/>
      <c r="BJ60" s="1"/>
      <c r="BU60" s="455"/>
      <c r="BV60" s="455"/>
      <c r="CY60"/>
      <c r="CZ60"/>
    </row>
    <row r="61" spans="1:109" hidden="1">
      <c r="A61" s="683" t="s">
        <v>146</v>
      </c>
      <c r="B61" s="683"/>
      <c r="C61" s="683"/>
      <c r="D61" s="683">
        <f>COUNTIF([0]!Januar,"SH-dag")</f>
        <v>0</v>
      </c>
      <c r="E61" s="690"/>
      <c r="F61" s="576" t="s">
        <v>228</v>
      </c>
      <c r="G61" s="576">
        <f>COUNTIFS($B$9:$B$39,"on",[0]!Januar,"Skema 2")</f>
        <v>3</v>
      </c>
      <c r="H61" s="576"/>
      <c r="I61" s="854" t="s">
        <v>565</v>
      </c>
      <c r="J61" s="854"/>
      <c r="K61" s="854"/>
      <c r="L61" s="864"/>
      <c r="M61" s="858">
        <f>IF(Stamoplysninger!$B$26="Weekendtimer og weekendtillæg afspadseres.",O59,0)</f>
        <v>0</v>
      </c>
      <c r="N61" s="858">
        <f>IF(Stamoplysninger!$B$26="Weekendtimer og weekendtillæg afspadseres.",O59,0)</f>
        <v>0</v>
      </c>
      <c r="O61" s="754"/>
      <c r="P61" s="581"/>
      <c r="Q61" s="757" t="s">
        <v>381</v>
      </c>
      <c r="R61" s="459"/>
      <c r="S61" s="459">
        <f>IF(Stamoplysninger!B22="Ulempetillæg udbetales med 25% af nettotimelønnen.",Q59,0)</f>
        <v>0</v>
      </c>
      <c r="T61" s="459">
        <f>IF(Stamoplysninger!B22="Ulempetillæg udbetales med 25% af nettotimelønnen.",(R40+X40)*0.25,0)</f>
        <v>1.25</v>
      </c>
      <c r="U61" s="459"/>
      <c r="V61" s="459"/>
      <c r="W61" s="582"/>
      <c r="X61" s="582"/>
      <c r="Y61" s="436"/>
      <c r="Z61"/>
      <c r="AM61" s="1"/>
      <c r="BJ61" s="1"/>
      <c r="BU61" s="455"/>
      <c r="BV61" s="455"/>
      <c r="CY61"/>
      <c r="CZ61"/>
    </row>
    <row r="62" spans="1:109" hidden="1">
      <c r="A62" s="683" t="s">
        <v>114</v>
      </c>
      <c r="B62" s="683"/>
      <c r="C62" s="683"/>
      <c r="D62" s="683">
        <f>COUNTIF([0]!Januar,"Feriedag")</f>
        <v>0</v>
      </c>
      <c r="E62" s="690"/>
      <c r="F62" s="576" t="s">
        <v>229</v>
      </c>
      <c r="G62" s="576">
        <f>COUNTIFS($B$9:$B$39,"to",[0]!Januar,"Skema 2")</f>
        <v>3</v>
      </c>
      <c r="H62" s="576"/>
      <c r="I62" s="854" t="s">
        <v>566</v>
      </c>
      <c r="J62" s="854"/>
      <c r="K62" s="854"/>
      <c r="L62" s="865"/>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s="436"/>
      <c r="Z62"/>
      <c r="AM62" s="1"/>
      <c r="BJ62" s="1"/>
      <c r="BU62" s="455"/>
      <c r="BV62" s="455"/>
      <c r="CY62"/>
      <c r="CZ62"/>
    </row>
    <row r="63" spans="1:109" hidden="1">
      <c r="A63" s="683" t="s">
        <v>210</v>
      </c>
      <c r="B63" s="683"/>
      <c r="C63" s="683"/>
      <c r="D63" s="683">
        <f>COUNTIF([0]!Januar,"Nul-dag")</f>
        <v>2</v>
      </c>
      <c r="E63" s="690"/>
      <c r="F63" s="576" t="s">
        <v>230</v>
      </c>
      <c r="G63" s="576">
        <f>COUNTIFS($B$9:$B$39,"fr",[0]!Januar,"Skema 2")</f>
        <v>3</v>
      </c>
      <c r="H63" s="576"/>
      <c r="I63" s="854" t="s">
        <v>567</v>
      </c>
      <c r="J63" s="854"/>
      <c r="K63" s="854"/>
      <c r="L63" s="865"/>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s="436"/>
      <c r="Z63"/>
      <c r="AM63" s="1"/>
      <c r="BJ63" s="1"/>
      <c r="BU63" s="455"/>
      <c r="BV63" s="455"/>
      <c r="CY63"/>
      <c r="CZ63"/>
    </row>
    <row r="64" spans="1:109" hidden="1">
      <c r="A64" s="841" t="s">
        <v>505</v>
      </c>
      <c r="B64" s="683"/>
      <c r="C64" s="683"/>
      <c r="D64" s="683">
        <f>COUNTIF([0]!Januar,"Orlov")</f>
        <v>0</v>
      </c>
      <c r="E64" s="690"/>
      <c r="F64" s="692"/>
      <c r="G64" s="692"/>
      <c r="H64" s="692"/>
      <c r="I64" s="854" t="s">
        <v>385</v>
      </c>
      <c r="J64" s="854"/>
      <c r="K64" s="854"/>
      <c r="L64" s="861"/>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c r="Z64"/>
      <c r="AM64" s="1"/>
      <c r="BJ64" s="1"/>
      <c r="BU64" s="455"/>
      <c r="BV64" s="455"/>
      <c r="CY64"/>
      <c r="CZ64"/>
    </row>
    <row r="65" spans="1:104" hidden="1">
      <c r="A65" s="683" t="s">
        <v>185</v>
      </c>
      <c r="B65" s="683"/>
      <c r="C65" s="683"/>
      <c r="D65" s="683">
        <f>COUNTIF([0]!Januar,"Ikke relevant")</f>
        <v>0</v>
      </c>
      <c r="E65" s="690"/>
      <c r="F65" s="576" t="s">
        <v>231</v>
      </c>
      <c r="G65" s="576">
        <f>COUNTIFS($B$9:$B$39,"ma",[0]!Januar,"Skema 3")</f>
        <v>0</v>
      </c>
      <c r="H65" s="576">
        <v>1</v>
      </c>
      <c r="I65" s="854" t="s">
        <v>386</v>
      </c>
      <c r="J65" s="854"/>
      <c r="K65" s="854"/>
      <c r="L65" s="861"/>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c r="Z65"/>
      <c r="AM65" s="1"/>
      <c r="BJ65" s="1"/>
      <c r="BU65" s="455"/>
      <c r="BV65" s="455"/>
      <c r="CY65"/>
      <c r="CZ65"/>
    </row>
    <row r="66" spans="1:104" hidden="1">
      <c r="A66" s="683" t="s">
        <v>113</v>
      </c>
      <c r="B66" s="683"/>
      <c r="C66" s="683"/>
      <c r="D66" s="693">
        <f>SUM(D53:D65)</f>
        <v>31</v>
      </c>
      <c r="E66" s="693"/>
      <c r="F66" s="576" t="s">
        <v>232</v>
      </c>
      <c r="G66" s="576">
        <f>COUNTIFS($B$9:$B$39,"ti",[0]!Januar,"Skema 3")</f>
        <v>0</v>
      </c>
      <c r="H66" s="576">
        <v>2</v>
      </c>
      <c r="I66" s="854" t="s">
        <v>569</v>
      </c>
      <c r="J66" s="854"/>
      <c r="K66" s="854"/>
      <c r="L66" s="861"/>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c r="Z66" s="1"/>
      <c r="AX66" s="1"/>
      <c r="BI66" s="455"/>
      <c r="BJ66" s="455"/>
      <c r="CY66"/>
      <c r="CZ66"/>
    </row>
    <row r="67" spans="1:104" hidden="1">
      <c r="A67" s="683" t="s">
        <v>282</v>
      </c>
      <c r="B67" s="683"/>
      <c r="C67" s="683"/>
      <c r="D67" s="693">
        <f>D66-D60-A76-D65</f>
        <v>22</v>
      </c>
      <c r="E67" s="695"/>
      <c r="F67" s="576" t="s">
        <v>233</v>
      </c>
      <c r="G67" s="576">
        <f>COUNTIFS($B$9:$B$39,"on",[0]!Januar,"Skema 3")</f>
        <v>0</v>
      </c>
      <c r="H67" s="576"/>
      <c r="I67" s="854" t="s">
        <v>570</v>
      </c>
      <c r="J67" s="854"/>
      <c r="K67" s="854"/>
      <c r="L67" s="861"/>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s="1"/>
      <c r="AO67" s="1"/>
      <c r="BL67" s="1"/>
      <c r="BW67" s="455"/>
      <c r="BX67" s="455"/>
      <c r="CY67"/>
      <c r="CZ67"/>
    </row>
    <row r="68" spans="1:104" hidden="1">
      <c r="A68" s="576"/>
      <c r="B68" s="576"/>
      <c r="C68" s="576"/>
      <c r="D68" s="694"/>
      <c r="E68" s="576"/>
      <c r="F68" s="576" t="s">
        <v>234</v>
      </c>
      <c r="G68" s="576">
        <f>COUNTIFS($B$9:$B$39,"to",[0]!Januar,"Skema 3")</f>
        <v>0</v>
      </c>
      <c r="H68" s="576"/>
      <c r="I68" s="854" t="s">
        <v>387</v>
      </c>
      <c r="J68" s="854"/>
      <c r="K68" s="854"/>
      <c r="L68" s="863"/>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s="1"/>
      <c r="AO68" s="1"/>
      <c r="BL68" s="1"/>
      <c r="BW68" s="455"/>
      <c r="BX68" s="455"/>
      <c r="CY68"/>
      <c r="CZ68"/>
    </row>
    <row r="69" spans="1:104" hidden="1">
      <c r="A69" s="576"/>
      <c r="B69" s="576"/>
      <c r="C69" s="576"/>
      <c r="D69" s="694"/>
      <c r="E69" s="576"/>
      <c r="F69" s="576" t="s">
        <v>235</v>
      </c>
      <c r="G69" s="576">
        <f>COUNTIFS($B$9:$B$39,"fr",[0]!Januar,"Skema 3")</f>
        <v>0</v>
      </c>
      <c r="H69" s="576">
        <v>1</v>
      </c>
      <c r="I69" s="854" t="s">
        <v>388</v>
      </c>
      <c r="J69" s="854"/>
      <c r="K69" s="854"/>
      <c r="L69" s="863"/>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s="1"/>
      <c r="AO69" s="1"/>
      <c r="BL69" s="1"/>
      <c r="BW69" s="455"/>
      <c r="BX69" s="455"/>
      <c r="CY69"/>
      <c r="CZ69"/>
    </row>
    <row r="70" spans="1:104" hidden="1">
      <c r="A70" s="576" t="s">
        <v>344</v>
      </c>
      <c r="B70" s="576"/>
      <c r="C70" s="576"/>
      <c r="D70" s="694"/>
      <c r="E70" s="694"/>
      <c r="F70" s="576"/>
      <c r="G70" s="576"/>
      <c r="H70" s="576">
        <v>2</v>
      </c>
      <c r="I70" s="854" t="s">
        <v>571</v>
      </c>
      <c r="J70" s="854"/>
      <c r="K70" s="854"/>
      <c r="L70" s="863"/>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s="1"/>
      <c r="AO70" s="1"/>
      <c r="BL70" s="1"/>
      <c r="BW70" s="455"/>
      <c r="BX70" s="455"/>
      <c r="CY70"/>
      <c r="CZ70"/>
    </row>
    <row r="71" spans="1:104" hidden="1">
      <c r="A71" s="576">
        <f>COUNTIF($C$9,"Skema 1")+COUNTIF($C$9,"Skema 2")+COUNTIF($C$9,"Skema 3")+COUNTIF($C$9,"Skema 4")+COUNTIF($C$9,"Fagdag")+COUNTIF($C$9,"Emnedag")+COUNTIF($C$9,"Lejrskole")+COUNTIF($C$9,"Ekskursion")+COUNTIF($C$9,"Pæd.dag")</f>
        <v>0</v>
      </c>
      <c r="B71" s="576"/>
      <c r="C71" s="576"/>
      <c r="D71" s="576"/>
      <c r="E71" s="694"/>
      <c r="F71" s="576" t="s">
        <v>236</v>
      </c>
      <c r="G71" s="576">
        <f>COUNTIFS($B$9:$B$39,"ma",[0]!Januar,"Skema 4")</f>
        <v>0</v>
      </c>
      <c r="H71" s="576"/>
      <c r="I71" s="854" t="s">
        <v>572</v>
      </c>
      <c r="J71" s="854"/>
      <c r="K71" s="854"/>
      <c r="L71" s="863"/>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s="1"/>
      <c r="AO71" s="1"/>
      <c r="BL71" s="1"/>
      <c r="BW71" s="455"/>
      <c r="BX71" s="455"/>
      <c r="CY71"/>
      <c r="CZ71"/>
    </row>
    <row r="72" spans="1:104" hidden="1">
      <c r="A72" s="576">
        <f>COUNTIF($C$15:$C$16,"Skema 1")+COUNTIF($C$15:$C$16,"Skema 2")+COUNTIF($C$15:$C$16,"Skema 3")+COUNTIF($C$15:$C$16,"Skema 4")+COUNTIF($C$15:$C$16,"Fagdag")+COUNTIF($C$15:$C$16,"Emnedag")+COUNTIF($C$15:$C$16,"Lejrskole")+COUNTIF($C$15:$C$16,"Ekskursion")+COUNTIF($C$15:$C$16,"Pæd.dag")</f>
        <v>0</v>
      </c>
      <c r="B72" s="576"/>
      <c r="C72" s="576"/>
      <c r="D72" s="576"/>
      <c r="E72" s="694"/>
      <c r="F72" s="576" t="s">
        <v>237</v>
      </c>
      <c r="G72" s="576">
        <f>COUNTIFS($B$9:$B$39,"ti",[0]!Januar,"Skema 4")</f>
        <v>0</v>
      </c>
      <c r="H72" s="576"/>
      <c r="I72" s="576" t="s">
        <v>568</v>
      </c>
      <c r="J72" s="45"/>
      <c r="K72" s="45"/>
      <c r="L72" s="769"/>
      <c r="M72" s="754">
        <f>IF(Stamoplysninger!$B$26="Der er indgået lokalaftale omkring weekendtimer og weekendtillæg.(Kræver aftale med TR/FSL).",M57,0)</f>
        <v>0</v>
      </c>
      <c r="N72" s="754"/>
      <c r="O72" s="580"/>
      <c r="P72" s="580"/>
      <c r="Q72" s="580"/>
      <c r="R72" s="580"/>
      <c r="S72" s="580"/>
      <c r="T72" s="580"/>
      <c r="V72" s="580"/>
      <c r="X72" s="580"/>
      <c r="Y72"/>
      <c r="Z72" s="1"/>
      <c r="AO72" s="1"/>
      <c r="BL72" s="1"/>
      <c r="BW72" s="455"/>
      <c r="BX72" s="455"/>
      <c r="CY72"/>
      <c r="CZ72"/>
    </row>
    <row r="73" spans="1:104">
      <c r="A73" s="576">
        <f>COUNTIF($C$22:$C$23,"Skema 1")+COUNTIF($C$22:$C$23,"Skema 2")+COUNTIF($C$22:$C$23,"Skema 3")+COUNTIF($C$22:$C$23,"Skema 4")+COUNTIF($C$22:$C$23,"Fagdag")+COUNTIF($C$22:$C$23,"Emnedag")+COUNTIF($C$22:$C$23,"Lejrskole")+COUNTIF($C$22:$C$23,"Ekskursion")+COUNTIF($C$22:$C$23,"Pæd.dag")</f>
        <v>0</v>
      </c>
      <c r="B73" s="576"/>
      <c r="C73" s="576"/>
      <c r="D73" s="576"/>
      <c r="E73" s="694"/>
      <c r="F73" s="576" t="s">
        <v>238</v>
      </c>
      <c r="G73" s="576">
        <f>COUNTIFS($B$9:$B$39,"on",[0]!Januar,"Skema 4")</f>
        <v>0</v>
      </c>
      <c r="H73" s="576"/>
      <c r="I73" s="576"/>
      <c r="J73" s="45"/>
      <c r="K73" s="45"/>
      <c r="L73" s="580"/>
      <c r="M73" s="580"/>
      <c r="N73" s="580"/>
      <c r="O73" s="580"/>
      <c r="P73" s="580"/>
      <c r="Q73" s="580"/>
      <c r="R73" s="580"/>
      <c r="S73" s="580"/>
      <c r="T73" s="580"/>
      <c r="V73" s="580"/>
      <c r="Y73"/>
      <c r="Z73" s="1"/>
      <c r="AO73" s="1"/>
      <c r="BL73" s="1"/>
      <c r="BW73" s="455"/>
      <c r="BX73" s="455"/>
      <c r="CY73"/>
      <c r="CZ73"/>
    </row>
    <row r="74" spans="1:104">
      <c r="A74" s="576">
        <f>COUNTIF($C$29:$C$30,"Skema 1")+COUNTIF($C$29:$C$30,"Skema 2")+COUNTIF($C$29:$C$30,"Skema 3")+COUNTIF($C$29:$C$30,"Skema 4")+COUNTIF($C$29:$C$30,"Fagdag")+COUNTIF($C$29:$C$30,"Emnedag")+COUNTIF($C$29:$C$30,"Lejrskole")+COUNTIF($C$29:$C$30,"Ekskursion")+COUNTIF($C$29:$C$30,"Pæd.dag")</f>
        <v>0</v>
      </c>
      <c r="B74" s="576"/>
      <c r="C74" s="576"/>
      <c r="D74" s="576"/>
      <c r="E74" s="694"/>
      <c r="F74" s="576" t="s">
        <v>239</v>
      </c>
      <c r="G74" s="576">
        <f>COUNTIFS($B$9:$B$39,"to",[0]!Januar,"Skema 4")</f>
        <v>0</v>
      </c>
      <c r="H74" s="576"/>
      <c r="I74" s="576"/>
      <c r="J74" s="45"/>
      <c r="K74" s="45"/>
      <c r="L74" s="580"/>
      <c r="M74" s="580"/>
      <c r="N74" s="580"/>
      <c r="O74" s="580"/>
      <c r="P74" s="580"/>
      <c r="Q74" s="580"/>
      <c r="R74" s="580"/>
      <c r="S74" s="580"/>
      <c r="T74" s="580"/>
      <c r="V74" s="580"/>
      <c r="Y74"/>
      <c r="Z74"/>
      <c r="AO74" s="1">
        <f>SUM(N74:AN74)</f>
        <v>0</v>
      </c>
      <c r="BL74" s="1">
        <f>SUM(AI74:BK74)</f>
        <v>0</v>
      </c>
      <c r="BW74" s="455"/>
      <c r="BX74" s="455"/>
      <c r="CY74"/>
      <c r="CZ74"/>
    </row>
    <row r="75" spans="1:104">
      <c r="A75" s="576">
        <f>COUNTIF($C$36:$C$37,"Skema 1")+COUNTIF($C$36:$C$37,"Skema 2")+COUNTIF($C$36:$C$37,"Skema 3")+COUNTIF($C$36:$C$37,"Skema 4")+COUNTIF($C$36:$C$37,"Fagdag")+COUNTIF($C$36:$C$37,"Emnedag")+COUNTIF($C$36:$C$37,"Lejrskole")+COUNTIF($C$36:$C$37,"Ekskursion")+COUNTIF($C$36:$C$37,"Pæd.dag")</f>
        <v>0</v>
      </c>
      <c r="B75" s="576"/>
      <c r="C75" s="576"/>
      <c r="D75" s="576"/>
      <c r="E75" s="694"/>
      <c r="F75" s="576" t="s">
        <v>240</v>
      </c>
      <c r="G75" s="576">
        <f>COUNTIFS($B$9:$B$39,"fr",[0]!Januar,"Skema 4")</f>
        <v>0</v>
      </c>
      <c r="H75" s="576"/>
      <c r="I75" s="45"/>
      <c r="J75" s="45"/>
      <c r="K75" s="45"/>
      <c r="L75" s="580"/>
      <c r="M75" s="580"/>
      <c r="N75" s="580"/>
      <c r="O75" s="580"/>
      <c r="P75" s="580"/>
      <c r="Q75" s="580"/>
      <c r="R75" s="580"/>
      <c r="S75" s="580"/>
      <c r="T75" s="580"/>
      <c r="V75" s="580"/>
      <c r="Y75"/>
      <c r="Z75"/>
      <c r="AO75" s="1">
        <f>SUM(N75:AN75)</f>
        <v>0</v>
      </c>
      <c r="BL75" s="1">
        <f>SUM(AI75:BK75)</f>
        <v>0</v>
      </c>
      <c r="BW75" s="455"/>
      <c r="BX75" s="455"/>
      <c r="CY75"/>
      <c r="CZ75"/>
    </row>
    <row r="76" spans="1:104">
      <c r="A76" s="576">
        <f>SUM(A71:A75)</f>
        <v>0</v>
      </c>
      <c r="B76" s="576"/>
      <c r="C76" s="576"/>
      <c r="D76" s="576"/>
      <c r="E76" s="694"/>
      <c r="F76" s="694"/>
      <c r="G76" s="697">
        <f>SUM(G53:G75)</f>
        <v>14</v>
      </c>
      <c r="H76" s="45"/>
      <c r="I76" s="45"/>
      <c r="J76" s="45"/>
      <c r="K76" s="45"/>
      <c r="Y76"/>
      <c r="Z76"/>
      <c r="AO76" s="1">
        <f>SUM(N76:AN76)</f>
        <v>0</v>
      </c>
      <c r="BL76" s="1">
        <f>SUM(AI76:BK76)</f>
        <v>0</v>
      </c>
      <c r="BW76" s="455"/>
      <c r="BX76" s="455"/>
      <c r="CY76"/>
      <c r="CZ76"/>
    </row>
    <row r="77" spans="1:104">
      <c r="A77" s="696"/>
      <c r="B77" s="696"/>
      <c r="C77" s="696"/>
      <c r="D77" s="696"/>
      <c r="E77" s="694"/>
      <c r="F77" s="694"/>
      <c r="G77" s="694"/>
      <c r="H77" s="45"/>
      <c r="I77" s="45"/>
      <c r="J77" s="45"/>
      <c r="K77" s="45"/>
      <c r="Y77"/>
      <c r="Z77"/>
      <c r="AO77" s="1">
        <f>SUM(N77:AN77)</f>
        <v>0</v>
      </c>
      <c r="BL77" s="1">
        <f>SUM(AI77:BK77)</f>
        <v>0</v>
      </c>
      <c r="BW77" s="455"/>
      <c r="BX77" s="455"/>
      <c r="CY77"/>
      <c r="CZ77"/>
    </row>
    <row r="78" spans="1:104">
      <c r="A78" s="779"/>
      <c r="B78" s="779"/>
      <c r="C78" s="779"/>
      <c r="D78" s="779"/>
      <c r="E78" s="777"/>
      <c r="F78" s="777"/>
      <c r="G78" s="777"/>
      <c r="H78" s="769"/>
      <c r="I78" s="769"/>
      <c r="J78" s="769"/>
      <c r="K78" s="769"/>
      <c r="Y78"/>
      <c r="Z78"/>
      <c r="BW78" s="455"/>
      <c r="BX78" s="455"/>
      <c r="CY78"/>
      <c r="CZ78"/>
    </row>
    <row r="79" spans="1:104">
      <c r="A79" s="769"/>
      <c r="B79" s="769"/>
      <c r="C79" s="769"/>
      <c r="D79" s="769"/>
      <c r="E79" s="777"/>
      <c r="F79" s="777"/>
      <c r="G79" s="777"/>
      <c r="H79" s="769"/>
      <c r="I79" s="769"/>
      <c r="J79" s="769"/>
      <c r="K79" s="769"/>
      <c r="Y79"/>
      <c r="Z79"/>
      <c r="BW79" s="455"/>
      <c r="BX79" s="455"/>
      <c r="CY79"/>
      <c r="CZ79"/>
    </row>
    <row r="80" spans="1:104">
      <c r="A80" s="769"/>
      <c r="B80" s="769"/>
      <c r="C80" s="769"/>
      <c r="D80" s="769"/>
      <c r="E80" s="777"/>
      <c r="F80" s="777"/>
      <c r="G80" s="777"/>
      <c r="H80" s="769"/>
      <c r="I80" s="769"/>
      <c r="J80" s="769"/>
      <c r="K80" s="769"/>
      <c r="Y80"/>
      <c r="Z80"/>
      <c r="BW80" s="455"/>
      <c r="BX80" s="455"/>
      <c r="CY80"/>
      <c r="CZ80"/>
    </row>
    <row r="81" spans="1:111">
      <c r="A81" s="769"/>
      <c r="B81" s="769"/>
      <c r="C81" s="769"/>
      <c r="D81" s="769"/>
      <c r="E81" s="188"/>
      <c r="F81" s="777"/>
      <c r="G81" s="777"/>
      <c r="H81" s="769"/>
      <c r="I81" s="769"/>
      <c r="J81" s="769"/>
      <c r="K81" s="769"/>
      <c r="Y81"/>
      <c r="Z81"/>
      <c r="BW81" s="455"/>
      <c r="BX81" s="455"/>
      <c r="CY81"/>
      <c r="CZ81"/>
    </row>
    <row r="82" spans="1:111">
      <c r="E82" s="105"/>
      <c r="F82" s="109"/>
      <c r="G82" s="109"/>
      <c r="Y82"/>
      <c r="Z82"/>
      <c r="AF82" s="424"/>
      <c r="BW82" s="455"/>
      <c r="BX82" s="455"/>
      <c r="CY82"/>
      <c r="CZ82"/>
    </row>
    <row r="83" spans="1:111">
      <c r="E83" s="105"/>
      <c r="F83" s="109"/>
      <c r="G83" s="109"/>
      <c r="Y83"/>
      <c r="Z83"/>
      <c r="AD83" s="406"/>
      <c r="AE83" s="424"/>
      <c r="AF83" s="424"/>
      <c r="AG83" s="424"/>
      <c r="AH83" s="424"/>
      <c r="CY83"/>
      <c r="CZ83"/>
      <c r="DF83" s="455"/>
      <c r="DG83" s="455"/>
    </row>
    <row r="84" spans="1:111">
      <c r="E84" s="105"/>
      <c r="F84" s="109"/>
      <c r="G84" s="109"/>
      <c r="Y84"/>
      <c r="Z84"/>
      <c r="AD84" s="406"/>
      <c r="AE84" s="424"/>
      <c r="AG84" s="424"/>
      <c r="AH84" s="424"/>
      <c r="CY84"/>
      <c r="CZ84"/>
      <c r="DF84" s="455"/>
      <c r="DG84" s="455"/>
    </row>
    <row r="85" spans="1:111">
      <c r="E85" s="105"/>
      <c r="F85" s="105"/>
      <c r="G85" s="105"/>
    </row>
    <row r="86" spans="1:111">
      <c r="E86" s="105"/>
      <c r="F86" s="105"/>
      <c r="G86" s="105"/>
    </row>
  </sheetData>
  <sheetProtection sheet="1" objects="1" scenarios="1"/>
  <mergeCells count="117">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M43:U43"/>
    <mergeCell ref="V43:X43"/>
    <mergeCell ref="M44:U44"/>
    <mergeCell ref="V44:X44"/>
    <mergeCell ref="M45:U45"/>
    <mergeCell ref="V45:X45"/>
    <mergeCell ref="M46:U46"/>
    <mergeCell ref="V46:X46"/>
    <mergeCell ref="A49:H49"/>
    <mergeCell ref="I49:K49"/>
    <mergeCell ref="A50:H50"/>
    <mergeCell ref="I50:K50"/>
    <mergeCell ref="A46:G46"/>
    <mergeCell ref="I46:K46"/>
    <mergeCell ref="A47:G47"/>
    <mergeCell ref="I47:K47"/>
    <mergeCell ref="A44:G44"/>
    <mergeCell ref="I51:K51"/>
    <mergeCell ref="M51:U51"/>
    <mergeCell ref="V51:X51"/>
    <mergeCell ref="A56:C56"/>
    <mergeCell ref="M55:U55"/>
    <mergeCell ref="V55:X55"/>
    <mergeCell ref="A54:C54"/>
    <mergeCell ref="A55:C55"/>
    <mergeCell ref="M53:U53"/>
    <mergeCell ref="V53:X53"/>
    <mergeCell ref="M54:U54"/>
    <mergeCell ref="V54:X54"/>
    <mergeCell ref="M52:U52"/>
    <mergeCell ref="V52:X52"/>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S5:X5"/>
    <mergeCell ref="A3:X3"/>
  </mergeCells>
  <conditionalFormatting sqref="E20">
    <cfRule type="expression" dxfId="670" priority="56">
      <formula>OR($D19="pæd.dag")</formula>
    </cfRule>
    <cfRule type="expression" dxfId="669" priority="57">
      <formula>OR($D19="nul-dag")</formula>
    </cfRule>
    <cfRule type="expression" dxfId="668" priority="58">
      <formula>OR($D19="SH-dag")</formula>
    </cfRule>
    <cfRule type="expression" dxfId="667" priority="59">
      <formula>OR($D19="ekskursion")</formula>
    </cfRule>
    <cfRule type="expression" dxfId="666" priority="60">
      <formula>OR($D19="lejrskole")</formula>
    </cfRule>
    <cfRule type="expression" dxfId="665" priority="61">
      <formula>OR($D19="emnedag")</formula>
    </cfRule>
    <cfRule type="expression" dxfId="664" priority="62">
      <formula>OR($D19="fagdag")</formula>
    </cfRule>
    <cfRule type="expression" dxfId="663" priority="63">
      <formula>OR($D19="feriedag")</formula>
    </cfRule>
    <cfRule type="expression" dxfId="662" priority="64">
      <formula>OR($D19="weekend")</formula>
    </cfRule>
    <cfRule type="expression" dxfId="661" priority="65" stopIfTrue="1">
      <formula>OR($D19="skoledag")</formula>
    </cfRule>
  </conditionalFormatting>
  <conditionalFormatting sqref="E20">
    <cfRule type="expression" dxfId="660" priority="66">
      <formula>OR($D19="Ikke relevant")</formula>
    </cfRule>
  </conditionalFormatting>
  <conditionalFormatting sqref="K9:M39">
    <cfRule type="expression" dxfId="659" priority="36">
      <formula>OR($C9="fagdag",)</formula>
    </cfRule>
    <cfRule type="expression" dxfId="658" priority="37">
      <formula>OR($C9="emnedag",)</formula>
    </cfRule>
  </conditionalFormatting>
  <conditionalFormatting sqref="K9:K39">
    <cfRule type="expression" dxfId="657" priority="38">
      <formula>OR($C9="Pæd.dag",)</formula>
    </cfRule>
  </conditionalFormatting>
  <conditionalFormatting sqref="K9:L39">
    <cfRule type="expression" dxfId="656" priority="39">
      <formula>OR($C9="Lejrskole",)</formula>
    </cfRule>
    <cfRule type="expression" dxfId="655" priority="40">
      <formula>OR($C9="Ekskursion",)</formula>
    </cfRule>
  </conditionalFormatting>
  <conditionalFormatting sqref="R9:R39">
    <cfRule type="expression" dxfId="654" priority="67">
      <formula>OR($H9&gt;"0",)</formula>
    </cfRule>
  </conditionalFormatting>
  <conditionalFormatting sqref="A9:H39">
    <cfRule type="expression" dxfId="653" priority="41">
      <formula>OR($C9="Skema 1")</formula>
    </cfRule>
    <cfRule type="expression" dxfId="652" priority="42">
      <formula>OR($C9="skema 2")</formula>
    </cfRule>
    <cfRule type="expression" dxfId="651" priority="43">
      <formula>OR($C9="Skema 3")</formula>
    </cfRule>
    <cfRule type="expression" dxfId="650" priority="44">
      <formula>OR($C9="Skema 4")</formula>
    </cfRule>
    <cfRule type="expression" dxfId="649" priority="45">
      <formula>OR($C9="Ikke relevant")</formula>
    </cfRule>
    <cfRule type="expression" dxfId="648" priority="46">
      <formula>OR($C9="pæd.dag")</formula>
    </cfRule>
    <cfRule type="expression" dxfId="647" priority="47">
      <formula>OR($C9="nul-dag")</formula>
    </cfRule>
    <cfRule type="expression" dxfId="646" priority="48">
      <formula>OR($C9="SH-dag")</formula>
    </cfRule>
    <cfRule type="expression" dxfId="645" priority="49">
      <formula>OR($C9="ekskursion")</formula>
    </cfRule>
    <cfRule type="expression" dxfId="644" priority="50">
      <formula>OR($C9="lejrskole")</formula>
    </cfRule>
    <cfRule type="expression" dxfId="643" priority="51">
      <formula>OR($C9="emnedag")</formula>
    </cfRule>
    <cfRule type="expression" dxfId="642" priority="52">
      <formula>OR($C9="fagdag")</formula>
    </cfRule>
    <cfRule type="expression" dxfId="641" priority="53">
      <formula>OR($C9="feriedag")</formula>
    </cfRule>
    <cfRule type="expression" dxfId="640" priority="54">
      <formula>OR($C9="weekend")</formula>
    </cfRule>
    <cfRule type="expression" dxfId="639" priority="55" stopIfTrue="1">
      <formula>OR($C9="Orlov")</formula>
    </cfRule>
  </conditionalFormatting>
  <conditionalFormatting sqref="V9:V39">
    <cfRule type="expression" dxfId="638" priority="3">
      <formula>OR($S9="X",)</formula>
    </cfRule>
  </conditionalFormatting>
  <conditionalFormatting sqref="W9:W39">
    <cfRule type="expression" dxfId="637" priority="2">
      <formula>OR($T9="X",)</formula>
    </cfRule>
  </conditionalFormatting>
  <conditionalFormatting sqref="X9:X39">
    <cfRule type="expression" dxfId="636" priority="1">
      <formula>OR($U9="X",)</formula>
    </cfRule>
  </conditionalFormatting>
  <dataValidations count="3">
    <dataValidation type="list" allowBlank="1" showInputMessage="1" showErrorMessage="1" sqref="S9:T39 U9:U37"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5:I16 I22:I23 I29:I30 I36:I37 I9"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August!$A$79:$A$93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HC83"/>
  <sheetViews>
    <sheetView zoomScale="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113"/>
      <c r="Y1"/>
      <c r="Z1" s="113"/>
      <c r="AB1" s="113"/>
      <c r="AC1" s="113"/>
      <c r="AH1" s="113"/>
      <c r="AI1" s="113"/>
      <c r="CX1" s="455"/>
      <c r="CZ1"/>
    </row>
    <row r="2" spans="1:211" ht="20">
      <c r="A2" s="155">
        <v>2</v>
      </c>
      <c r="B2" s="1180"/>
      <c r="C2" s="1180"/>
      <c r="D2" s="1180"/>
      <c r="E2" s="1180"/>
      <c r="F2" s="113"/>
      <c r="G2" s="113"/>
      <c r="H2" s="505"/>
      <c r="I2" s="504"/>
      <c r="J2" s="423"/>
      <c r="K2" s="423"/>
      <c r="L2" s="423"/>
      <c r="M2" s="423"/>
      <c r="N2" s="423"/>
      <c r="O2" s="423"/>
      <c r="P2" s="113"/>
      <c r="Q2" s="113"/>
      <c r="R2" s="113"/>
      <c r="S2" s="113"/>
      <c r="T2" s="113"/>
      <c r="U2" s="113"/>
      <c r="V2" s="113"/>
      <c r="W2" s="299" t="s">
        <v>31</v>
      </c>
      <c r="X2" s="299"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Februar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483</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5" customHeight="1">
      <c r="A7" s="1078" t="s">
        <v>333</v>
      </c>
      <c r="B7" s="1079"/>
      <c r="C7" s="1079"/>
      <c r="D7" s="1080"/>
      <c r="E7" s="1095"/>
      <c r="F7" s="1096"/>
      <c r="G7" s="1097"/>
      <c r="H7" s="1087" t="s">
        <v>395</v>
      </c>
      <c r="I7" s="1077"/>
      <c r="J7" s="1459"/>
      <c r="K7" s="568" t="s">
        <v>356</v>
      </c>
      <c r="L7" s="568" t="s">
        <v>357</v>
      </c>
      <c r="M7" s="885" t="s">
        <v>624</v>
      </c>
      <c r="N7" s="1059"/>
      <c r="O7" s="1059"/>
      <c r="P7" s="1059"/>
      <c r="Q7" s="1059"/>
      <c r="R7" s="1193"/>
      <c r="S7" s="569" t="s">
        <v>635</v>
      </c>
      <c r="T7" s="567" t="s">
        <v>362</v>
      </c>
      <c r="U7" s="567" t="s">
        <v>487</v>
      </c>
      <c r="V7" s="766" t="s">
        <v>540</v>
      </c>
      <c r="W7" s="766" t="s">
        <v>539</v>
      </c>
      <c r="X7" s="767" t="s">
        <v>484</v>
      </c>
      <c r="Y7" s="385" t="s">
        <v>328</v>
      </c>
      <c r="Z7" s="758"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177" t="s">
        <v>469</v>
      </c>
      <c r="W8" s="1178"/>
      <c r="X8" s="1179"/>
      <c r="Y8" s="385"/>
      <c r="Z8" s="758"/>
      <c r="AA8" s="531"/>
      <c r="BB8" s="420"/>
      <c r="CA8" s="180"/>
      <c r="CB8" s="430"/>
      <c r="CC8" s="531"/>
      <c r="CX8" s="455"/>
      <c r="DA8" s="455"/>
      <c r="DB8" s="455"/>
      <c r="DC8" s="455"/>
      <c r="DD8" s="455"/>
      <c r="DE8" s="455"/>
      <c r="DF8" s="455"/>
      <c r="DG8" s="455"/>
    </row>
    <row r="9" spans="1:211">
      <c r="A9" s="443">
        <f>IF(ISNUMBER(A7),A7+1,1)</f>
        <v>1</v>
      </c>
      <c r="B9" s="218" t="str">
        <f t="shared" ref="B9:B36" si="0">CHOOSE(MOD(WEEKDAY(DATE(A$6,A$2,A9)),7)+1,"lø","sø","ma","ti","on","to","fr",)</f>
        <v>on</v>
      </c>
      <c r="C9" s="219" t="s">
        <v>242</v>
      </c>
      <c r="D9" s="220" t="str">
        <f t="shared" ref="D9:D36" si="1">IF(B9="ma",(DATE(A$6,A$2,A9)-DATE(A$6,1,1)+7)/7,"")</f>
        <v/>
      </c>
      <c r="E9" s="906"/>
      <c r="F9" s="907"/>
      <c r="G9" s="908"/>
      <c r="H9" s="526"/>
      <c r="I9" s="855"/>
      <c r="J9" s="726"/>
      <c r="K9" s="669"/>
      <c r="L9" s="669"/>
      <c r="M9" s="669"/>
      <c r="N9" s="557">
        <f>BA9</f>
        <v>8</v>
      </c>
      <c r="O9" s="557">
        <f>CA9</f>
        <v>3</v>
      </c>
      <c r="P9" s="557">
        <f>IF(Stamoplysninger!$H$29="JA",Februar!DG9,CX9)</f>
        <v>0.5</v>
      </c>
      <c r="Q9" s="557">
        <f>IF(OR(C9="Lejrskole",C9="Ekskursion"),0,N9-O9-P9)</f>
        <v>4.5</v>
      </c>
      <c r="R9" s="558"/>
      <c r="S9" s="564"/>
      <c r="T9" s="565"/>
      <c r="U9" s="565"/>
      <c r="V9" s="753"/>
      <c r="W9" s="559"/>
      <c r="X9" s="760"/>
      <c r="Y9">
        <f>IF($S$9="x",V9-N9,0)</f>
        <v>0</v>
      </c>
      <c r="Z9" s="759">
        <f>W9</f>
        <v>0</v>
      </c>
      <c r="AA9" s="1">
        <f t="shared" ref="AA9:AA36" si="2">IF(C9="emnedag",K9,0)</f>
        <v>0</v>
      </c>
      <c r="AB9" s="1">
        <f t="shared" ref="AB9:AB36" si="3">IF(C9="fagdag",K9,0)</f>
        <v>0</v>
      </c>
      <c r="AC9" s="1">
        <f t="shared" ref="AC9:AC36" si="4">IF(C9="Pæd.dag",K9,0)</f>
        <v>0</v>
      </c>
      <c r="AD9" s="1">
        <f t="shared" ref="AD9:AD36" si="5">IF(C9="Ekskursion",K9,0)</f>
        <v>0</v>
      </c>
      <c r="AE9" s="1">
        <f t="shared" ref="AE9:AE36" si="6">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f>IF(AND(C9="Skema 2",B9="on"),Arbejdstidsoversigt!$E$55,"")</f>
        <v>8</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6" si="7">SUM(AG9:AK9)*24</f>
        <v>0</v>
      </c>
      <c r="BC9" s="1">
        <f>IF($C$9="Lejrskole",$L$9,0)</f>
        <v>0</v>
      </c>
      <c r="BD9" s="1">
        <f t="shared" ref="BD9:BD36" si="8">IF(C9="Ekskursion",L9,0)</f>
        <v>0</v>
      </c>
      <c r="BE9" s="1">
        <f t="shared" ref="BE9:BE36" si="9">IF(C9="fagdag",L9,0)</f>
        <v>0</v>
      </c>
      <c r="BF9" s="1">
        <f t="shared" ref="BF9:BF36" si="10">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f>IF(AND(C9="Skema 2",B9="on"),Skemaoplysninger!$Q$28,"")</f>
        <v>0.125</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3</v>
      </c>
      <c r="CB9" s="1">
        <f t="shared" ref="CB9:CB36" si="11">IF(C9="fagdag",M9,0)</f>
        <v>0</v>
      </c>
      <c r="CC9" s="1">
        <f t="shared" ref="CC9:CC36" si="12">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f>IF(AND(C9="Skema 2",B9="on"),Skemaoplysninger!$Q$37,"")</f>
        <v>0.5</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0.5</v>
      </c>
      <c r="CY9" s="457">
        <f>IF(C9="Skema 1",Stamoplysninger!$H$30/200,0)</f>
        <v>0</v>
      </c>
      <c r="CZ9" s="457">
        <f>IF(C9="Skema 2",Stamoplysninger!$H$30/200,0)</f>
        <v>1</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6" si="13">IF(ISNUMBER(A9),A9+1,1)</f>
        <v>2</v>
      </c>
      <c r="B10" s="218" t="str">
        <f t="shared" si="0"/>
        <v>to</v>
      </c>
      <c r="C10" s="219" t="s">
        <v>242</v>
      </c>
      <c r="D10" s="220" t="str">
        <f t="shared" si="1"/>
        <v/>
      </c>
      <c r="E10" s="906"/>
      <c r="F10" s="907"/>
      <c r="G10" s="908"/>
      <c r="H10" s="526"/>
      <c r="I10" s="855"/>
      <c r="J10" s="726"/>
      <c r="K10" s="669"/>
      <c r="L10" s="669"/>
      <c r="M10" s="669"/>
      <c r="N10" s="557">
        <f t="shared" ref="N10:N36" si="14">BA10</f>
        <v>8</v>
      </c>
      <c r="O10" s="557">
        <f t="shared" ref="O10:O36" si="15">CA10</f>
        <v>3</v>
      </c>
      <c r="P10" s="557">
        <f>IF(Stamoplysninger!$H$29="JA",Februar!DG10,CX10)</f>
        <v>0.5</v>
      </c>
      <c r="Q10" s="557">
        <f t="shared" ref="Q10:Q36" si="16">IF(OR(C10="Lejrskole",C10="Ekskursion"),0,N10-O10-P10)</f>
        <v>4.5</v>
      </c>
      <c r="R10" s="558"/>
      <c r="S10" s="564"/>
      <c r="T10" s="565"/>
      <c r="U10" s="565"/>
      <c r="V10" s="753"/>
      <c r="W10" s="559"/>
      <c r="X10" s="760"/>
      <c r="Y10">
        <f t="shared" ref="Y10:Y36" si="17">IF(S10="x",V10-N10,0)</f>
        <v>0</v>
      </c>
      <c r="Z10" s="759">
        <f t="shared" ref="Z10:Z36" si="18">W10</f>
        <v>0</v>
      </c>
      <c r="AA10" s="1">
        <f t="shared" si="2"/>
        <v>0</v>
      </c>
      <c r="AB10" s="1">
        <f t="shared" si="3"/>
        <v>0</v>
      </c>
      <c r="AC10" s="1">
        <f t="shared" si="4"/>
        <v>0</v>
      </c>
      <c r="AD10" s="1">
        <f t="shared" si="5"/>
        <v>0</v>
      </c>
      <c r="AE10" s="1">
        <f t="shared" si="6"/>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f>IF(AND(C10="Skema 2",B10="to"),Arbejdstidsoversigt!$E$56,"")</f>
        <v>8</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6" si="19">SUM(AA10:AZ10)</f>
        <v>8</v>
      </c>
      <c r="BB10" s="421">
        <f t="shared" si="7"/>
        <v>0</v>
      </c>
      <c r="BC10" s="1">
        <f t="shared" ref="BC10:BC36" si="20">IF(C10="Lejrskole",L10,0)</f>
        <v>0</v>
      </c>
      <c r="BD10" s="1">
        <f t="shared" si="8"/>
        <v>0</v>
      </c>
      <c r="BE10" s="1">
        <f t="shared" si="9"/>
        <v>0</v>
      </c>
      <c r="BF10" s="1">
        <f t="shared" si="10"/>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f>IF(AND(C10="Skema 2",B10="to"),Skemaoplysninger!$R$28,"")</f>
        <v>0.125</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6" si="21">SUM(BG10:BZ10)*24+SUM(BC10:BF10)</f>
        <v>3</v>
      </c>
      <c r="CB10" s="1">
        <f t="shared" si="11"/>
        <v>0</v>
      </c>
      <c r="CC10" s="1">
        <f t="shared" si="12"/>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f>IF(AND(C10="Skema 2",B10="to"),Skemaoplysninger!$R$37,"")</f>
        <v>0.5</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0.5</v>
      </c>
      <c r="CY10" s="457">
        <f>IF(C10="Skema 1",Stamoplysninger!$H$30/200,0)</f>
        <v>0</v>
      </c>
      <c r="CZ10" s="457">
        <f>IF(C10="Skema 2",Stamoplysninger!$H$30/200,0)</f>
        <v>1</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6" si="22">SUM(CY10:DF10)</f>
        <v>1</v>
      </c>
    </row>
    <row r="11" spans="1:211">
      <c r="A11" s="443">
        <f t="shared" si="13"/>
        <v>3</v>
      </c>
      <c r="B11" s="218" t="str">
        <f t="shared" si="0"/>
        <v>fr</v>
      </c>
      <c r="C11" s="219" t="s">
        <v>242</v>
      </c>
      <c r="D11" s="220" t="str">
        <f t="shared" si="1"/>
        <v/>
      </c>
      <c r="E11" s="906"/>
      <c r="F11" s="907"/>
      <c r="G11" s="908"/>
      <c r="H11" s="526"/>
      <c r="I11" s="855"/>
      <c r="J11" s="726"/>
      <c r="K11" s="669"/>
      <c r="L11" s="669"/>
      <c r="M11" s="669"/>
      <c r="N11" s="557">
        <f t="shared" si="14"/>
        <v>6.5</v>
      </c>
      <c r="O11" s="557">
        <f t="shared" si="15"/>
        <v>3</v>
      </c>
      <c r="P11" s="557">
        <f>IF(Stamoplysninger!$H$29="JA",Februar!DG11,CX11)</f>
        <v>0.5</v>
      </c>
      <c r="Q11" s="557">
        <f t="shared" si="16"/>
        <v>3</v>
      </c>
      <c r="R11" s="558"/>
      <c r="S11" s="564"/>
      <c r="T11" s="565"/>
      <c r="U11" s="565"/>
      <c r="V11" s="753"/>
      <c r="W11" s="559"/>
      <c r="X11" s="760"/>
      <c r="Y11">
        <f t="shared" si="17"/>
        <v>0</v>
      </c>
      <c r="Z11" s="759">
        <f t="shared" si="18"/>
        <v>0</v>
      </c>
      <c r="AA11" s="1">
        <f t="shared" si="2"/>
        <v>0</v>
      </c>
      <c r="AB11" s="1">
        <f t="shared" si="3"/>
        <v>0</v>
      </c>
      <c r="AC11" s="1">
        <f t="shared" si="4"/>
        <v>0</v>
      </c>
      <c r="AD11" s="1">
        <f t="shared" si="5"/>
        <v>0</v>
      </c>
      <c r="AE11" s="1">
        <f t="shared" si="6"/>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f>IF(AND(C11="Skema 2",B11="fr"),Arbejdstidsoversigt!$E$57,"")</f>
        <v>6.5</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6.5</v>
      </c>
      <c r="BB11" s="421">
        <f t="shared" si="7"/>
        <v>0</v>
      </c>
      <c r="BC11" s="1">
        <f t="shared" si="20"/>
        <v>0</v>
      </c>
      <c r="BD11" s="1">
        <f t="shared" si="8"/>
        <v>0</v>
      </c>
      <c r="BE11" s="1">
        <f t="shared" si="9"/>
        <v>0</v>
      </c>
      <c r="BF11" s="1">
        <f t="shared" si="10"/>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f>IF(AND(C11="Skema 2",B11="fr"),Skemaoplysninger!$S$28,"")</f>
        <v>0.125</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3</v>
      </c>
      <c r="CB11" s="1">
        <f t="shared" si="11"/>
        <v>0</v>
      </c>
      <c r="CC11" s="1">
        <f t="shared" si="12"/>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f>IF(AND(C11="Skema 2",B11="fr"),Skemaoplysninger!$S$37,"")</f>
        <v>0.5</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0.5</v>
      </c>
      <c r="CY11" s="457">
        <f>IF(C11="Skema 1",Stamoplysninger!$H$30/200,0)</f>
        <v>0</v>
      </c>
      <c r="CZ11" s="457">
        <f>IF(C11="Skema 2",Stamoplysninger!$H$30/200,0)</f>
        <v>1</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1</v>
      </c>
    </row>
    <row r="12" spans="1:211">
      <c r="A12" s="443">
        <f t="shared" si="13"/>
        <v>4</v>
      </c>
      <c r="B12" s="218" t="str">
        <f t="shared" si="0"/>
        <v>lø</v>
      </c>
      <c r="C12" s="219" t="s">
        <v>138</v>
      </c>
      <c r="D12" s="220" t="str">
        <f t="shared" si="1"/>
        <v/>
      </c>
      <c r="E12" s="906"/>
      <c r="F12" s="907"/>
      <c r="G12" s="908"/>
      <c r="H12" s="526"/>
      <c r="I12" s="726"/>
      <c r="J12" s="726"/>
      <c r="K12" s="669"/>
      <c r="L12" s="669"/>
      <c r="M12" s="669"/>
      <c r="N12" s="557">
        <f t="shared" si="14"/>
        <v>0</v>
      </c>
      <c r="O12" s="557">
        <f t="shared" si="15"/>
        <v>0</v>
      </c>
      <c r="P12" s="557">
        <f>IF(Stamoplysninger!$H$29="JA",Februar!DG12,CX12)</f>
        <v>0</v>
      </c>
      <c r="Q12" s="557">
        <f t="shared" si="16"/>
        <v>0</v>
      </c>
      <c r="R12" s="558"/>
      <c r="S12" s="564"/>
      <c r="T12" s="565"/>
      <c r="U12" s="565"/>
      <c r="V12" s="753"/>
      <c r="W12" s="559"/>
      <c r="X12" s="760"/>
      <c r="Y12">
        <f t="shared" si="17"/>
        <v>0</v>
      </c>
      <c r="Z12" s="759">
        <f t="shared" si="18"/>
        <v>0</v>
      </c>
      <c r="AA12" s="1">
        <f t="shared" si="2"/>
        <v>0</v>
      </c>
      <c r="AB12" s="1">
        <f t="shared" si="3"/>
        <v>0</v>
      </c>
      <c r="AC12" s="1">
        <f t="shared" si="4"/>
        <v>0</v>
      </c>
      <c r="AD12" s="1">
        <f t="shared" si="5"/>
        <v>0</v>
      </c>
      <c r="AE12" s="1">
        <f t="shared" si="6"/>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7"/>
        <v>0</v>
      </c>
      <c r="BC12" s="1">
        <f t="shared" si="20"/>
        <v>0</v>
      </c>
      <c r="BD12" s="1">
        <f t="shared" si="8"/>
        <v>0</v>
      </c>
      <c r="BE12" s="1">
        <f t="shared" si="9"/>
        <v>0</v>
      </c>
      <c r="BF12" s="1">
        <f t="shared" si="10"/>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1"/>
        <v>0</v>
      </c>
      <c r="CC12" s="1">
        <f t="shared" si="12"/>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3"/>
        <v>5</v>
      </c>
      <c r="B13" s="218" t="str">
        <f t="shared" si="0"/>
        <v>sø</v>
      </c>
      <c r="C13" s="219" t="s">
        <v>138</v>
      </c>
      <c r="D13" s="220" t="str">
        <f t="shared" si="1"/>
        <v/>
      </c>
      <c r="E13" s="906"/>
      <c r="F13" s="907"/>
      <c r="G13" s="908"/>
      <c r="H13" s="526"/>
      <c r="I13" s="726"/>
      <c r="J13" s="726"/>
      <c r="K13" s="669"/>
      <c r="L13" s="669"/>
      <c r="M13" s="669"/>
      <c r="N13" s="557">
        <f t="shared" si="14"/>
        <v>0</v>
      </c>
      <c r="O13" s="557">
        <f t="shared" si="15"/>
        <v>0</v>
      </c>
      <c r="P13" s="557">
        <f>IF(Stamoplysninger!$H$29="JA",Februar!DG13,CX13)</f>
        <v>0</v>
      </c>
      <c r="Q13" s="557">
        <f t="shared" si="16"/>
        <v>0</v>
      </c>
      <c r="R13" s="558"/>
      <c r="S13" s="564"/>
      <c r="T13" s="565"/>
      <c r="U13" s="565"/>
      <c r="V13" s="753"/>
      <c r="W13" s="559"/>
      <c r="X13" s="760"/>
      <c r="Y13">
        <f t="shared" si="17"/>
        <v>0</v>
      </c>
      <c r="Z13" s="759">
        <f t="shared" si="18"/>
        <v>0</v>
      </c>
      <c r="AA13" s="1">
        <f t="shared" si="2"/>
        <v>0</v>
      </c>
      <c r="AB13" s="1">
        <f t="shared" si="3"/>
        <v>0</v>
      </c>
      <c r="AC13" s="1">
        <f t="shared" si="4"/>
        <v>0</v>
      </c>
      <c r="AD13" s="1">
        <f t="shared" si="5"/>
        <v>0</v>
      </c>
      <c r="AE13" s="1">
        <f t="shared" si="6"/>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7"/>
        <v>0</v>
      </c>
      <c r="BC13" s="1">
        <f t="shared" si="20"/>
        <v>0</v>
      </c>
      <c r="BD13" s="1">
        <f t="shared" si="8"/>
        <v>0</v>
      </c>
      <c r="BE13" s="1">
        <f t="shared" si="9"/>
        <v>0</v>
      </c>
      <c r="BF13" s="1">
        <f t="shared" si="10"/>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1"/>
        <v>0</v>
      </c>
      <c r="CC13" s="1">
        <f t="shared" si="12"/>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3"/>
        <v>6</v>
      </c>
      <c r="B14" s="218" t="str">
        <f t="shared" si="0"/>
        <v>ma</v>
      </c>
      <c r="C14" s="219" t="s">
        <v>242</v>
      </c>
      <c r="D14" s="220">
        <f t="shared" si="1"/>
        <v>6.1428571428571432</v>
      </c>
      <c r="E14" s="906"/>
      <c r="F14" s="907"/>
      <c r="G14" s="908"/>
      <c r="H14" s="526"/>
      <c r="I14" s="855"/>
      <c r="J14" s="726"/>
      <c r="K14" s="669"/>
      <c r="L14" s="669"/>
      <c r="M14" s="669"/>
      <c r="N14" s="557">
        <f t="shared" si="14"/>
        <v>8</v>
      </c>
      <c r="O14" s="557">
        <f t="shared" si="15"/>
        <v>4.5</v>
      </c>
      <c r="P14" s="557">
        <f>IF(Stamoplysninger!$H$29="JA",Februar!DG14,CX14)</f>
        <v>1.0833333333333335</v>
      </c>
      <c r="Q14" s="557">
        <f t="shared" si="16"/>
        <v>2.4166666666666665</v>
      </c>
      <c r="R14" s="558"/>
      <c r="S14" s="564"/>
      <c r="T14" s="565"/>
      <c r="U14" s="565"/>
      <c r="V14" s="753"/>
      <c r="W14" s="559"/>
      <c r="X14" s="760"/>
      <c r="Y14">
        <f t="shared" si="17"/>
        <v>0</v>
      </c>
      <c r="Z14" s="759">
        <f t="shared" si="18"/>
        <v>0</v>
      </c>
      <c r="AA14" s="1">
        <f t="shared" si="2"/>
        <v>0</v>
      </c>
      <c r="AB14" s="1">
        <f t="shared" si="3"/>
        <v>0</v>
      </c>
      <c r="AC14" s="1">
        <f t="shared" si="4"/>
        <v>0</v>
      </c>
      <c r="AD14" s="1">
        <f t="shared" si="5"/>
        <v>0</v>
      </c>
      <c r="AE14" s="1">
        <f t="shared" si="6"/>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f>IF(AND(C14="Skema 2",B14="ma"),Arbejdstidsoversigt!$E$53,"")</f>
        <v>8</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8</v>
      </c>
      <c r="BB14" s="421">
        <f t="shared" si="7"/>
        <v>0</v>
      </c>
      <c r="BC14" s="1">
        <f t="shared" si="20"/>
        <v>0</v>
      </c>
      <c r="BD14" s="1">
        <f t="shared" si="8"/>
        <v>0</v>
      </c>
      <c r="BE14" s="1">
        <f t="shared" si="9"/>
        <v>0</v>
      </c>
      <c r="BF14" s="1">
        <f t="shared" si="10"/>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f>IF(AND(C14="Skema 2",B14="ma"),Skemaoplysninger!$O$28,"")</f>
        <v>0.1875</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4.5</v>
      </c>
      <c r="CB14" s="1">
        <f t="shared" si="11"/>
        <v>0</v>
      </c>
      <c r="CC14" s="1">
        <f t="shared" si="12"/>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f>IF(AND(C14="Skema 2",B14="ma"),Skemaoplysninger!$O$37,"")</f>
        <v>1.0833333333333335</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1.0833333333333335</v>
      </c>
      <c r="CY14" s="457">
        <f>IF(C14="Skema 1",Stamoplysninger!$H$30/200,0)</f>
        <v>0</v>
      </c>
      <c r="CZ14" s="457">
        <f>IF(C14="Skema 2",Stamoplysninger!$H$30/200,0)</f>
        <v>1</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3"/>
        <v>7</v>
      </c>
      <c r="B15" s="218" t="str">
        <f t="shared" si="0"/>
        <v>ti</v>
      </c>
      <c r="C15" s="219" t="s">
        <v>242</v>
      </c>
      <c r="D15" s="220" t="str">
        <f t="shared" si="1"/>
        <v/>
      </c>
      <c r="E15" s="906"/>
      <c r="F15" s="907"/>
      <c r="G15" s="908"/>
      <c r="H15" s="526"/>
      <c r="I15" s="855"/>
      <c r="J15" s="726"/>
      <c r="K15" s="669"/>
      <c r="L15" s="669"/>
      <c r="M15" s="669"/>
      <c r="N15" s="557">
        <f t="shared" si="14"/>
        <v>8</v>
      </c>
      <c r="O15" s="557">
        <f t="shared" si="15"/>
        <v>4.5</v>
      </c>
      <c r="P15" s="557">
        <f>IF(Stamoplysninger!$H$29="JA",Februar!DG15,CX15)</f>
        <v>1.0833333333333335</v>
      </c>
      <c r="Q15" s="557">
        <f t="shared" si="16"/>
        <v>2.4166666666666665</v>
      </c>
      <c r="R15" s="558"/>
      <c r="S15" s="564"/>
      <c r="T15" s="565"/>
      <c r="U15" s="565"/>
      <c r="V15" s="753"/>
      <c r="W15" s="559"/>
      <c r="X15" s="760"/>
      <c r="Y15">
        <f t="shared" si="17"/>
        <v>0</v>
      </c>
      <c r="Z15" s="759">
        <f t="shared" si="18"/>
        <v>0</v>
      </c>
      <c r="AA15" s="1">
        <f t="shared" si="2"/>
        <v>0</v>
      </c>
      <c r="AB15" s="1">
        <f t="shared" si="3"/>
        <v>0</v>
      </c>
      <c r="AC15" s="1">
        <f t="shared" si="4"/>
        <v>0</v>
      </c>
      <c r="AD15" s="1">
        <f t="shared" si="5"/>
        <v>0</v>
      </c>
      <c r="AE15" s="1">
        <f t="shared" si="6"/>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f>IF(AND(C15="Skema 2",B15="ti"),Arbejdstidsoversigt!$E$54,"")</f>
        <v>8</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8</v>
      </c>
      <c r="BB15" s="421">
        <f t="shared" si="7"/>
        <v>0</v>
      </c>
      <c r="BC15" s="1">
        <f t="shared" si="20"/>
        <v>0</v>
      </c>
      <c r="BD15" s="1">
        <f t="shared" si="8"/>
        <v>0</v>
      </c>
      <c r="BE15" s="1">
        <f t="shared" si="9"/>
        <v>0</v>
      </c>
      <c r="BF15" s="1">
        <f t="shared" si="10"/>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f>IF(AND(C15="Skema 2",B15="ti"),Skemaoplysninger!$P$28,"")</f>
        <v>0.1875</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4.5</v>
      </c>
      <c r="CB15" s="1">
        <f t="shared" si="11"/>
        <v>0</v>
      </c>
      <c r="CC15" s="1">
        <f t="shared" si="12"/>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f>IF(AND(C15="Skema 2",B15="ti"),Skemaoplysninger!$P$37,"")</f>
        <v>1.0833333333333335</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1.0833333333333335</v>
      </c>
      <c r="CY15" s="457">
        <f>IF(C15="Skema 1",Stamoplysninger!$H$30/200,0)</f>
        <v>0</v>
      </c>
      <c r="CZ15" s="457">
        <f>IF(C15="Skema 2",Stamoplysninger!$H$30/200,0)</f>
        <v>1</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1</v>
      </c>
    </row>
    <row r="16" spans="1:211">
      <c r="A16" s="443">
        <f t="shared" si="13"/>
        <v>8</v>
      </c>
      <c r="B16" s="218" t="str">
        <f t="shared" si="0"/>
        <v>on</v>
      </c>
      <c r="C16" s="219" t="s">
        <v>242</v>
      </c>
      <c r="D16" s="220" t="str">
        <f t="shared" si="1"/>
        <v/>
      </c>
      <c r="E16" s="906"/>
      <c r="F16" s="907"/>
      <c r="G16" s="908"/>
      <c r="H16" s="526"/>
      <c r="I16" s="855"/>
      <c r="J16" s="726"/>
      <c r="K16" s="669"/>
      <c r="L16" s="669"/>
      <c r="M16" s="669"/>
      <c r="N16" s="557">
        <f t="shared" si="14"/>
        <v>8</v>
      </c>
      <c r="O16" s="557">
        <f t="shared" si="15"/>
        <v>3</v>
      </c>
      <c r="P16" s="557">
        <f>IF(Stamoplysninger!$H$29="JA",Februar!DG16,CX16)</f>
        <v>0.5</v>
      </c>
      <c r="Q16" s="557">
        <f t="shared" si="16"/>
        <v>4.5</v>
      </c>
      <c r="R16" s="558"/>
      <c r="S16" s="564"/>
      <c r="T16" s="565"/>
      <c r="U16" s="565"/>
      <c r="V16" s="753"/>
      <c r="W16" s="559"/>
      <c r="X16" s="760"/>
      <c r="Y16">
        <f t="shared" si="17"/>
        <v>0</v>
      </c>
      <c r="Z16" s="759">
        <f t="shared" si="18"/>
        <v>0</v>
      </c>
      <c r="AA16" s="1">
        <f t="shared" si="2"/>
        <v>0</v>
      </c>
      <c r="AB16" s="1">
        <f t="shared" si="3"/>
        <v>0</v>
      </c>
      <c r="AC16" s="1">
        <f t="shared" si="4"/>
        <v>0</v>
      </c>
      <c r="AD16" s="1">
        <f t="shared" si="5"/>
        <v>0</v>
      </c>
      <c r="AE16" s="1">
        <f t="shared" si="6"/>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f>IF(AND(C16="Skema 2",B16="on"),Arbejdstidsoversigt!$E$55,"")</f>
        <v>8</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8</v>
      </c>
      <c r="BB16" s="421">
        <f t="shared" si="7"/>
        <v>0</v>
      </c>
      <c r="BC16" s="1">
        <f t="shared" si="20"/>
        <v>0</v>
      </c>
      <c r="BD16" s="1">
        <f t="shared" si="8"/>
        <v>0</v>
      </c>
      <c r="BE16" s="1">
        <f t="shared" si="9"/>
        <v>0</v>
      </c>
      <c r="BF16" s="1">
        <f t="shared" si="10"/>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f>IF(AND(C16="Skema 2",B16="on"),Skemaoplysninger!$Q$28,"")</f>
        <v>0.125</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3</v>
      </c>
      <c r="CB16" s="1">
        <f t="shared" si="11"/>
        <v>0</v>
      </c>
      <c r="CC16" s="1">
        <f t="shared" si="12"/>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f>IF(AND(C16="Skema 2",B16="on"),Skemaoplysninger!$Q$37,"")</f>
        <v>0.5</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0.5</v>
      </c>
      <c r="CY16" s="457">
        <f>IF(C16="Skema 1",Stamoplysninger!$H$30/200,0)</f>
        <v>0</v>
      </c>
      <c r="CZ16" s="457">
        <f>IF(C16="Skema 2",Stamoplysninger!$H$30/200,0)</f>
        <v>1</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1</v>
      </c>
    </row>
    <row r="17" spans="1:111">
      <c r="A17" s="443">
        <f t="shared" si="13"/>
        <v>9</v>
      </c>
      <c r="B17" s="218" t="str">
        <f t="shared" si="0"/>
        <v>to</v>
      </c>
      <c r="C17" s="219" t="s">
        <v>242</v>
      </c>
      <c r="D17" s="220" t="str">
        <f t="shared" si="1"/>
        <v/>
      </c>
      <c r="E17" s="906"/>
      <c r="F17" s="907"/>
      <c r="G17" s="908"/>
      <c r="H17" s="526"/>
      <c r="I17" s="855"/>
      <c r="J17" s="726"/>
      <c r="K17" s="669"/>
      <c r="L17" s="669"/>
      <c r="M17" s="669"/>
      <c r="N17" s="557">
        <f t="shared" si="14"/>
        <v>8</v>
      </c>
      <c r="O17" s="557">
        <f t="shared" si="15"/>
        <v>3</v>
      </c>
      <c r="P17" s="557">
        <f>IF(Stamoplysninger!$H$29="JA",Februar!DG17,CX17)</f>
        <v>0.5</v>
      </c>
      <c r="Q17" s="557">
        <f t="shared" si="16"/>
        <v>4.5</v>
      </c>
      <c r="R17" s="558"/>
      <c r="S17" s="564"/>
      <c r="T17" s="565"/>
      <c r="U17" s="565"/>
      <c r="V17" s="753"/>
      <c r="W17" s="559"/>
      <c r="X17" s="760"/>
      <c r="Y17">
        <f t="shared" si="17"/>
        <v>0</v>
      </c>
      <c r="Z17" s="759">
        <f t="shared" si="18"/>
        <v>0</v>
      </c>
      <c r="AA17" s="1">
        <f t="shared" si="2"/>
        <v>0</v>
      </c>
      <c r="AB17" s="1">
        <f t="shared" si="3"/>
        <v>0</v>
      </c>
      <c r="AC17" s="1">
        <f t="shared" si="4"/>
        <v>0</v>
      </c>
      <c r="AD17" s="1">
        <f t="shared" si="5"/>
        <v>0</v>
      </c>
      <c r="AE17" s="1">
        <f t="shared" si="6"/>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f>IF(AND(C17="Skema 2",B17="to"),Arbejdstidsoversigt!$E$56,"")</f>
        <v>8</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8</v>
      </c>
      <c r="BB17" s="421">
        <f t="shared" si="7"/>
        <v>0</v>
      </c>
      <c r="BC17" s="1">
        <f t="shared" si="20"/>
        <v>0</v>
      </c>
      <c r="BD17" s="1">
        <f t="shared" si="8"/>
        <v>0</v>
      </c>
      <c r="BE17" s="1">
        <f t="shared" si="9"/>
        <v>0</v>
      </c>
      <c r="BF17" s="1">
        <f t="shared" si="10"/>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f>IF(AND(C17="Skema 2",B17="to"),Skemaoplysninger!$R$28,"")</f>
        <v>0.125</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3</v>
      </c>
      <c r="CB17" s="1">
        <f t="shared" si="11"/>
        <v>0</v>
      </c>
      <c r="CC17" s="1">
        <f t="shared" si="12"/>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f>IF(AND(C17="Skema 2",B17="to"),Skemaoplysninger!$R$37,"")</f>
        <v>0.5</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0.5</v>
      </c>
      <c r="CY17" s="457">
        <f>IF(C17="Skema 1",Stamoplysninger!$H$30/200,0)</f>
        <v>0</v>
      </c>
      <c r="CZ17" s="457">
        <f>IF(C17="Skema 2",Stamoplysninger!$H$30/200,0)</f>
        <v>1</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3"/>
        <v>10</v>
      </c>
      <c r="B18" s="218" t="str">
        <f t="shared" si="0"/>
        <v>fr</v>
      </c>
      <c r="C18" s="219" t="s">
        <v>242</v>
      </c>
      <c r="D18" s="220" t="str">
        <f t="shared" si="1"/>
        <v/>
      </c>
      <c r="E18" s="906"/>
      <c r="F18" s="907"/>
      <c r="G18" s="908"/>
      <c r="H18" s="526"/>
      <c r="I18" s="855"/>
      <c r="J18" s="726"/>
      <c r="K18" s="669"/>
      <c r="L18" s="669"/>
      <c r="M18" s="669"/>
      <c r="N18" s="557">
        <f t="shared" si="14"/>
        <v>6.5</v>
      </c>
      <c r="O18" s="557">
        <f t="shared" si="15"/>
        <v>3</v>
      </c>
      <c r="P18" s="557">
        <f>IF(Stamoplysninger!$H$29="JA",Februar!DG18,CX18)</f>
        <v>0.5</v>
      </c>
      <c r="Q18" s="557">
        <f t="shared" si="16"/>
        <v>3</v>
      </c>
      <c r="R18" s="558"/>
      <c r="S18" s="564"/>
      <c r="T18" s="565"/>
      <c r="U18" s="565"/>
      <c r="V18" s="753"/>
      <c r="W18" s="559"/>
      <c r="X18" s="760"/>
      <c r="Y18">
        <f t="shared" si="17"/>
        <v>0</v>
      </c>
      <c r="Z18" s="759">
        <f t="shared" si="18"/>
        <v>0</v>
      </c>
      <c r="AA18" s="1">
        <f t="shared" si="2"/>
        <v>0</v>
      </c>
      <c r="AB18" s="1">
        <f t="shared" si="3"/>
        <v>0</v>
      </c>
      <c r="AC18" s="1">
        <f t="shared" si="4"/>
        <v>0</v>
      </c>
      <c r="AD18" s="1">
        <f t="shared" si="5"/>
        <v>0</v>
      </c>
      <c r="AE18" s="1">
        <f t="shared" si="6"/>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f>IF(AND(C18="Skema 2",B18="fr"),Arbejdstidsoversigt!$E$57,"")</f>
        <v>6.5</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6.5</v>
      </c>
      <c r="BB18" s="421">
        <f t="shared" si="7"/>
        <v>0</v>
      </c>
      <c r="BC18" s="1">
        <f t="shared" si="20"/>
        <v>0</v>
      </c>
      <c r="BD18" s="1">
        <f t="shared" si="8"/>
        <v>0</v>
      </c>
      <c r="BE18" s="1">
        <f t="shared" si="9"/>
        <v>0</v>
      </c>
      <c r="BF18" s="1">
        <f t="shared" si="10"/>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f>IF(AND(C18="Skema 2",B18="fr"),Skemaoplysninger!$S$28,"")</f>
        <v>0.125</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3</v>
      </c>
      <c r="CB18" s="1">
        <f t="shared" si="11"/>
        <v>0</v>
      </c>
      <c r="CC18" s="1">
        <f t="shared" si="12"/>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f>IF(AND(C18="Skema 2",B18="fr"),Skemaoplysninger!$S$37,"")</f>
        <v>0.5</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0.5</v>
      </c>
      <c r="CY18" s="457">
        <f>IF(C18="Skema 1",Stamoplysninger!$H$30/200,0)</f>
        <v>0</v>
      </c>
      <c r="CZ18" s="457">
        <f>IF(C18="Skema 2",Stamoplysninger!$H$30/200,0)</f>
        <v>1</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row>
    <row r="19" spans="1:111">
      <c r="A19" s="443">
        <f t="shared" si="13"/>
        <v>11</v>
      </c>
      <c r="B19" s="218" t="str">
        <f t="shared" si="0"/>
        <v>lø</v>
      </c>
      <c r="C19" s="219" t="s">
        <v>138</v>
      </c>
      <c r="D19" s="220" t="str">
        <f t="shared" si="1"/>
        <v/>
      </c>
      <c r="E19" s="906"/>
      <c r="F19" s="907"/>
      <c r="G19" s="908"/>
      <c r="H19" s="526"/>
      <c r="I19" s="726"/>
      <c r="J19" s="726"/>
      <c r="K19" s="669"/>
      <c r="L19" s="669"/>
      <c r="M19" s="669"/>
      <c r="N19" s="557">
        <f t="shared" si="14"/>
        <v>0</v>
      </c>
      <c r="O19" s="557">
        <f t="shared" si="15"/>
        <v>0</v>
      </c>
      <c r="P19" s="557">
        <f>IF(Stamoplysninger!$H$29="JA",Februar!DG19,CX19)</f>
        <v>0</v>
      </c>
      <c r="Q19" s="557">
        <f t="shared" si="16"/>
        <v>0</v>
      </c>
      <c r="R19" s="558"/>
      <c r="S19" s="564"/>
      <c r="T19" s="565"/>
      <c r="U19" s="565"/>
      <c r="V19" s="753"/>
      <c r="W19" s="559"/>
      <c r="X19" s="760"/>
      <c r="Y19">
        <f t="shared" si="17"/>
        <v>0</v>
      </c>
      <c r="Z19" s="759">
        <f t="shared" si="18"/>
        <v>0</v>
      </c>
      <c r="AA19" s="1">
        <f t="shared" si="2"/>
        <v>0</v>
      </c>
      <c r="AB19" s="1">
        <f t="shared" si="3"/>
        <v>0</v>
      </c>
      <c r="AC19" s="1">
        <f t="shared" si="4"/>
        <v>0</v>
      </c>
      <c r="AD19" s="1">
        <f t="shared" si="5"/>
        <v>0</v>
      </c>
      <c r="AE19" s="1">
        <f t="shared" si="6"/>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0</v>
      </c>
      <c r="BB19" s="421">
        <f t="shared" si="7"/>
        <v>0</v>
      </c>
      <c r="BC19" s="1">
        <f t="shared" si="20"/>
        <v>0</v>
      </c>
      <c r="BD19" s="1">
        <f t="shared" si="8"/>
        <v>0</v>
      </c>
      <c r="BE19" s="1">
        <f t="shared" si="9"/>
        <v>0</v>
      </c>
      <c r="BF19" s="1">
        <f t="shared" si="10"/>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1"/>
        <v>0</v>
      </c>
      <c r="CC19" s="1">
        <f t="shared" si="12"/>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sø</v>
      </c>
      <c r="C20" s="219" t="s">
        <v>138</v>
      </c>
      <c r="D20" s="220" t="str">
        <f t="shared" si="1"/>
        <v/>
      </c>
      <c r="E20" s="906"/>
      <c r="F20" s="907"/>
      <c r="G20" s="908"/>
      <c r="H20" s="526"/>
      <c r="I20" s="726"/>
      <c r="J20" s="726"/>
      <c r="K20" s="669"/>
      <c r="L20" s="669"/>
      <c r="M20" s="669"/>
      <c r="N20" s="557">
        <f t="shared" si="14"/>
        <v>0</v>
      </c>
      <c r="O20" s="557">
        <f t="shared" si="15"/>
        <v>0</v>
      </c>
      <c r="P20" s="557">
        <f>IF(Stamoplysninger!$H$29="JA",Februar!DG20,CX20)</f>
        <v>0</v>
      </c>
      <c r="Q20" s="557">
        <f t="shared" si="16"/>
        <v>0</v>
      </c>
      <c r="R20" s="558"/>
      <c r="S20" s="564"/>
      <c r="T20" s="565"/>
      <c r="U20" s="565"/>
      <c r="V20" s="753"/>
      <c r="W20" s="559"/>
      <c r="X20" s="760"/>
      <c r="Y20">
        <f t="shared" si="17"/>
        <v>0</v>
      </c>
      <c r="Z20" s="759">
        <f t="shared" si="18"/>
        <v>0</v>
      </c>
      <c r="AA20" s="1">
        <f t="shared" si="2"/>
        <v>0</v>
      </c>
      <c r="AB20" s="1">
        <f t="shared" si="3"/>
        <v>0</v>
      </c>
      <c r="AC20" s="1">
        <f t="shared" si="4"/>
        <v>0</v>
      </c>
      <c r="AD20" s="1">
        <f t="shared" si="5"/>
        <v>0</v>
      </c>
      <c r="AE20" s="1">
        <f t="shared" si="6"/>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0</v>
      </c>
      <c r="BB20" s="421">
        <f t="shared" si="7"/>
        <v>0</v>
      </c>
      <c r="BC20" s="1">
        <f t="shared" si="20"/>
        <v>0</v>
      </c>
      <c r="BD20" s="1">
        <f t="shared" si="8"/>
        <v>0</v>
      </c>
      <c r="BE20" s="1">
        <f t="shared" si="9"/>
        <v>0</v>
      </c>
      <c r="BF20" s="1">
        <f t="shared" si="10"/>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0</v>
      </c>
      <c r="CB20" s="1">
        <f t="shared" si="11"/>
        <v>0</v>
      </c>
      <c r="CC20" s="1">
        <f t="shared" si="12"/>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v>
      </c>
      <c r="CY20" s="457">
        <f>IF(C20="Skema 1",Stamoplysninger!$H$30/200,0)</f>
        <v>0</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0</v>
      </c>
    </row>
    <row r="21" spans="1:111">
      <c r="A21" s="443">
        <f>IF(ISNUMBER(A20),A20+1,1)</f>
        <v>13</v>
      </c>
      <c r="B21" s="218" t="str">
        <f t="shared" si="0"/>
        <v>ma</v>
      </c>
      <c r="C21" s="219" t="s">
        <v>147</v>
      </c>
      <c r="D21" s="220">
        <f t="shared" si="1"/>
        <v>7.1428571428571432</v>
      </c>
      <c r="E21" s="909" t="s">
        <v>403</v>
      </c>
      <c r="F21" s="910"/>
      <c r="G21" s="911"/>
      <c r="H21" s="525"/>
      <c r="I21" s="855"/>
      <c r="J21" s="726"/>
      <c r="K21" s="669"/>
      <c r="L21" s="669"/>
      <c r="M21" s="669"/>
      <c r="N21" s="557">
        <f t="shared" si="14"/>
        <v>0</v>
      </c>
      <c r="O21" s="557">
        <f t="shared" si="15"/>
        <v>0</v>
      </c>
      <c r="P21" s="557">
        <f>IF(Stamoplysninger!$H$29="JA",Februar!DG21,CX21)</f>
        <v>0</v>
      </c>
      <c r="Q21" s="557">
        <f t="shared" si="16"/>
        <v>0</v>
      </c>
      <c r="R21" s="558"/>
      <c r="S21" s="564"/>
      <c r="T21" s="565"/>
      <c r="U21" s="565"/>
      <c r="V21" s="753"/>
      <c r="W21" s="559"/>
      <c r="X21" s="760"/>
      <c r="Y21">
        <f t="shared" si="17"/>
        <v>0</v>
      </c>
      <c r="Z21" s="759">
        <f t="shared" si="18"/>
        <v>0</v>
      </c>
      <c r="AA21" s="1">
        <f t="shared" si="2"/>
        <v>0</v>
      </c>
      <c r="AB21" s="1">
        <f t="shared" si="3"/>
        <v>0</v>
      </c>
      <c r="AC21" s="1">
        <f t="shared" si="4"/>
        <v>0</v>
      </c>
      <c r="AD21" s="1">
        <f t="shared" si="5"/>
        <v>0</v>
      </c>
      <c r="AE21" s="1">
        <f t="shared" si="6"/>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0</v>
      </c>
      <c r="BB21" s="421">
        <f t="shared" si="7"/>
        <v>0</v>
      </c>
      <c r="BC21" s="1">
        <f t="shared" si="20"/>
        <v>0</v>
      </c>
      <c r="BD21" s="1">
        <f t="shared" si="8"/>
        <v>0</v>
      </c>
      <c r="BE21" s="1">
        <f t="shared" si="9"/>
        <v>0</v>
      </c>
      <c r="BF21" s="1">
        <f t="shared" si="10"/>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0</v>
      </c>
      <c r="CB21" s="1">
        <f t="shared" si="11"/>
        <v>0</v>
      </c>
      <c r="CC21" s="1">
        <f t="shared" si="12"/>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v>
      </c>
      <c r="CY21" s="457">
        <f>IF(C21="Skema 1",Stamoplysninger!$H$30/200,0)</f>
        <v>0</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0</v>
      </c>
    </row>
    <row r="22" spans="1:111">
      <c r="A22" s="443">
        <f t="shared" si="13"/>
        <v>14</v>
      </c>
      <c r="B22" s="218" t="str">
        <f t="shared" si="0"/>
        <v>ti</v>
      </c>
      <c r="C22" s="219" t="s">
        <v>147</v>
      </c>
      <c r="D22" s="220" t="str">
        <f t="shared" si="1"/>
        <v/>
      </c>
      <c r="E22" s="909" t="s">
        <v>403</v>
      </c>
      <c r="F22" s="910"/>
      <c r="G22" s="911"/>
      <c r="H22" s="525"/>
      <c r="I22" s="855"/>
      <c r="J22" s="726"/>
      <c r="K22" s="669"/>
      <c r="L22" s="669"/>
      <c r="M22" s="669"/>
      <c r="N22" s="557">
        <f t="shared" si="14"/>
        <v>0</v>
      </c>
      <c r="O22" s="557">
        <f t="shared" si="15"/>
        <v>0</v>
      </c>
      <c r="P22" s="557">
        <f>IF(Stamoplysninger!$H$29="JA",Februar!DG22,CX22)</f>
        <v>0</v>
      </c>
      <c r="Q22" s="557">
        <f t="shared" si="16"/>
        <v>0</v>
      </c>
      <c r="R22" s="558"/>
      <c r="S22" s="564"/>
      <c r="T22" s="565"/>
      <c r="U22" s="565"/>
      <c r="V22" s="753"/>
      <c r="W22" s="559"/>
      <c r="X22" s="760"/>
      <c r="Y22">
        <f t="shared" si="17"/>
        <v>0</v>
      </c>
      <c r="Z22" s="759">
        <f t="shared" si="18"/>
        <v>0</v>
      </c>
      <c r="AA22" s="1">
        <f t="shared" si="2"/>
        <v>0</v>
      </c>
      <c r="AB22" s="1">
        <f t="shared" si="3"/>
        <v>0</v>
      </c>
      <c r="AC22" s="1">
        <f t="shared" si="4"/>
        <v>0</v>
      </c>
      <c r="AD22" s="1">
        <f t="shared" si="5"/>
        <v>0</v>
      </c>
      <c r="AE22" s="1">
        <f t="shared" si="6"/>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0</v>
      </c>
      <c r="BB22" s="421">
        <f t="shared" si="7"/>
        <v>0</v>
      </c>
      <c r="BC22" s="1">
        <f t="shared" si="20"/>
        <v>0</v>
      </c>
      <c r="BD22" s="1">
        <f t="shared" si="8"/>
        <v>0</v>
      </c>
      <c r="BE22" s="1">
        <f t="shared" si="9"/>
        <v>0</v>
      </c>
      <c r="BF22" s="1">
        <f t="shared" si="10"/>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0</v>
      </c>
      <c r="CB22" s="1">
        <f t="shared" si="11"/>
        <v>0</v>
      </c>
      <c r="CC22" s="1">
        <f t="shared" si="12"/>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v>
      </c>
      <c r="CY22" s="457">
        <f>IF(C22="Skema 1",Stamoplysninger!$H$30/200,0)</f>
        <v>0</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0</v>
      </c>
    </row>
    <row r="23" spans="1:111">
      <c r="A23" s="443">
        <f t="shared" si="13"/>
        <v>15</v>
      </c>
      <c r="B23" s="218" t="str">
        <f t="shared" si="0"/>
        <v>on</v>
      </c>
      <c r="C23" s="219" t="s">
        <v>147</v>
      </c>
      <c r="D23" s="220" t="str">
        <f t="shared" si="1"/>
        <v/>
      </c>
      <c r="E23" s="909" t="s">
        <v>403</v>
      </c>
      <c r="F23" s="910"/>
      <c r="G23" s="911"/>
      <c r="H23" s="525"/>
      <c r="I23" s="855"/>
      <c r="J23" s="726"/>
      <c r="K23" s="669"/>
      <c r="L23" s="669"/>
      <c r="M23" s="669"/>
      <c r="N23" s="557">
        <f t="shared" si="14"/>
        <v>0</v>
      </c>
      <c r="O23" s="557">
        <f t="shared" si="15"/>
        <v>0</v>
      </c>
      <c r="P23" s="557">
        <f>IF(Stamoplysninger!$H$29="JA",Februar!DG23,CX23)</f>
        <v>0</v>
      </c>
      <c r="Q23" s="557">
        <f t="shared" si="16"/>
        <v>0</v>
      </c>
      <c r="R23" s="558"/>
      <c r="S23" s="564"/>
      <c r="T23" s="565"/>
      <c r="U23" s="565"/>
      <c r="V23" s="753"/>
      <c r="W23" s="559"/>
      <c r="X23" s="760"/>
      <c r="Y23">
        <f t="shared" si="17"/>
        <v>0</v>
      </c>
      <c r="Z23" s="759">
        <f t="shared" si="18"/>
        <v>0</v>
      </c>
      <c r="AA23" s="1">
        <f t="shared" si="2"/>
        <v>0</v>
      </c>
      <c r="AB23" s="1">
        <f t="shared" si="3"/>
        <v>0</v>
      </c>
      <c r="AC23" s="1">
        <f t="shared" si="4"/>
        <v>0</v>
      </c>
      <c r="AD23" s="1">
        <f t="shared" si="5"/>
        <v>0</v>
      </c>
      <c r="AE23" s="1">
        <f t="shared" si="6"/>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0</v>
      </c>
      <c r="BB23" s="421">
        <f t="shared" si="7"/>
        <v>0</v>
      </c>
      <c r="BC23" s="1">
        <f t="shared" si="20"/>
        <v>0</v>
      </c>
      <c r="BD23" s="1">
        <f t="shared" si="8"/>
        <v>0</v>
      </c>
      <c r="BE23" s="1">
        <f t="shared" si="9"/>
        <v>0</v>
      </c>
      <c r="BF23" s="1">
        <f t="shared" si="10"/>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1"/>
        <v>0</v>
      </c>
      <c r="CC23" s="1">
        <f t="shared" si="12"/>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row>
    <row r="24" spans="1:111">
      <c r="A24" s="443">
        <f>IF(ISNUMBER(A23),A23+1,1)</f>
        <v>16</v>
      </c>
      <c r="B24" s="218" t="str">
        <f t="shared" si="0"/>
        <v>to</v>
      </c>
      <c r="C24" s="219" t="s">
        <v>147</v>
      </c>
      <c r="D24" s="220" t="str">
        <f t="shared" si="1"/>
        <v/>
      </c>
      <c r="E24" s="906" t="s">
        <v>403</v>
      </c>
      <c r="F24" s="907"/>
      <c r="G24" s="908"/>
      <c r="H24" s="526"/>
      <c r="I24" s="855"/>
      <c r="J24" s="726"/>
      <c r="K24" s="669"/>
      <c r="L24" s="669"/>
      <c r="M24" s="669"/>
      <c r="N24" s="557">
        <f t="shared" si="14"/>
        <v>0</v>
      </c>
      <c r="O24" s="557">
        <f t="shared" si="15"/>
        <v>0</v>
      </c>
      <c r="P24" s="557">
        <f>IF(Stamoplysninger!$H$29="JA",Februar!DG24,CX24)</f>
        <v>0</v>
      </c>
      <c r="Q24" s="557">
        <f t="shared" si="16"/>
        <v>0</v>
      </c>
      <c r="R24" s="558"/>
      <c r="S24" s="564"/>
      <c r="T24" s="565"/>
      <c r="U24" s="565"/>
      <c r="V24" s="753"/>
      <c r="W24" s="559"/>
      <c r="X24" s="760"/>
      <c r="Y24">
        <f t="shared" si="17"/>
        <v>0</v>
      </c>
      <c r="Z24" s="759">
        <f t="shared" si="18"/>
        <v>0</v>
      </c>
      <c r="AA24" s="1">
        <f t="shared" si="2"/>
        <v>0</v>
      </c>
      <c r="AB24" s="1">
        <f t="shared" si="3"/>
        <v>0</v>
      </c>
      <c r="AC24" s="1">
        <f t="shared" si="4"/>
        <v>0</v>
      </c>
      <c r="AD24" s="1">
        <f t="shared" si="5"/>
        <v>0</v>
      </c>
      <c r="AE24" s="1">
        <f t="shared" si="6"/>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0</v>
      </c>
      <c r="BB24" s="421">
        <f t="shared" si="7"/>
        <v>0</v>
      </c>
      <c r="BC24" s="1">
        <f t="shared" si="20"/>
        <v>0</v>
      </c>
      <c r="BD24" s="1">
        <f t="shared" si="8"/>
        <v>0</v>
      </c>
      <c r="BE24" s="1">
        <f t="shared" si="9"/>
        <v>0</v>
      </c>
      <c r="BF24" s="1">
        <f t="shared" si="10"/>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0</v>
      </c>
      <c r="CB24" s="1">
        <f t="shared" si="11"/>
        <v>0</v>
      </c>
      <c r="CC24" s="1">
        <f t="shared" si="12"/>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v>
      </c>
      <c r="CY24" s="457">
        <f>IF(C24="Skema 1",Stamoplysninger!$H$30/200,0)</f>
        <v>0</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0</v>
      </c>
    </row>
    <row r="25" spans="1:111">
      <c r="A25" s="443">
        <f t="shared" si="13"/>
        <v>17</v>
      </c>
      <c r="B25" s="218" t="str">
        <f t="shared" si="0"/>
        <v>fr</v>
      </c>
      <c r="C25" s="219" t="s">
        <v>147</v>
      </c>
      <c r="D25" s="220" t="str">
        <f t="shared" si="1"/>
        <v/>
      </c>
      <c r="E25" s="906" t="s">
        <v>403</v>
      </c>
      <c r="F25" s="907"/>
      <c r="G25" s="908"/>
      <c r="H25" s="526"/>
      <c r="I25" s="855"/>
      <c r="J25" s="726"/>
      <c r="K25" s="669"/>
      <c r="L25" s="669"/>
      <c r="M25" s="669"/>
      <c r="N25" s="557">
        <f t="shared" si="14"/>
        <v>0</v>
      </c>
      <c r="O25" s="557">
        <f t="shared" si="15"/>
        <v>0</v>
      </c>
      <c r="P25" s="557">
        <f>IF(Stamoplysninger!$H$29="JA",Februar!DG25,CX25)</f>
        <v>0</v>
      </c>
      <c r="Q25" s="557">
        <f t="shared" si="16"/>
        <v>0</v>
      </c>
      <c r="R25" s="558"/>
      <c r="S25" s="564"/>
      <c r="T25" s="565"/>
      <c r="U25" s="565"/>
      <c r="V25" s="753"/>
      <c r="W25" s="559"/>
      <c r="X25" s="760"/>
      <c r="Y25">
        <f t="shared" si="17"/>
        <v>0</v>
      </c>
      <c r="Z25" s="759">
        <f t="shared" si="18"/>
        <v>0</v>
      </c>
      <c r="AA25" s="1">
        <f t="shared" si="2"/>
        <v>0</v>
      </c>
      <c r="AB25" s="1">
        <f t="shared" si="3"/>
        <v>0</v>
      </c>
      <c r="AC25" s="1">
        <f t="shared" si="4"/>
        <v>0</v>
      </c>
      <c r="AD25" s="1">
        <f t="shared" si="5"/>
        <v>0</v>
      </c>
      <c r="AE25" s="1">
        <f t="shared" si="6"/>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7"/>
        <v>0</v>
      </c>
      <c r="BC25" s="1">
        <f t="shared" si="20"/>
        <v>0</v>
      </c>
      <c r="BD25" s="1">
        <f t="shared" si="8"/>
        <v>0</v>
      </c>
      <c r="BE25" s="1">
        <f t="shared" si="9"/>
        <v>0</v>
      </c>
      <c r="BF25" s="1">
        <f t="shared" si="10"/>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1"/>
        <v>0</v>
      </c>
      <c r="CC25" s="1">
        <f t="shared" si="12"/>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3"/>
        <v>18</v>
      </c>
      <c r="B26" s="218" t="str">
        <f t="shared" si="0"/>
        <v>lø</v>
      </c>
      <c r="C26" s="219" t="s">
        <v>138</v>
      </c>
      <c r="D26" s="220" t="str">
        <f t="shared" si="1"/>
        <v/>
      </c>
      <c r="E26" s="906"/>
      <c r="F26" s="907"/>
      <c r="G26" s="908"/>
      <c r="H26" s="526"/>
      <c r="I26" s="726"/>
      <c r="J26" s="726"/>
      <c r="K26" s="669"/>
      <c r="L26" s="669"/>
      <c r="M26" s="669"/>
      <c r="N26" s="557">
        <f t="shared" si="14"/>
        <v>0</v>
      </c>
      <c r="O26" s="557">
        <f t="shared" si="15"/>
        <v>0</v>
      </c>
      <c r="P26" s="557">
        <f>IF(Stamoplysninger!$H$29="JA",Februar!DG26,CX26)</f>
        <v>0</v>
      </c>
      <c r="Q26" s="557">
        <f t="shared" si="16"/>
        <v>0</v>
      </c>
      <c r="R26" s="558"/>
      <c r="S26" s="564"/>
      <c r="T26" s="565"/>
      <c r="U26" s="565"/>
      <c r="V26" s="753"/>
      <c r="W26" s="559"/>
      <c r="X26" s="760"/>
      <c r="Y26">
        <f t="shared" si="17"/>
        <v>0</v>
      </c>
      <c r="Z26" s="759">
        <f t="shared" si="18"/>
        <v>0</v>
      </c>
      <c r="AA26" s="1">
        <f t="shared" si="2"/>
        <v>0</v>
      </c>
      <c r="AB26" s="1">
        <f t="shared" si="3"/>
        <v>0</v>
      </c>
      <c r="AC26" s="1">
        <f t="shared" si="4"/>
        <v>0</v>
      </c>
      <c r="AD26" s="1">
        <f t="shared" si="5"/>
        <v>0</v>
      </c>
      <c r="AE26" s="1">
        <f t="shared" si="6"/>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7"/>
        <v>0</v>
      </c>
      <c r="BC26" s="1">
        <f t="shared" si="20"/>
        <v>0</v>
      </c>
      <c r="BD26" s="1">
        <f t="shared" si="8"/>
        <v>0</v>
      </c>
      <c r="BE26" s="1">
        <f t="shared" si="9"/>
        <v>0</v>
      </c>
      <c r="BF26" s="1">
        <f t="shared" si="10"/>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1"/>
        <v>0</v>
      </c>
      <c r="CC26" s="1">
        <f t="shared" si="12"/>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3"/>
        <v>19</v>
      </c>
      <c r="B27" s="218" t="str">
        <f t="shared" si="0"/>
        <v>sø</v>
      </c>
      <c r="C27" s="219" t="s">
        <v>138</v>
      </c>
      <c r="D27" s="220" t="str">
        <f t="shared" si="1"/>
        <v/>
      </c>
      <c r="E27" s="906"/>
      <c r="F27" s="907"/>
      <c r="G27" s="908"/>
      <c r="H27" s="526"/>
      <c r="I27" s="726"/>
      <c r="J27" s="726"/>
      <c r="K27" s="669"/>
      <c r="L27" s="669"/>
      <c r="M27" s="669"/>
      <c r="N27" s="557">
        <f t="shared" si="14"/>
        <v>0</v>
      </c>
      <c r="O27" s="557">
        <f t="shared" si="15"/>
        <v>0</v>
      </c>
      <c r="P27" s="557">
        <f>IF(Stamoplysninger!$H$29="JA",Februar!DG27,CX27)</f>
        <v>0</v>
      </c>
      <c r="Q27" s="557">
        <f t="shared" si="16"/>
        <v>0</v>
      </c>
      <c r="R27" s="558"/>
      <c r="S27" s="564"/>
      <c r="T27" s="565"/>
      <c r="U27" s="565"/>
      <c r="V27" s="753"/>
      <c r="W27" s="559"/>
      <c r="X27" s="760"/>
      <c r="Y27">
        <f t="shared" si="17"/>
        <v>0</v>
      </c>
      <c r="Z27" s="759">
        <f t="shared" si="18"/>
        <v>0</v>
      </c>
      <c r="AA27" s="1">
        <f t="shared" si="2"/>
        <v>0</v>
      </c>
      <c r="AB27" s="1">
        <f t="shared" si="3"/>
        <v>0</v>
      </c>
      <c r="AC27" s="1">
        <f t="shared" si="4"/>
        <v>0</v>
      </c>
      <c r="AD27" s="1">
        <f t="shared" si="5"/>
        <v>0</v>
      </c>
      <c r="AE27" s="1">
        <f t="shared" si="6"/>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7"/>
        <v>0</v>
      </c>
      <c r="BC27" s="1">
        <f t="shared" si="20"/>
        <v>0</v>
      </c>
      <c r="BD27" s="1">
        <f t="shared" si="8"/>
        <v>0</v>
      </c>
      <c r="BE27" s="1">
        <f t="shared" si="9"/>
        <v>0</v>
      </c>
      <c r="BF27" s="1">
        <f t="shared" si="10"/>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1"/>
        <v>0</v>
      </c>
      <c r="CC27" s="1">
        <f t="shared" si="12"/>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3"/>
        <v>20</v>
      </c>
      <c r="B28" s="218" t="str">
        <f t="shared" si="0"/>
        <v>ma</v>
      </c>
      <c r="C28" s="219" t="s">
        <v>242</v>
      </c>
      <c r="D28" s="220">
        <f t="shared" si="1"/>
        <v>8.1428571428571423</v>
      </c>
      <c r="E28" s="906"/>
      <c r="F28" s="907"/>
      <c r="G28" s="908"/>
      <c r="H28" s="526"/>
      <c r="I28" s="855"/>
      <c r="J28" s="726"/>
      <c r="K28" s="669"/>
      <c r="L28" s="669"/>
      <c r="M28" s="669"/>
      <c r="N28" s="557">
        <f t="shared" si="14"/>
        <v>8</v>
      </c>
      <c r="O28" s="557">
        <f t="shared" si="15"/>
        <v>4.5</v>
      </c>
      <c r="P28" s="557">
        <f>IF(Stamoplysninger!$H$29="JA",Februar!DG28,CX28)</f>
        <v>1.0833333333333335</v>
      </c>
      <c r="Q28" s="557">
        <f t="shared" si="16"/>
        <v>2.4166666666666665</v>
      </c>
      <c r="R28" s="558"/>
      <c r="S28" s="564"/>
      <c r="T28" s="565"/>
      <c r="U28" s="565"/>
      <c r="V28" s="753"/>
      <c r="W28" s="559"/>
      <c r="X28" s="760"/>
      <c r="Y28">
        <f t="shared" si="17"/>
        <v>0</v>
      </c>
      <c r="Z28" s="759">
        <f t="shared" si="18"/>
        <v>0</v>
      </c>
      <c r="AA28" s="1">
        <f t="shared" si="2"/>
        <v>0</v>
      </c>
      <c r="AB28" s="1">
        <f t="shared" si="3"/>
        <v>0</v>
      </c>
      <c r="AC28" s="1">
        <f t="shared" si="4"/>
        <v>0</v>
      </c>
      <c r="AD28" s="1">
        <f t="shared" si="5"/>
        <v>0</v>
      </c>
      <c r="AE28" s="1">
        <f t="shared" si="6"/>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f>IF(AND(C28="Skema 2",B28="ma"),Arbejdstidsoversigt!$E$53,"")</f>
        <v>8</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7"/>
        <v>0</v>
      </c>
      <c r="BC28" s="1">
        <f t="shared" si="20"/>
        <v>0</v>
      </c>
      <c r="BD28" s="1">
        <f t="shared" si="8"/>
        <v>0</v>
      </c>
      <c r="BE28" s="1">
        <f t="shared" si="9"/>
        <v>0</v>
      </c>
      <c r="BF28" s="1">
        <f t="shared" si="10"/>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f>IF(AND(C28="Skema 2",B28="ma"),Skemaoplysninger!$O$28,"")</f>
        <v>0.1875</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4.5</v>
      </c>
      <c r="CB28" s="1">
        <f t="shared" si="11"/>
        <v>0</v>
      </c>
      <c r="CC28" s="1">
        <f t="shared" si="12"/>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f>IF(AND(C28="Skema 2",B28="ma"),Skemaoplysninger!$O$37,"")</f>
        <v>1.0833333333333335</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1.0833333333333335</v>
      </c>
      <c r="CY28" s="457">
        <f>IF(C28="Skema 1",Stamoplysninger!$H$30/200,0)</f>
        <v>0</v>
      </c>
      <c r="CZ28" s="457">
        <f>IF(C28="Skema 2",Stamoplysninger!$H$30/200,0)</f>
        <v>1</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3"/>
        <v>21</v>
      </c>
      <c r="B29" s="218" t="str">
        <f t="shared" si="0"/>
        <v>ti</v>
      </c>
      <c r="C29" s="219" t="s">
        <v>242</v>
      </c>
      <c r="D29" s="220" t="str">
        <f t="shared" si="1"/>
        <v/>
      </c>
      <c r="E29" s="906"/>
      <c r="F29" s="907"/>
      <c r="G29" s="908"/>
      <c r="H29" s="526"/>
      <c r="I29" s="855"/>
      <c r="J29" s="726"/>
      <c r="K29" s="669"/>
      <c r="L29" s="669"/>
      <c r="M29" s="669"/>
      <c r="N29" s="557">
        <f t="shared" si="14"/>
        <v>8</v>
      </c>
      <c r="O29" s="557">
        <f t="shared" si="15"/>
        <v>4.5</v>
      </c>
      <c r="P29" s="557">
        <f>IF(Stamoplysninger!$H$29="JA",Februar!DG29,CX29)</f>
        <v>1.0833333333333335</v>
      </c>
      <c r="Q29" s="557">
        <f t="shared" si="16"/>
        <v>2.4166666666666665</v>
      </c>
      <c r="R29" s="558"/>
      <c r="S29" s="564"/>
      <c r="T29" s="565"/>
      <c r="U29" s="565"/>
      <c r="V29" s="753"/>
      <c r="W29" s="559"/>
      <c r="X29" s="760"/>
      <c r="Y29">
        <f t="shared" si="17"/>
        <v>0</v>
      </c>
      <c r="Z29" s="759">
        <f t="shared" si="18"/>
        <v>0</v>
      </c>
      <c r="AA29" s="1">
        <f t="shared" si="2"/>
        <v>0</v>
      </c>
      <c r="AB29" s="1">
        <f t="shared" si="3"/>
        <v>0</v>
      </c>
      <c r="AC29" s="1">
        <f t="shared" si="4"/>
        <v>0</v>
      </c>
      <c r="AD29" s="1">
        <f t="shared" si="5"/>
        <v>0</v>
      </c>
      <c r="AE29" s="1">
        <f t="shared" si="6"/>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f>IF(AND(C29="Skema 2",B29="ti"),Arbejdstidsoversigt!$E$54,"")</f>
        <v>8</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8</v>
      </c>
      <c r="BB29" s="421">
        <f t="shared" si="7"/>
        <v>0</v>
      </c>
      <c r="BC29" s="1">
        <f t="shared" si="20"/>
        <v>0</v>
      </c>
      <c r="BD29" s="1">
        <f t="shared" si="8"/>
        <v>0</v>
      </c>
      <c r="BE29" s="1">
        <f t="shared" si="9"/>
        <v>0</v>
      </c>
      <c r="BF29" s="1">
        <f t="shared" si="10"/>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f>IF(AND(C29="Skema 2",B29="ti"),Skemaoplysninger!$P$28,"")</f>
        <v>0.1875</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4.5</v>
      </c>
      <c r="CB29" s="1">
        <f t="shared" si="11"/>
        <v>0</v>
      </c>
      <c r="CC29" s="1">
        <f t="shared" si="12"/>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f>IF(AND(C29="Skema 2",B29="ti"),Skemaoplysninger!$P$37,"")</f>
        <v>1.0833333333333335</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1.0833333333333335</v>
      </c>
      <c r="CY29" s="457">
        <f>IF(C29="Skema 1",Stamoplysninger!$H$30/200,0)</f>
        <v>0</v>
      </c>
      <c r="CZ29" s="457">
        <f>IF(C29="Skema 2",Stamoplysninger!$H$30/200,0)</f>
        <v>1</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3"/>
        <v>22</v>
      </c>
      <c r="B30" s="218" t="str">
        <f t="shared" si="0"/>
        <v>on</v>
      </c>
      <c r="C30" s="219" t="s">
        <v>242</v>
      </c>
      <c r="D30" s="220" t="str">
        <f t="shared" si="1"/>
        <v/>
      </c>
      <c r="E30" s="906"/>
      <c r="F30" s="907"/>
      <c r="G30" s="908"/>
      <c r="H30" s="526"/>
      <c r="I30" s="855"/>
      <c r="J30" s="726"/>
      <c r="K30" s="669"/>
      <c r="L30" s="669"/>
      <c r="M30" s="669"/>
      <c r="N30" s="557">
        <f t="shared" si="14"/>
        <v>8</v>
      </c>
      <c r="O30" s="557">
        <f t="shared" si="15"/>
        <v>3</v>
      </c>
      <c r="P30" s="557">
        <f>IF(Stamoplysninger!$H$29="JA",Februar!DG30,CX30)</f>
        <v>0.5</v>
      </c>
      <c r="Q30" s="557">
        <f t="shared" si="16"/>
        <v>4.5</v>
      </c>
      <c r="R30" s="558"/>
      <c r="S30" s="564"/>
      <c r="T30" s="565"/>
      <c r="U30" s="565"/>
      <c r="V30" s="753"/>
      <c r="W30" s="559"/>
      <c r="X30" s="760"/>
      <c r="Y30">
        <f t="shared" si="17"/>
        <v>0</v>
      </c>
      <c r="Z30" s="759">
        <f t="shared" si="18"/>
        <v>0</v>
      </c>
      <c r="AA30" s="1">
        <f t="shared" si="2"/>
        <v>0</v>
      </c>
      <c r="AB30" s="1">
        <f t="shared" si="3"/>
        <v>0</v>
      </c>
      <c r="AC30" s="1">
        <f t="shared" si="4"/>
        <v>0</v>
      </c>
      <c r="AD30" s="1">
        <f t="shared" si="5"/>
        <v>0</v>
      </c>
      <c r="AE30" s="1">
        <f t="shared" si="6"/>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f>IF(AND(C30="Skema 2",B30="on"),Arbejdstidsoversigt!$E$55,"")</f>
        <v>8</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7"/>
        <v>0</v>
      </c>
      <c r="BC30" s="1">
        <f t="shared" si="20"/>
        <v>0</v>
      </c>
      <c r="BD30" s="1">
        <f t="shared" si="8"/>
        <v>0</v>
      </c>
      <c r="BE30" s="1">
        <f t="shared" si="9"/>
        <v>0</v>
      </c>
      <c r="BF30" s="1">
        <f t="shared" si="10"/>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f>IF(AND(C30="Skema 2",B30="on"),Skemaoplysninger!$Q$28,"")</f>
        <v>0.125</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3</v>
      </c>
      <c r="CB30" s="1">
        <f t="shared" si="11"/>
        <v>0</v>
      </c>
      <c r="CC30" s="1">
        <f t="shared" si="12"/>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f>IF(AND(C30="Skema 2",B30="on"),Skemaoplysninger!$Q$37,"")</f>
        <v>0.5</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0.5</v>
      </c>
      <c r="CY30" s="457">
        <f>IF(C30="Skema 1",Stamoplysninger!$H$30/200,0)</f>
        <v>0</v>
      </c>
      <c r="CZ30" s="457">
        <f>IF(C30="Skema 2",Stamoplysninger!$H$30/200,0)</f>
        <v>1</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3"/>
        <v>23</v>
      </c>
      <c r="B31" s="218" t="str">
        <f t="shared" si="0"/>
        <v>to</v>
      </c>
      <c r="C31" s="219" t="s">
        <v>155</v>
      </c>
      <c r="D31" s="220" t="str">
        <f t="shared" si="1"/>
        <v/>
      </c>
      <c r="E31" s="906" t="s">
        <v>8</v>
      </c>
      <c r="F31" s="907"/>
      <c r="G31" s="908"/>
      <c r="H31" s="526"/>
      <c r="I31" s="855"/>
      <c r="J31" s="726"/>
      <c r="K31" s="669">
        <v>8</v>
      </c>
      <c r="L31" s="669">
        <v>4.5</v>
      </c>
      <c r="M31" s="669">
        <v>1</v>
      </c>
      <c r="N31" s="557">
        <f t="shared" si="14"/>
        <v>8</v>
      </c>
      <c r="O31" s="557">
        <f t="shared" si="15"/>
        <v>4.5</v>
      </c>
      <c r="P31" s="557">
        <f>IF(Stamoplysninger!$H$29="JA",Februar!DG31,CX31)</f>
        <v>1</v>
      </c>
      <c r="Q31" s="557">
        <f t="shared" si="16"/>
        <v>2.5</v>
      </c>
      <c r="R31" s="558"/>
      <c r="S31" s="564"/>
      <c r="T31" s="565"/>
      <c r="U31" s="565"/>
      <c r="V31" s="753"/>
      <c r="W31" s="559"/>
      <c r="X31" s="760"/>
      <c r="Y31">
        <f t="shared" si="17"/>
        <v>0</v>
      </c>
      <c r="Z31" s="759">
        <f t="shared" si="18"/>
        <v>0</v>
      </c>
      <c r="AA31" s="1">
        <f t="shared" si="2"/>
        <v>0</v>
      </c>
      <c r="AB31" s="1">
        <f t="shared" si="3"/>
        <v>8</v>
      </c>
      <c r="AC31" s="1">
        <f t="shared" si="4"/>
        <v>0</v>
      </c>
      <c r="AD31" s="1">
        <f t="shared" si="5"/>
        <v>0</v>
      </c>
      <c r="AE31" s="1">
        <f t="shared" si="6"/>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8</v>
      </c>
      <c r="BB31" s="421">
        <f t="shared" si="7"/>
        <v>0</v>
      </c>
      <c r="BC31" s="1">
        <f t="shared" si="20"/>
        <v>0</v>
      </c>
      <c r="BD31" s="1">
        <f t="shared" si="8"/>
        <v>0</v>
      </c>
      <c r="BE31" s="1">
        <f t="shared" si="9"/>
        <v>4.5</v>
      </c>
      <c r="BF31" s="1">
        <f t="shared" si="10"/>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4.5</v>
      </c>
      <c r="CB31" s="1">
        <f t="shared" si="11"/>
        <v>1</v>
      </c>
      <c r="CC31" s="1">
        <f t="shared" si="12"/>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1</v>
      </c>
      <c r="CY31" s="457">
        <f>IF(C31="Skema 1",Stamoplysninger!$H$30/200,0)</f>
        <v>0</v>
      </c>
      <c r="CZ31" s="457">
        <f>IF(C31="Skema 2",Stamoplysninger!$H$30/200,0)</f>
        <v>0</v>
      </c>
      <c r="DA31" s="457">
        <f>IF(C31="Skema 3",Stamoplysninger!$H$30/200,0)</f>
        <v>0</v>
      </c>
      <c r="DB31" s="457">
        <f>IF(C31="Skema 4",Stamoplysninger!$H$30/200,0)</f>
        <v>0</v>
      </c>
      <c r="DC31" s="457">
        <f>IF(C31="fagdag",Stamoplysninger!$H$30/200,0)</f>
        <v>1</v>
      </c>
      <c r="DD31" s="457">
        <f>IF(C31="emnedag",Stamoplysninger!$H$30/200,0)</f>
        <v>0</v>
      </c>
      <c r="DE31" s="457">
        <f>IF(C31="lejrskole",Stamoplysninger!$H$30/200,0)</f>
        <v>0</v>
      </c>
      <c r="DF31" s="457">
        <f>IF(C31="ekskursion",Stamoplysninger!$H$30/200,0)</f>
        <v>0</v>
      </c>
      <c r="DG31" s="457">
        <f t="shared" si="22"/>
        <v>1</v>
      </c>
    </row>
    <row r="32" spans="1:111">
      <c r="A32" s="443">
        <f t="shared" si="13"/>
        <v>24</v>
      </c>
      <c r="B32" s="218" t="str">
        <f t="shared" si="0"/>
        <v>fr</v>
      </c>
      <c r="C32" s="219" t="s">
        <v>242</v>
      </c>
      <c r="D32" s="220" t="str">
        <f t="shared" si="1"/>
        <v/>
      </c>
      <c r="E32" s="449"/>
      <c r="F32" s="450"/>
      <c r="G32" s="451"/>
      <c r="H32" s="526"/>
      <c r="I32" s="855"/>
      <c r="J32" s="726"/>
      <c r="K32" s="669"/>
      <c r="L32" s="669"/>
      <c r="M32" s="669"/>
      <c r="N32" s="557">
        <f t="shared" si="14"/>
        <v>6.5</v>
      </c>
      <c r="O32" s="557">
        <f t="shared" si="15"/>
        <v>3</v>
      </c>
      <c r="P32" s="557">
        <f>IF(Stamoplysninger!$H$29="JA",Februar!DG32,CX32)</f>
        <v>0.5</v>
      </c>
      <c r="Q32" s="557">
        <f t="shared" si="16"/>
        <v>3</v>
      </c>
      <c r="R32" s="558"/>
      <c r="S32" s="564"/>
      <c r="T32" s="565"/>
      <c r="U32" s="565"/>
      <c r="V32" s="753"/>
      <c r="W32" s="559"/>
      <c r="X32" s="760"/>
      <c r="Y32">
        <f t="shared" si="17"/>
        <v>0</v>
      </c>
      <c r="Z32" s="759">
        <f t="shared" si="18"/>
        <v>0</v>
      </c>
      <c r="AA32" s="1">
        <f t="shared" si="2"/>
        <v>0</v>
      </c>
      <c r="AB32" s="1">
        <f t="shared" si="3"/>
        <v>0</v>
      </c>
      <c r="AC32" s="1">
        <f t="shared" si="4"/>
        <v>0</v>
      </c>
      <c r="AD32" s="1">
        <f t="shared" si="5"/>
        <v>0</v>
      </c>
      <c r="AE32" s="1">
        <f t="shared" si="6"/>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f>IF(AND(C32="Skema 2",B32="fr"),Arbejdstidsoversigt!$E$57,"")</f>
        <v>6.5</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6.5</v>
      </c>
      <c r="BB32" s="421">
        <f t="shared" si="7"/>
        <v>0</v>
      </c>
      <c r="BC32" s="1">
        <f t="shared" si="20"/>
        <v>0</v>
      </c>
      <c r="BD32" s="1">
        <f t="shared" si="8"/>
        <v>0</v>
      </c>
      <c r="BE32" s="1">
        <f t="shared" si="9"/>
        <v>0</v>
      </c>
      <c r="BF32" s="1">
        <f t="shared" si="10"/>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f>IF(AND(C32="Skema 2",B32="fr"),Skemaoplysninger!$S$28,"")</f>
        <v>0.125</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3</v>
      </c>
      <c r="CB32" s="1">
        <f t="shared" si="11"/>
        <v>0</v>
      </c>
      <c r="CC32" s="1">
        <f t="shared" si="12"/>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f>IF(AND(C32="Skema 2",B32="fr"),Skemaoplysninger!$S$37,"")</f>
        <v>0.5</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0.5</v>
      </c>
      <c r="CY32" s="457">
        <f>IF(C32="Skema 1",Stamoplysninger!$H$30/200,0)</f>
        <v>0</v>
      </c>
      <c r="CZ32" s="457">
        <f>IF(C32="Skema 2",Stamoplysninger!$H$30/200,0)</f>
        <v>1</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3"/>
        <v>25</v>
      </c>
      <c r="B33" s="218" t="str">
        <f t="shared" si="0"/>
        <v>lø</v>
      </c>
      <c r="C33" s="219" t="s">
        <v>138</v>
      </c>
      <c r="D33" s="220" t="str">
        <f t="shared" si="1"/>
        <v/>
      </c>
      <c r="E33" s="906"/>
      <c r="F33" s="907"/>
      <c r="G33" s="908"/>
      <c r="H33" s="526"/>
      <c r="I33" s="726"/>
      <c r="J33" s="726"/>
      <c r="K33" s="669"/>
      <c r="L33" s="669"/>
      <c r="M33" s="669"/>
      <c r="N33" s="557">
        <f t="shared" si="14"/>
        <v>0</v>
      </c>
      <c r="O33" s="557">
        <f t="shared" si="15"/>
        <v>0</v>
      </c>
      <c r="P33" s="557">
        <f>IF(Stamoplysninger!$H$29="JA",Februar!DG33,CX33)</f>
        <v>0</v>
      </c>
      <c r="Q33" s="557">
        <f t="shared" si="16"/>
        <v>0</v>
      </c>
      <c r="R33" s="558"/>
      <c r="S33" s="564"/>
      <c r="T33" s="565"/>
      <c r="U33" s="565"/>
      <c r="V33" s="753"/>
      <c r="W33" s="559"/>
      <c r="X33" s="760"/>
      <c r="Y33">
        <f t="shared" si="17"/>
        <v>0</v>
      </c>
      <c r="Z33" s="759">
        <f t="shared" si="18"/>
        <v>0</v>
      </c>
      <c r="AA33" s="1">
        <f t="shared" si="2"/>
        <v>0</v>
      </c>
      <c r="AB33" s="1">
        <f t="shared" si="3"/>
        <v>0</v>
      </c>
      <c r="AC33" s="1">
        <f t="shared" si="4"/>
        <v>0</v>
      </c>
      <c r="AD33" s="1">
        <f t="shared" si="5"/>
        <v>0</v>
      </c>
      <c r="AE33" s="1">
        <f t="shared" si="6"/>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7"/>
        <v>0</v>
      </c>
      <c r="BC33" s="1">
        <f t="shared" si="20"/>
        <v>0</v>
      </c>
      <c r="BD33" s="1">
        <f t="shared" si="8"/>
        <v>0</v>
      </c>
      <c r="BE33" s="1">
        <f t="shared" si="9"/>
        <v>0</v>
      </c>
      <c r="BF33" s="1">
        <f t="shared" si="10"/>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1"/>
        <v>0</v>
      </c>
      <c r="CC33" s="1">
        <f t="shared" si="12"/>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3"/>
        <v>26</v>
      </c>
      <c r="B34" s="218" t="str">
        <f t="shared" si="0"/>
        <v>sø</v>
      </c>
      <c r="C34" s="219" t="s">
        <v>138</v>
      </c>
      <c r="D34" s="220" t="str">
        <f t="shared" si="1"/>
        <v/>
      </c>
      <c r="E34" s="906"/>
      <c r="F34" s="907"/>
      <c r="G34" s="908"/>
      <c r="H34" s="526"/>
      <c r="I34" s="726"/>
      <c r="J34" s="726"/>
      <c r="K34" s="669"/>
      <c r="L34" s="669"/>
      <c r="M34" s="669"/>
      <c r="N34" s="557">
        <f t="shared" si="14"/>
        <v>0</v>
      </c>
      <c r="O34" s="557">
        <f t="shared" si="15"/>
        <v>0</v>
      </c>
      <c r="P34" s="557">
        <f>IF(Stamoplysninger!$H$29="JA",Februar!DG34,CX34)</f>
        <v>0</v>
      </c>
      <c r="Q34" s="557">
        <f t="shared" si="16"/>
        <v>0</v>
      </c>
      <c r="R34" s="558"/>
      <c r="S34" s="564"/>
      <c r="T34" s="565"/>
      <c r="U34" s="565"/>
      <c r="V34" s="753"/>
      <c r="W34" s="559"/>
      <c r="X34" s="760"/>
      <c r="Y34">
        <f t="shared" si="17"/>
        <v>0</v>
      </c>
      <c r="Z34" s="759">
        <f t="shared" si="18"/>
        <v>0</v>
      </c>
      <c r="AA34" s="1">
        <f t="shared" si="2"/>
        <v>0</v>
      </c>
      <c r="AB34" s="1">
        <f t="shared" si="3"/>
        <v>0</v>
      </c>
      <c r="AC34" s="1">
        <f t="shared" si="4"/>
        <v>0</v>
      </c>
      <c r="AD34" s="1">
        <f t="shared" si="5"/>
        <v>0</v>
      </c>
      <c r="AE34" s="1">
        <f t="shared" si="6"/>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0</v>
      </c>
      <c r="BB34" s="421">
        <f t="shared" si="7"/>
        <v>0</v>
      </c>
      <c r="BC34" s="1">
        <f t="shared" si="20"/>
        <v>0</v>
      </c>
      <c r="BD34" s="1">
        <f t="shared" si="8"/>
        <v>0</v>
      </c>
      <c r="BE34" s="1">
        <f t="shared" si="9"/>
        <v>0</v>
      </c>
      <c r="BF34" s="1">
        <f t="shared" si="10"/>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1"/>
        <v>0</v>
      </c>
      <c r="CC34" s="1">
        <f t="shared" si="12"/>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3"/>
        <v>27</v>
      </c>
      <c r="B35" s="218" t="str">
        <f t="shared" si="0"/>
        <v>ma</v>
      </c>
      <c r="C35" s="219" t="s">
        <v>242</v>
      </c>
      <c r="D35" s="220">
        <f t="shared" si="1"/>
        <v>9.1428571428571423</v>
      </c>
      <c r="E35" s="906"/>
      <c r="F35" s="907"/>
      <c r="G35" s="908"/>
      <c r="H35" s="526"/>
      <c r="I35" s="855"/>
      <c r="J35" s="726"/>
      <c r="K35" s="669"/>
      <c r="L35" s="669"/>
      <c r="M35" s="669"/>
      <c r="N35" s="557">
        <f t="shared" si="14"/>
        <v>8</v>
      </c>
      <c r="O35" s="557">
        <f t="shared" si="15"/>
        <v>4.5</v>
      </c>
      <c r="P35" s="557">
        <f>IF(Stamoplysninger!$H$29="JA",Februar!DG35,CX35)</f>
        <v>1.0833333333333335</v>
      </c>
      <c r="Q35" s="557">
        <f t="shared" si="16"/>
        <v>2.4166666666666665</v>
      </c>
      <c r="R35" s="558"/>
      <c r="S35" s="564"/>
      <c r="T35" s="565"/>
      <c r="U35" s="565"/>
      <c r="V35" s="753"/>
      <c r="W35" s="559"/>
      <c r="X35" s="760"/>
      <c r="Y35">
        <f t="shared" si="17"/>
        <v>0</v>
      </c>
      <c r="Z35" s="759">
        <f t="shared" si="18"/>
        <v>0</v>
      </c>
      <c r="AA35" s="1">
        <f t="shared" si="2"/>
        <v>0</v>
      </c>
      <c r="AB35" s="1">
        <f t="shared" si="3"/>
        <v>0</v>
      </c>
      <c r="AC35" s="1">
        <f t="shared" si="4"/>
        <v>0</v>
      </c>
      <c r="AD35" s="1">
        <f t="shared" si="5"/>
        <v>0</v>
      </c>
      <c r="AE35" s="1">
        <f t="shared" si="6"/>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f>IF(AND(C35="Skema 2",B35="ma"),Arbejdstidsoversigt!$E$53,"")</f>
        <v>8</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8</v>
      </c>
      <c r="BB35" s="421">
        <f t="shared" si="7"/>
        <v>0</v>
      </c>
      <c r="BC35" s="1">
        <f t="shared" si="20"/>
        <v>0</v>
      </c>
      <c r="BD35" s="1">
        <f t="shared" si="8"/>
        <v>0</v>
      </c>
      <c r="BE35" s="1">
        <f t="shared" si="9"/>
        <v>0</v>
      </c>
      <c r="BF35" s="1">
        <f t="shared" si="10"/>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f>IF(AND(C35="Skema 2",B35="ma"),Skemaoplysninger!$O$28,"")</f>
        <v>0.1875</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4.5</v>
      </c>
      <c r="CB35" s="1">
        <f t="shared" si="11"/>
        <v>0</v>
      </c>
      <c r="CC35" s="1">
        <f t="shared" si="12"/>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f>IF(AND(C35="Skema 2",B35="ma"),Skemaoplysninger!$O$37,"")</f>
        <v>1.0833333333333335</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1.0833333333333335</v>
      </c>
      <c r="CY35" s="457">
        <f>IF(C35="Skema 1",Stamoplysninger!$H$30/200,0)</f>
        <v>0</v>
      </c>
      <c r="CZ35" s="457">
        <f>IF(C35="Skema 2",Stamoplysninger!$H$30/200,0)</f>
        <v>1</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row>
    <row r="36" spans="1:111">
      <c r="A36" s="443">
        <f t="shared" si="13"/>
        <v>28</v>
      </c>
      <c r="B36" s="218" t="str">
        <f t="shared" si="0"/>
        <v>ti</v>
      </c>
      <c r="C36" s="219" t="s">
        <v>242</v>
      </c>
      <c r="D36" s="220" t="str">
        <f t="shared" si="1"/>
        <v/>
      </c>
      <c r="E36" s="906"/>
      <c r="F36" s="907"/>
      <c r="G36" s="908"/>
      <c r="H36" s="526"/>
      <c r="I36" s="855"/>
      <c r="J36" s="726"/>
      <c r="K36" s="669"/>
      <c r="L36" s="669"/>
      <c r="M36" s="669"/>
      <c r="N36" s="557">
        <f t="shared" si="14"/>
        <v>8</v>
      </c>
      <c r="O36" s="557">
        <f t="shared" si="15"/>
        <v>4.5</v>
      </c>
      <c r="P36" s="557">
        <f>IF(Stamoplysninger!$H$29="JA",Februar!DG36,CX36)</f>
        <v>1.0833333333333335</v>
      </c>
      <c r="Q36" s="557">
        <f t="shared" si="16"/>
        <v>2.4166666666666665</v>
      </c>
      <c r="R36" s="558"/>
      <c r="S36" s="564"/>
      <c r="T36" s="565"/>
      <c r="U36" s="565"/>
      <c r="V36" s="753"/>
      <c r="W36" s="559"/>
      <c r="X36" s="760"/>
      <c r="Y36">
        <f t="shared" si="17"/>
        <v>0</v>
      </c>
      <c r="Z36" s="759">
        <f t="shared" si="18"/>
        <v>0</v>
      </c>
      <c r="AA36" s="1">
        <f t="shared" si="2"/>
        <v>0</v>
      </c>
      <c r="AB36" s="1">
        <f t="shared" si="3"/>
        <v>0</v>
      </c>
      <c r="AC36" s="1">
        <f t="shared" si="4"/>
        <v>0</v>
      </c>
      <c r="AD36" s="1">
        <f t="shared" si="5"/>
        <v>0</v>
      </c>
      <c r="AE36" s="1">
        <f t="shared" si="6"/>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f>IF(AND(C36="Skema 2",B36="ti"),Arbejdstidsoversigt!$E$54,"")</f>
        <v>8</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8</v>
      </c>
      <c r="BB36" s="421">
        <f t="shared" si="7"/>
        <v>0</v>
      </c>
      <c r="BC36" s="1">
        <f t="shared" si="20"/>
        <v>0</v>
      </c>
      <c r="BD36" s="1">
        <f t="shared" si="8"/>
        <v>0</v>
      </c>
      <c r="BE36" s="1">
        <f t="shared" si="9"/>
        <v>0</v>
      </c>
      <c r="BF36" s="1">
        <f t="shared" si="10"/>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f>IF(AND(C36="Skema 2",B36="ti"),Skemaoplysninger!$P$28,"")</f>
        <v>0.1875</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4.5</v>
      </c>
      <c r="CB36" s="1">
        <f t="shared" si="11"/>
        <v>0</v>
      </c>
      <c r="CC36" s="1">
        <f t="shared" si="12"/>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f>IF(AND(C36="Skema 2",B36="ti"),Skemaoplysninger!$P$37,"")</f>
        <v>1.0833333333333335</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1.0833333333333335</v>
      </c>
      <c r="CY36" s="457">
        <f>IF(C36="Skema 1",Stamoplysninger!$H$30/200,0)</f>
        <v>0</v>
      </c>
      <c r="CZ36" s="457">
        <f>IF(C36="Skema 2",Stamoplysninger!$H$30/200,0)</f>
        <v>1</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1</v>
      </c>
    </row>
    <row r="37" spans="1:111" ht="17" thickBot="1">
      <c r="A37" s="1101" t="s">
        <v>308</v>
      </c>
      <c r="B37" s="1102"/>
      <c r="C37" s="1102"/>
      <c r="D37" s="1102"/>
      <c r="E37" s="1102"/>
      <c r="F37" s="1102"/>
      <c r="G37" s="1102"/>
      <c r="H37" s="1102"/>
      <c r="I37" s="1103"/>
      <c r="J37" s="552"/>
      <c r="K37" s="561"/>
      <c r="L37" s="561"/>
      <c r="M37" s="561"/>
      <c r="N37" s="562">
        <f t="shared" ref="N37:Q37" si="23">SUM(N9:N36)</f>
        <v>115.5</v>
      </c>
      <c r="O37" s="562">
        <f t="shared" si="23"/>
        <v>55.5</v>
      </c>
      <c r="P37" s="562">
        <f t="shared" si="23"/>
        <v>11.500000000000002</v>
      </c>
      <c r="Q37" s="562">
        <f t="shared" si="23"/>
        <v>48.499999999999993</v>
      </c>
      <c r="R37"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f>
        <v>0</v>
      </c>
      <c r="S37" s="564"/>
      <c r="T37" s="565"/>
      <c r="U37" s="565"/>
      <c r="V37"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f>
        <v>0</v>
      </c>
      <c r="W37" s="751">
        <f t="shared" ref="W37:X37" si="24">IF(T9="x",W9,0)+IF(T10="x",W10,0)+IF(T11="x",W11,0)+IF(T12="x",W12,0)+IF(T13="x",W13,0)+IF(T14="x",W14,0)+IF(T15="x",W15,0)+IF(T16="x",W16,0)+IF(T17="x",W17,0)+IF(T18="x",W18,0)+IF(T19="x",W19,0)+IF(T20="x",W20,0)+IF(T21="x",W21,0)+IF(T22="x",W22,0)+IF(T23="x",W23,0)+IF(T24="x",W24,0)+IF(T25="x",W25,0)+IF(T26="x",W26,0)+IF(T27="x",W27,0)+IF(T28="x",W28,0)+IF(T29="x",W29,0)+IF(T30="x",W30,0)+IF(T31="x",W31,0)+IF(T32="x",W32,0)+IF(T33="x",W33,0)+IF(T34="x",W34,0)+IF(T35="x",W35,0)+IF(T36="x",W36,0)</f>
        <v>0</v>
      </c>
      <c r="X37" s="752">
        <f t="shared" si="24"/>
        <v>0</v>
      </c>
      <c r="Y37" s="751">
        <f t="shared" ref="Y37:Z37" si="25">Y9+Y10+Y11+Y12+Y13+Y14+Y15+Y16+Y17+Y18+Y19+Y20+Y21+Y22+Y23+Y24+Y25+Y26+Y27+Y28+Y29+Y30+Y31+Y32+Y33+Y34+Y35+Y36</f>
        <v>0</v>
      </c>
      <c r="Z37" s="751">
        <f t="shared" si="25"/>
        <v>0</v>
      </c>
      <c r="AA37" s="431">
        <f t="shared" ref="AA37:AF37" si="26">SUM(AA9:AA36)</f>
        <v>0</v>
      </c>
      <c r="AB37" s="431">
        <f t="shared" si="26"/>
        <v>8</v>
      </c>
      <c r="AC37" s="431">
        <f t="shared" si="26"/>
        <v>0</v>
      </c>
      <c r="AD37" s="431">
        <f t="shared" si="26"/>
        <v>0</v>
      </c>
      <c r="AE37" s="431">
        <f t="shared" si="26"/>
        <v>0</v>
      </c>
      <c r="AF37" s="585">
        <f t="shared" si="26"/>
        <v>0</v>
      </c>
      <c r="AQ37" s="383"/>
      <c r="AR37" s="383"/>
      <c r="AS37" s="383"/>
      <c r="AT37" s="383"/>
      <c r="AU37" s="383"/>
      <c r="AV37" s="383"/>
      <c r="AW37" s="383"/>
      <c r="AX37" s="383"/>
      <c r="AY37" s="383"/>
      <c r="AZ37" s="383"/>
      <c r="BA37" s="1">
        <f>SUM(BA9:BA36)</f>
        <v>115.5</v>
      </c>
      <c r="BB37" s="180"/>
      <c r="BC37" s="431">
        <f>SUM(BC9:BC36)</f>
        <v>0</v>
      </c>
      <c r="BD37" s="431">
        <f>SUM(BD9:BD36)</f>
        <v>0</v>
      </c>
      <c r="BE37" s="431">
        <f>SUM(BE9:BE36)</f>
        <v>4.5</v>
      </c>
      <c r="BF37" s="431">
        <f>SUM(BF9:BF36)</f>
        <v>0</v>
      </c>
      <c r="BQ37" s="383"/>
      <c r="BR37" s="383"/>
      <c r="BS37" s="383"/>
      <c r="BT37" s="383"/>
      <c r="BU37" s="383"/>
      <c r="BV37" s="383"/>
      <c r="BW37" s="383"/>
      <c r="BX37" s="383"/>
      <c r="BY37" s="383"/>
      <c r="BZ37" s="383"/>
      <c r="CA37" s="431">
        <f>SUM(CA9:CA36)</f>
        <v>55.5</v>
      </c>
      <c r="CB37" s="431">
        <f>SUM(CB9:CB36)</f>
        <v>1</v>
      </c>
      <c r="CC37" s="431">
        <f>SUM(CC9:CC36)</f>
        <v>0</v>
      </c>
      <c r="CN37" s="383"/>
      <c r="CO37" s="383"/>
      <c r="CP37" s="383"/>
      <c r="CQ37" s="383"/>
      <c r="CR37" s="383"/>
      <c r="CS37" s="383"/>
      <c r="CT37" s="383"/>
      <c r="CU37" s="383"/>
      <c r="CV37" s="383"/>
      <c r="CW37" s="383"/>
      <c r="CX37" s="457"/>
      <c r="CY37" s="457">
        <f t="shared" ref="CY37:DG37" si="27">SUM(CY9:CY36)</f>
        <v>0</v>
      </c>
      <c r="CZ37" s="457">
        <f t="shared" si="27"/>
        <v>14</v>
      </c>
      <c r="DA37" s="457">
        <f t="shared" si="27"/>
        <v>0</v>
      </c>
      <c r="DB37" s="457">
        <f t="shared" si="27"/>
        <v>0</v>
      </c>
      <c r="DC37" s="457">
        <f t="shared" si="27"/>
        <v>1</v>
      </c>
      <c r="DD37" s="457">
        <f t="shared" si="27"/>
        <v>0</v>
      </c>
      <c r="DE37" s="457">
        <f t="shared" si="27"/>
        <v>0</v>
      </c>
      <c r="DF37" s="457">
        <f t="shared" si="27"/>
        <v>0</v>
      </c>
      <c r="DG37" s="457">
        <f t="shared" si="27"/>
        <v>15</v>
      </c>
    </row>
    <row r="38" spans="1:111" s="435" customFormat="1" ht="26" thickBot="1">
      <c r="A38" s="444"/>
      <c r="B38" s="444"/>
      <c r="C38" s="444"/>
      <c r="D38" s="444"/>
      <c r="E38" s="444"/>
      <c r="F38" s="444"/>
      <c r="G38" s="444"/>
      <c r="H38" s="444"/>
      <c r="I38" s="444"/>
      <c r="J38" s="444"/>
      <c r="K38" s="437"/>
      <c r="L38" s="437"/>
      <c r="M38" s="387"/>
      <c r="N38" s="387"/>
      <c r="O38" s="387"/>
      <c r="P38" s="387"/>
      <c r="Q38" s="387"/>
      <c r="R38" s="387"/>
      <c r="S38" s="772"/>
      <c r="T38" s="772"/>
      <c r="U38" s="772"/>
      <c r="V38" s="772"/>
      <c r="W38" s="772"/>
      <c r="X38" s="772"/>
      <c r="Y38" s="772"/>
      <c r="Z38" s="772"/>
      <c r="AA38" s="773"/>
      <c r="AB38" s="445"/>
      <c r="AC38" s="445"/>
      <c r="AD38" s="446"/>
      <c r="AE38" s="446"/>
      <c r="AF38" s="446"/>
      <c r="AG38" s="446"/>
      <c r="AR38" s="447"/>
      <c r="AS38" s="447"/>
      <c r="AT38" s="447"/>
      <c r="AU38" s="447"/>
      <c r="AV38" s="447"/>
      <c r="AW38" s="447"/>
      <c r="AX38" s="447"/>
      <c r="AY38" s="447"/>
      <c r="AZ38" s="447"/>
      <c r="BA38" s="447"/>
      <c r="BB38" s="447"/>
      <c r="BC38" s="446"/>
      <c r="BD38" s="446"/>
      <c r="BE38" s="446"/>
      <c r="BF38" s="446"/>
      <c r="BG38" s="448"/>
      <c r="BR38" s="447"/>
      <c r="BS38" s="447"/>
      <c r="BT38" s="447"/>
      <c r="BU38" s="447"/>
      <c r="BV38" s="447"/>
      <c r="BW38" s="447"/>
      <c r="BX38" s="447"/>
      <c r="BY38" s="447"/>
      <c r="BZ38" s="447"/>
      <c r="CA38" s="447"/>
      <c r="CB38" s="446"/>
      <c r="CC38" s="446"/>
      <c r="CD38" s="448"/>
      <c r="CO38" s="447"/>
      <c r="CP38" s="447"/>
      <c r="CQ38" s="447"/>
      <c r="CR38" s="447"/>
      <c r="CS38" s="447"/>
      <c r="CT38" s="447"/>
      <c r="CU38" s="447"/>
      <c r="CV38" s="447"/>
      <c r="CW38" s="447"/>
      <c r="CX38" s="458"/>
      <c r="CY38" s="458"/>
    </row>
    <row r="39" spans="1:111" ht="70" customHeight="1">
      <c r="A39" s="1138" t="str">
        <f>"Arbejdstid for "&amp;A7&amp;" måned:"</f>
        <v>Arbejdstid for Februar måned:</v>
      </c>
      <c r="B39" s="1139"/>
      <c r="C39" s="1139"/>
      <c r="D39" s="1139"/>
      <c r="E39" s="1139"/>
      <c r="F39" s="1139"/>
      <c r="G39" s="1139"/>
      <c r="H39" s="571" t="s">
        <v>303</v>
      </c>
      <c r="I39" s="1139" t="s">
        <v>264</v>
      </c>
      <c r="J39" s="1140"/>
      <c r="K39" s="1141"/>
      <c r="L39" s="472"/>
      <c r="M39" s="1164" t="str">
        <f>"Ulempetimer og weekendtimer i "&amp;A5&amp;""</f>
        <v>Ulempetimer og weekendtimer i Februar måneds kalender for: Beate Simonsen. Måneden vedr. normperioden: 01.08.2022 - 31.07.2023.</v>
      </c>
      <c r="N39" s="1165"/>
      <c r="O39" s="1165"/>
      <c r="P39" s="1165"/>
      <c r="Q39" s="1165"/>
      <c r="R39" s="1165"/>
      <c r="S39" s="1165"/>
      <c r="T39" s="1165"/>
      <c r="U39" s="1165"/>
      <c r="V39" s="1165"/>
      <c r="W39" s="1165"/>
      <c r="X39" s="1166"/>
      <c r="Y39" s="437"/>
      <c r="Z39"/>
      <c r="AC39" s="124"/>
      <c r="AD39" s="124"/>
      <c r="AY39" s="436"/>
      <c r="BL39" s="1"/>
      <c r="CI39" s="1"/>
      <c r="CT39" s="455"/>
      <c r="CU39" s="455"/>
      <c r="CY39"/>
      <c r="CZ39"/>
    </row>
    <row r="40" spans="1:111">
      <c r="A40" s="1105" t="s">
        <v>302</v>
      </c>
      <c r="B40" s="1106"/>
      <c r="C40" s="1106"/>
      <c r="D40" s="1106"/>
      <c r="E40" s="1106"/>
      <c r="F40" s="1106"/>
      <c r="G40" s="1106"/>
      <c r="H40" s="466">
        <f>D64</f>
        <v>20</v>
      </c>
      <c r="I40" s="1107">
        <f>IF(Stamoplysninger!$E$12="Ja",1924/Arbejdstidsoversigt!$K$9*Stamoplysninger!$E$15*H40,H40*7.4*Stamoplysninger!$E$13)</f>
        <v>147.43295019157088</v>
      </c>
      <c r="J40" s="1108"/>
      <c r="K40" s="1109"/>
      <c r="L40" s="468"/>
      <c r="M40" s="1167" t="s">
        <v>368</v>
      </c>
      <c r="N40" s="1168"/>
      <c r="O40" s="1168"/>
      <c r="P40" s="1168"/>
      <c r="Q40" s="1168"/>
      <c r="R40" s="1168"/>
      <c r="S40" s="1168"/>
      <c r="T40" s="1168"/>
      <c r="U40" s="1168"/>
      <c r="V40" s="1169">
        <f>M59+S58+T58+M62+M66+M60+N59+N66</f>
        <v>0</v>
      </c>
      <c r="W40" s="1169"/>
      <c r="X40" s="1170"/>
      <c r="Y40" s="437"/>
      <c r="Z40"/>
      <c r="AC40" s="124"/>
      <c r="AD40" s="124"/>
      <c r="AY40" s="436"/>
      <c r="BL40" s="1"/>
      <c r="CI40" s="1"/>
      <c r="CT40" s="455"/>
      <c r="CU40" s="455"/>
      <c r="CY40"/>
      <c r="CZ40"/>
    </row>
    <row r="41" spans="1:111">
      <c r="A41" s="1105" t="str">
        <f>"Ferie "&amp;A7&amp;" måned"</f>
        <v>Ferie Februar måned</v>
      </c>
      <c r="B41" s="1106"/>
      <c r="C41" s="1106"/>
      <c r="D41" s="1106"/>
      <c r="E41" s="1106"/>
      <c r="F41" s="1106"/>
      <c r="G41" s="1106"/>
      <c r="H41" s="467" t="str">
        <f>IF(D59&gt;0,$D$59,"0")</f>
        <v>0</v>
      </c>
      <c r="I41" s="1110">
        <f>H41*7.4*Stamoplysninger!$E$15</f>
        <v>0</v>
      </c>
      <c r="J41" s="1111"/>
      <c r="K41" s="1112"/>
      <c r="L41" s="468"/>
      <c r="M41" s="1171" t="s">
        <v>307</v>
      </c>
      <c r="N41" s="1172"/>
      <c r="O41" s="1172"/>
      <c r="P41" s="1172"/>
      <c r="Q41" s="1172"/>
      <c r="R41" s="1172"/>
      <c r="S41" s="1172"/>
      <c r="T41" s="1172"/>
      <c r="U41" s="1172"/>
      <c r="V41" s="1173">
        <f>M58+S57+T57+M61+M65+M57+N57+N65</f>
        <v>0</v>
      </c>
      <c r="W41" s="1173"/>
      <c r="X41" s="1174"/>
      <c r="Y41" s="437"/>
      <c r="Z41"/>
      <c r="AC41" s="124"/>
      <c r="AD41" s="124"/>
      <c r="AY41" s="436"/>
      <c r="BL41" s="1"/>
      <c r="CI41" s="1"/>
      <c r="CT41" s="455"/>
      <c r="CU41" s="455"/>
      <c r="CY41"/>
      <c r="CZ41"/>
    </row>
    <row r="42" spans="1:111">
      <c r="A42" s="1105" t="str">
        <f>"Søgnehelligdage i "&amp;A7&amp;" måned"</f>
        <v>Søgnehelligdage i Februar måned</v>
      </c>
      <c r="B42" s="1106"/>
      <c r="C42" s="1106"/>
      <c r="D42" s="1106"/>
      <c r="E42" s="1106"/>
      <c r="F42" s="1106"/>
      <c r="G42" s="1106"/>
      <c r="H42" s="467">
        <f>IF(D58&gt;0,D58,0)</f>
        <v>0</v>
      </c>
      <c r="I42" s="1110">
        <f>H42*7.4*Stamoplysninger!$E$15</f>
        <v>0</v>
      </c>
      <c r="J42" s="1111"/>
      <c r="K42" s="1112"/>
      <c r="L42" s="469"/>
      <c r="M42" s="1175" t="s">
        <v>347</v>
      </c>
      <c r="N42" s="1176"/>
      <c r="O42" s="1176"/>
      <c r="P42" s="1176"/>
      <c r="Q42" s="1176"/>
      <c r="R42" s="1176"/>
      <c r="S42" s="1176"/>
      <c r="T42" s="1176"/>
      <c r="U42" s="1176"/>
      <c r="V42" s="1186">
        <f>Januar!V55</f>
        <v>0</v>
      </c>
      <c r="W42" s="1186"/>
      <c r="X42" s="1187"/>
      <c r="Y42" s="437"/>
      <c r="Z42"/>
      <c r="AC42" s="124"/>
      <c r="AD42" s="124"/>
      <c r="AY42" s="436"/>
      <c r="BL42" s="1"/>
      <c r="CI42" s="1"/>
      <c r="CT42" s="455"/>
      <c r="CU42" s="455"/>
      <c r="CY42"/>
      <c r="CZ42"/>
    </row>
    <row r="43" spans="1:111">
      <c r="A43" s="1105" t="str">
        <f>"Nettoarbejdstid ialt i "&amp;A7&amp;" måned"</f>
        <v>Nettoarbejdstid ialt i Februar måned</v>
      </c>
      <c r="B43" s="1106"/>
      <c r="C43" s="1106"/>
      <c r="D43" s="1106"/>
      <c r="E43" s="1106"/>
      <c r="F43" s="1106"/>
      <c r="G43" s="1106"/>
      <c r="H43" s="470">
        <f>H40-H41-H42</f>
        <v>20</v>
      </c>
      <c r="I43" s="1110">
        <f>I40-I41-I42</f>
        <v>147.43295019157088</v>
      </c>
      <c r="J43" s="1111"/>
      <c r="K43" s="1112"/>
      <c r="L43" s="469"/>
      <c r="M43" s="1134" t="s">
        <v>354</v>
      </c>
      <c r="N43" s="1135"/>
      <c r="O43" s="1135"/>
      <c r="P43" s="1135"/>
      <c r="Q43" s="1135"/>
      <c r="R43" s="1135"/>
      <c r="S43" s="1135"/>
      <c r="T43" s="1135"/>
      <c r="U43" s="1135"/>
      <c r="V43" s="1136">
        <f>V41+V42</f>
        <v>0</v>
      </c>
      <c r="W43" s="1136"/>
      <c r="X43" s="1137"/>
      <c r="Y43" s="437"/>
      <c r="Z43"/>
      <c r="AC43" s="124"/>
      <c r="AD43" s="124"/>
      <c r="AY43" s="436"/>
      <c r="BL43" s="1"/>
      <c r="CI43" s="1"/>
      <c r="CT43" s="455"/>
      <c r="CU43" s="455"/>
      <c r="CY43"/>
      <c r="CZ43"/>
    </row>
    <row r="44" spans="1:111">
      <c r="A44" s="1113" t="str">
        <f>"Planlagt arbejdstid efter ovennstående "&amp;A7&amp;" måned kalender"</f>
        <v>Planlagt arbejdstid efter ovennstående Februar måned kalender</v>
      </c>
      <c r="B44" s="1114"/>
      <c r="C44" s="1114"/>
      <c r="D44" s="1114"/>
      <c r="E44" s="1114"/>
      <c r="F44" s="1114"/>
      <c r="G44" s="1114"/>
      <c r="H44" s="866">
        <f>D50+D51+D52+D53+D54+D55+D56</f>
        <v>15</v>
      </c>
      <c r="I44" s="1115">
        <f>N37+R37-J53</f>
        <v>115.5</v>
      </c>
      <c r="J44" s="1116"/>
      <c r="K44" s="1117"/>
      <c r="L44" s="678"/>
      <c r="M44" s="1157" t="s">
        <v>345</v>
      </c>
      <c r="N44" s="1158"/>
      <c r="O44" s="1158"/>
      <c r="P44" s="1158"/>
      <c r="Q44" s="1158"/>
      <c r="R44" s="1158"/>
      <c r="S44" s="1158"/>
      <c r="T44" s="1158"/>
      <c r="U44" s="1158"/>
      <c r="V44" s="1158"/>
      <c r="W44" s="1158"/>
      <c r="X44" s="1159"/>
      <c r="Y44" s="437"/>
      <c r="Z44"/>
      <c r="AC44" s="124"/>
      <c r="AD44" s="124"/>
      <c r="AY44" s="436"/>
      <c r="BL44" s="1"/>
      <c r="CI44" s="1"/>
      <c r="CT44" s="455"/>
      <c r="CU44" s="455"/>
      <c r="CY44"/>
      <c r="CZ44"/>
    </row>
    <row r="45" spans="1:111">
      <c r="A45" s="1121" t="s">
        <v>574</v>
      </c>
      <c r="B45" s="1122"/>
      <c r="C45" s="1122"/>
      <c r="D45" s="1122"/>
      <c r="E45" s="1122"/>
      <c r="F45" s="1122"/>
      <c r="G45" s="1122"/>
      <c r="H45" s="1123"/>
      <c r="I45" s="1118">
        <f>(M57+M59+M67+M69+M63+M64+M68)*-1</f>
        <v>0</v>
      </c>
      <c r="J45" s="1119"/>
      <c r="K45" s="1120"/>
      <c r="L45" s="679"/>
      <c r="M45" s="1160" t="s">
        <v>633</v>
      </c>
      <c r="N45" s="1161"/>
      <c r="O45" s="1161"/>
      <c r="P45" s="1161"/>
      <c r="Q45" s="1161"/>
      <c r="R45" s="1161"/>
      <c r="S45" s="1161"/>
      <c r="T45" s="1161"/>
      <c r="U45" s="1161"/>
      <c r="V45" s="1162" t="s">
        <v>264</v>
      </c>
      <c r="W45" s="1162"/>
      <c r="X45" s="1163"/>
      <c r="Y45" s="437"/>
      <c r="Z45"/>
      <c r="AC45" s="124"/>
      <c r="AD45" s="124"/>
      <c r="AY45" s="436"/>
      <c r="BL45" s="1"/>
      <c r="CI45" s="1"/>
      <c r="CT45" s="455"/>
      <c r="CU45" s="455"/>
      <c r="CY45"/>
      <c r="CZ45"/>
    </row>
    <row r="46" spans="1:111">
      <c r="A46" s="1126" t="str">
        <f>"Arbejde særligt planlagt for "&amp;A7&amp;" måned efter fanen skemaoplysninger"</f>
        <v>Arbejde særligt planlagt for Februar måned efter fanen skemaoplysninger</v>
      </c>
      <c r="B46" s="1127"/>
      <c r="C46" s="1127"/>
      <c r="D46" s="1127"/>
      <c r="E46" s="1127"/>
      <c r="F46" s="1127"/>
      <c r="G46" s="1127"/>
      <c r="H46" s="1128"/>
      <c r="I46" s="1116">
        <f>Skemaoplysninger!Q67</f>
        <v>0</v>
      </c>
      <c r="J46" s="1124"/>
      <c r="K46" s="1125"/>
      <c r="L46" s="439"/>
      <c r="M46" s="1147"/>
      <c r="N46" s="1148"/>
      <c r="O46" s="1148"/>
      <c r="P46" s="1148"/>
      <c r="Q46" s="1148"/>
      <c r="R46" s="1148"/>
      <c r="S46" s="1148"/>
      <c r="T46" s="1148"/>
      <c r="U46" s="1148"/>
      <c r="V46" s="1149"/>
      <c r="W46" s="1149"/>
      <c r="X46" s="1150"/>
      <c r="Y46" s="437"/>
      <c r="Z46" s="437"/>
      <c r="AA46" s="436"/>
      <c r="AC46" s="436"/>
      <c r="AE46" s="124"/>
      <c r="AG46" s="124"/>
      <c r="AZ46" s="437"/>
      <c r="BA46" s="436"/>
      <c r="BN46" s="1"/>
      <c r="CK46" s="1"/>
      <c r="CU46" s="455"/>
      <c r="CV46" s="455"/>
      <c r="CY46"/>
      <c r="CZ46"/>
    </row>
    <row r="47" spans="1:111">
      <c r="A47" s="1142" t="s">
        <v>342</v>
      </c>
      <c r="B47" s="1143"/>
      <c r="C47" s="1143"/>
      <c r="D47" s="1143"/>
      <c r="E47" s="1143"/>
      <c r="F47" s="1143"/>
      <c r="G47" s="1143"/>
      <c r="H47" s="1143"/>
      <c r="I47" s="1194">
        <f>V37+X37-N54</f>
        <v>0</v>
      </c>
      <c r="J47" s="1118"/>
      <c r="K47" s="1195"/>
      <c r="L47" s="439"/>
      <c r="M47" s="1147"/>
      <c r="N47" s="1148"/>
      <c r="O47" s="1148"/>
      <c r="P47" s="1148"/>
      <c r="Q47" s="1148"/>
      <c r="R47" s="1148"/>
      <c r="S47" s="1148"/>
      <c r="T47" s="1148"/>
      <c r="U47" s="1148"/>
      <c r="V47" s="1149"/>
      <c r="W47" s="1149"/>
      <c r="X47" s="1150"/>
      <c r="Y47" s="437"/>
      <c r="Z47" s="437"/>
      <c r="AD47" s="124"/>
      <c r="AE47" s="124"/>
      <c r="AZ47" s="436"/>
      <c r="BM47" s="1"/>
      <c r="CJ47" s="1"/>
      <c r="CU47" s="455"/>
      <c r="CV47" s="455"/>
      <c r="CY47"/>
      <c r="CZ47"/>
    </row>
    <row r="48" spans="1:111" ht="17" thickBot="1">
      <c r="A48" s="471" t="str">
        <f>"Faktisk arbejdstid ialt i "&amp;A7&amp;" måned"</f>
        <v>Faktisk arbejdstid ialt i Februar måned</v>
      </c>
      <c r="B48" s="553"/>
      <c r="C48" s="554"/>
      <c r="D48" s="554"/>
      <c r="E48" s="554"/>
      <c r="F48" s="554"/>
      <c r="G48" s="554"/>
      <c r="H48" s="555"/>
      <c r="I48" s="1129">
        <f>I44+I47+I46+I45</f>
        <v>115.5</v>
      </c>
      <c r="J48" s="1130"/>
      <c r="K48" s="1131"/>
      <c r="L48" s="439"/>
      <c r="M48" s="1147"/>
      <c r="N48" s="1148"/>
      <c r="O48" s="1148"/>
      <c r="P48" s="1148"/>
      <c r="Q48" s="1148"/>
      <c r="R48" s="1148"/>
      <c r="S48" s="1148"/>
      <c r="T48" s="1148"/>
      <c r="U48" s="1148"/>
      <c r="V48" s="1149"/>
      <c r="W48" s="1149"/>
      <c r="X48" s="1150"/>
      <c r="Y48" s="437"/>
      <c r="Z48" s="387"/>
      <c r="AA48" s="454"/>
      <c r="AB48" s="454"/>
      <c r="AC48" s="454"/>
      <c r="AD48" s="437"/>
      <c r="AF48" s="454"/>
      <c r="AG48" s="437"/>
      <c r="AH48" s="437"/>
      <c r="AL48" s="124"/>
      <c r="AM48" s="124"/>
      <c r="BG48" s="436"/>
      <c r="BT48" s="1"/>
      <c r="CQ48" s="1"/>
      <c r="CY48"/>
      <c r="CZ48"/>
      <c r="DB48" s="455"/>
      <c r="DC48" s="455"/>
    </row>
    <row r="49" spans="1:108">
      <c r="A49" s="465"/>
      <c r="B49" s="465"/>
      <c r="C49" s="465"/>
      <c r="D49" s="465"/>
      <c r="E49" s="465"/>
      <c r="F49" s="465"/>
      <c r="G49" s="465"/>
      <c r="H49" s="452"/>
      <c r="I49" s="459"/>
      <c r="J49" s="459"/>
      <c r="K49" s="473" t="s">
        <v>343</v>
      </c>
      <c r="L49" s="581"/>
      <c r="M49" s="1147"/>
      <c r="N49" s="1148"/>
      <c r="O49" s="1148"/>
      <c r="P49" s="1148"/>
      <c r="Q49" s="1148"/>
      <c r="R49" s="1148"/>
      <c r="S49" s="1148"/>
      <c r="T49" s="1148"/>
      <c r="U49" s="1148"/>
      <c r="V49" s="1149"/>
      <c r="W49" s="1149"/>
      <c r="X49" s="1150"/>
      <c r="Y49" s="437"/>
      <c r="Z49" s="387"/>
      <c r="AA49" s="454"/>
      <c r="AB49" s="454"/>
      <c r="AC49" s="454"/>
      <c r="AD49" s="437"/>
      <c r="AF49" s="454"/>
      <c r="AG49" s="437"/>
      <c r="AH49" s="437"/>
      <c r="AL49" s="124"/>
      <c r="AM49" s="124"/>
      <c r="BG49" s="436"/>
      <c r="BT49" s="1"/>
      <c r="CQ49" s="1"/>
      <c r="CY49"/>
      <c r="CZ49"/>
      <c r="DB49" s="455"/>
      <c r="DC49" s="455"/>
    </row>
    <row r="50" spans="1:108">
      <c r="A50" s="683" t="s">
        <v>241</v>
      </c>
      <c r="B50" s="689"/>
      <c r="C50" s="689"/>
      <c r="D50" s="683">
        <f>COUNTIF([0]!Februar,"Skema 1")</f>
        <v>0</v>
      </c>
      <c r="E50" s="690"/>
      <c r="F50" s="576" t="s">
        <v>221</v>
      </c>
      <c r="G50" s="576">
        <f>COUNTIFS($B$9:$B$36,"ma",[0]!Februar,"Skema 1")</f>
        <v>0</v>
      </c>
      <c r="H50" s="576"/>
      <c r="I50" s="583"/>
      <c r="J50" s="579"/>
      <c r="K50" s="581"/>
      <c r="L50" s="581"/>
      <c r="M50" s="1147"/>
      <c r="N50" s="1148"/>
      <c r="O50" s="1148"/>
      <c r="P50" s="1148"/>
      <c r="Q50" s="1148"/>
      <c r="R50" s="1148"/>
      <c r="S50" s="1148"/>
      <c r="T50" s="1148"/>
      <c r="U50" s="1148"/>
      <c r="V50" s="1149"/>
      <c r="W50" s="1149"/>
      <c r="X50" s="1150"/>
      <c r="Y50" s="437"/>
      <c r="Z50" s="387"/>
      <c r="AA50" s="454"/>
      <c r="AB50" s="454"/>
      <c r="AC50" s="454"/>
      <c r="AD50" s="437"/>
      <c r="AF50" s="454"/>
      <c r="AG50" s="437"/>
      <c r="AH50" s="437"/>
      <c r="AL50" s="124"/>
      <c r="AM50" s="124"/>
      <c r="BG50" s="436"/>
      <c r="BT50" s="1"/>
      <c r="CQ50" s="1"/>
      <c r="CY50"/>
      <c r="CZ50"/>
      <c r="DB50" s="455"/>
      <c r="DC50" s="455"/>
    </row>
    <row r="51" spans="1:108">
      <c r="A51" s="1188" t="s">
        <v>242</v>
      </c>
      <c r="B51" s="1188"/>
      <c r="C51" s="1188"/>
      <c r="D51" s="683">
        <f>COUNTIF([0]!Februar,"Skema 2")</f>
        <v>14</v>
      </c>
      <c r="E51" s="690"/>
      <c r="F51" s="576" t="s">
        <v>222</v>
      </c>
      <c r="G51" s="576">
        <f>COUNTIFS($B$9:$B$36,"ti",[0]!Februar,"Skema 1")</f>
        <v>0</v>
      </c>
      <c r="H51" s="576"/>
      <c r="I51" s="576"/>
      <c r="J51" s="579"/>
      <c r="K51" s="581"/>
      <c r="L51" s="581"/>
      <c r="M51" s="1147"/>
      <c r="N51" s="1148"/>
      <c r="O51" s="1148"/>
      <c r="P51" s="1148"/>
      <c r="Q51" s="1148"/>
      <c r="R51" s="1148"/>
      <c r="S51" s="1148"/>
      <c r="T51" s="1148"/>
      <c r="U51" s="1148"/>
      <c r="V51" s="1149"/>
      <c r="W51" s="1149"/>
      <c r="X51" s="1150"/>
      <c r="Y51" s="437"/>
      <c r="Z51" s="387"/>
      <c r="AA51" s="454"/>
      <c r="AB51" s="454"/>
      <c r="AC51" s="454"/>
      <c r="AD51" s="437"/>
      <c r="AF51" s="454"/>
      <c r="AG51" s="437"/>
      <c r="AH51" s="437"/>
      <c r="AL51" s="124"/>
      <c r="AM51" s="124"/>
      <c r="BG51" s="436"/>
      <c r="BT51" s="1"/>
      <c r="CQ51" s="1"/>
      <c r="CY51"/>
      <c r="CZ51"/>
      <c r="DB51" s="455"/>
      <c r="DC51" s="455"/>
    </row>
    <row r="52" spans="1:108" ht="17" thickBot="1">
      <c r="A52" s="1188" t="s">
        <v>243</v>
      </c>
      <c r="B52" s="1188"/>
      <c r="C52" s="1188"/>
      <c r="D52" s="683">
        <f>COUNTIF([0]!Februar,"Skema 3")</f>
        <v>0</v>
      </c>
      <c r="E52" s="690"/>
      <c r="F52" s="576" t="s">
        <v>223</v>
      </c>
      <c r="G52" s="576">
        <f>COUNTIFS($B$9:$B$36,"on",[0]!Februar,"Skema 1")</f>
        <v>0</v>
      </c>
      <c r="H52" s="576"/>
      <c r="I52" s="576"/>
      <c r="J52" s="579"/>
      <c r="K52" s="581"/>
      <c r="L52" s="768"/>
      <c r="M52" s="1151" t="s">
        <v>346</v>
      </c>
      <c r="N52" s="1152"/>
      <c r="O52" s="1152"/>
      <c r="P52" s="1152"/>
      <c r="Q52" s="1152"/>
      <c r="R52" s="1152"/>
      <c r="S52" s="1152"/>
      <c r="T52" s="1152"/>
      <c r="U52" s="1153"/>
      <c r="V52" s="1154">
        <f>V43-SUM(V46:W51)</f>
        <v>0</v>
      </c>
      <c r="W52" s="1155"/>
      <c r="X52" s="1156"/>
      <c r="Y52" s="437"/>
      <c r="Z52" s="387"/>
      <c r="AA52" s="454"/>
      <c r="AB52" s="454"/>
      <c r="AC52" s="454"/>
      <c r="AD52" s="437"/>
      <c r="AF52" s="454"/>
      <c r="AG52" s="437"/>
      <c r="AH52" s="437"/>
      <c r="AL52" s="124"/>
      <c r="AM52" s="124"/>
      <c r="BG52" s="436"/>
      <c r="BT52" s="1"/>
      <c r="CQ52" s="1"/>
      <c r="CY52"/>
      <c r="CZ52"/>
      <c r="DB52" s="455"/>
      <c r="DC52" s="455"/>
    </row>
    <row r="53" spans="1:108" hidden="1">
      <c r="A53" s="1188" t="s">
        <v>244</v>
      </c>
      <c r="B53" s="1188"/>
      <c r="C53" s="1188"/>
      <c r="D53" s="683">
        <f>COUNTIF([0]!Februar,"Skema 4")</f>
        <v>0</v>
      </c>
      <c r="E53" s="690"/>
      <c r="F53" s="576" t="s">
        <v>225</v>
      </c>
      <c r="G53" s="576">
        <f>COUNTIFS($B$9:$B$36,"to",[0]!Februar,"Skema 1")</f>
        <v>0</v>
      </c>
      <c r="H53" s="576"/>
      <c r="I53" s="883" t="s">
        <v>618</v>
      </c>
      <c r="J53" s="884">
        <f>IF(C9="Ikke relevant",R9,0)+IF(C10="Ikke relevant",R10,0)+IF(C10="Ikke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f>
        <v>0</v>
      </c>
      <c r="K53" s="769"/>
      <c r="L53" s="768"/>
      <c r="M53" s="761" t="s">
        <v>378</v>
      </c>
      <c r="N53" s="761" t="s">
        <v>482</v>
      </c>
      <c r="O53" s="465"/>
      <c r="P53" s="465"/>
      <c r="Q53" s="465"/>
      <c r="R53" s="465"/>
      <c r="S53" s="465"/>
      <c r="T53" s="465"/>
      <c r="U53" s="465"/>
      <c r="V53" s="465"/>
      <c r="W53" s="465"/>
      <c r="X53" s="465"/>
      <c r="Y53" s="437"/>
      <c r="Z53" s="437"/>
      <c r="AA53" s="387"/>
      <c r="AB53" s="454"/>
      <c r="AC53" s="454"/>
      <c r="AD53" s="454"/>
      <c r="AE53" s="437"/>
      <c r="AF53" s="454"/>
      <c r="AH53" s="437"/>
      <c r="AI53" s="437"/>
      <c r="AM53" s="124"/>
      <c r="AN53" s="124"/>
      <c r="BH53" s="436"/>
      <c r="BU53" s="1"/>
      <c r="CR53" s="1"/>
      <c r="CY53"/>
      <c r="CZ53"/>
      <c r="DC53" s="455"/>
      <c r="DD53" s="455"/>
    </row>
    <row r="54" spans="1:108" hidden="1">
      <c r="A54" s="683" t="s">
        <v>117</v>
      </c>
      <c r="B54" s="683"/>
      <c r="C54" s="683"/>
      <c r="D54" s="683">
        <f>COUNTIF([0]!Februar,"Fagdag")+COUNTIF([0]!Februar,"emnedag")</f>
        <v>1</v>
      </c>
      <c r="E54" s="690"/>
      <c r="F54" s="576" t="s">
        <v>224</v>
      </c>
      <c r="G54" s="576">
        <f>COUNTIFS($B$9:$B$36,"fr",[0]!Februar,"Skema 1")</f>
        <v>0</v>
      </c>
      <c r="H54" s="576"/>
      <c r="I54" s="578" t="s">
        <v>380</v>
      </c>
      <c r="J54" s="579"/>
      <c r="K54" s="768"/>
      <c r="L54" s="769"/>
      <c r="M54" s="754">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f>
        <v>0</v>
      </c>
      <c r="N54" s="754">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f>
        <v>0</v>
      </c>
      <c r="O54" s="754"/>
      <c r="P54" s="581"/>
      <c r="Q54" s="757" t="s">
        <v>382</v>
      </c>
      <c r="R54" s="459"/>
      <c r="S54" s="459"/>
      <c r="T54" s="459" t="s">
        <v>383</v>
      </c>
      <c r="U54" s="459"/>
      <c r="V54" s="459"/>
      <c r="W54" s="582"/>
      <c r="X54" s="582"/>
      <c r="Y54" s="437"/>
      <c r="Z54" s="437"/>
      <c r="AA54" s="387"/>
      <c r="AB54" s="454"/>
      <c r="AC54" s="454"/>
      <c r="AD54" s="454"/>
      <c r="AE54" s="437"/>
      <c r="AF54" s="387"/>
      <c r="AH54" s="437"/>
      <c r="AI54" s="437"/>
      <c r="AM54" s="124"/>
      <c r="AN54" s="124"/>
      <c r="BH54" s="436"/>
      <c r="BU54" s="1"/>
      <c r="CR54" s="1"/>
      <c r="CY54"/>
      <c r="CZ54"/>
      <c r="DC54" s="455"/>
      <c r="DD54" s="455"/>
    </row>
    <row r="55" spans="1:108" hidden="1">
      <c r="A55" s="691" t="s">
        <v>116</v>
      </c>
      <c r="B55" s="683"/>
      <c r="C55" s="683"/>
      <c r="D55" s="683">
        <f>COUNTIF([0]!Februar,"Lejrskole")+COUNTIF([0]!Februar,"Ekskursion")</f>
        <v>0</v>
      </c>
      <c r="E55" s="690"/>
      <c r="F55" s="576"/>
      <c r="G55" s="576"/>
      <c r="H55" s="576"/>
      <c r="I55" s="578" t="s">
        <v>394</v>
      </c>
      <c r="J55" s="579"/>
      <c r="K55" s="768"/>
      <c r="L55" s="769"/>
      <c r="M55" s="754">
        <f>IF(AND($I$9="X",$J$9="X"),($K$9*-1),0)+IF(AND($I$10="X",$J$10="X"),($K$10*-1),0)+IF(AND($I$11="X",$J$11="X"),($K$11*-1),0)+IF(AND($I$12="X",$J$12="X"),($K$12*-1),0)+IF(AND($I$13="X",$J$13="X"),($K$13*-1),0)+IF(AND($I$14="X",$J$14="X"),($K$14*-1),0)+IF(AND($I$15="X",$J$15="X"),($K$15*-1),0)+IF(AND($I$16="X",$J$16="X"),($K$16*-1),0)+IF(AND($I$17="X",$J$17="X"),($K$17*-1),0)+IF(AND($I$18="X",$J$18="X"),($K$18*-1),0)+IF(AND($I$19="X",$J$19="X"),($K$19*-1),0)+IF(AND($I$20="X",$J$20="X"),($K$20*-1),0)+IF(AND($I$21="X",$J$21="X"),($K$21*-1),0)+IF(AND($I$22="X",$J$22="X"),($K$22*-1),0)+IF(AND($I$23="X",$J$23="X"),(K19*-1),0)+IF(AND($I$24="X",$J$24="X"),(K20*-1),0)+IF(AND($I$25="X",$J$25="X"),(K21*-1),0)+IF(AND($I$26="X",$J$26="X"),(K22*-1),0)+IF(AND($I$27="X",$J$27="X"),(K23*-1),0)+IF(AND($I$28="X",$J$28="X"),(K24*-1),0)+IF(AND($I$29="X",$J$29="X"),(K25*-1),0)+IF(AND($I$30="X",$J$30="X"),(K26*-1),0)+IF(AND($I$31="X",$J$31="X"),(K27*-1),0)+IF(AND($I$32="X",$J$32="X"),($K$32*-1),0)+IF(AND($I$33="X",$J$33="X"),($K$33*-1),0)+IF(AND($I$34="X",$J$34="X"),($K$34*-1),0)+IF(AND($I$35="X",$J$35="X"),($K$35*-1),0)+IF(AND($I$36="X",$J$36="X"),($K$36*-1),0)</f>
        <v>0</v>
      </c>
      <c r="N55" s="754">
        <f>IF(AND($I$9="X",$J$9="X"),$V$9*-1,0)+IF(AND($I$10="X",$J$10="X"),$V$10*-1,0)+IF(AND($I$11="X",$J$11="X"),$V$11*-1,0)+IF(AND($I$12="X",$J$12="X"),$V$12*-1,0)+IF(AND($I$13="X",$J$13="X"),$V$13*-1,0)+IF(AND($I$14="X",$J$14="X"),$V$14*-1,0)+IF(AND($I$15="X",$J$15="X"),$V$15*-1,0)+IF(AND($I$16="X",$J$16="X"),$V$16*-1,0)+IF(AND($I$17="X",$J$17="X"),$V$17*-1,0)+IF(AND($I$18="X",$J$18="X"),$V$18*-1,0)+IF(AND($I$19="X",$J$19="X"),$V$19*-1,0)+IF(AND($I$20="X",$J$20="X"),$V$20*-1,0)+IF(AND($I$21="X",$J$21="X"),$V$21*-1,0)+IF(AND($I$22="x",$J$22="x"),$V$22*-1,0)+IF(AND($I$23="x",$J$23="x"),V19*-1,0)+IF(AND($I$24="X",$J$24="X"),V20*-1,0)+IF(AND($I$25="X",$J$25="X"),V21*-1,0)+IF(AND($I$26="X",$J$26="X"),V22*-1,0)+IF(AND($I$27="X",$J$27="X"),V23*-1,0)+IF(AND($I$28="X",$J$28="X"),$V$28*-1,0)+IF(AND($I$29="X",$J$29="X"),$V$29*-1,0)+IF(AND($I$30="X",$J$30="X"),$V$30*-1,0)+IF(AND($I$31="X",$J$31="X"),$V$31*-1,0)+IF(AND($I$32="X",$J$32="X"),$V$32*-1,0)+IF(AND($I$33="X",$J$33="X"),$V$33*-1,0)+IF(AND($I$34="X",$J$34="X"),$V$34*-1,0)+IF(AND($I$35="X",$J$35="X"),$V$35*-1,0)+IF(AND($I$36="X",$J$36="X"),$V$36*-1,0)</f>
        <v>0</v>
      </c>
      <c r="O55" s="755">
        <v>0.5</v>
      </c>
      <c r="P55" s="581"/>
      <c r="Q55" s="757" t="s">
        <v>379</v>
      </c>
      <c r="R55" s="459"/>
      <c r="S55" s="459"/>
      <c r="T55" s="459"/>
      <c r="U55" s="459"/>
      <c r="V55" s="459"/>
      <c r="W55" s="582"/>
      <c r="X55" s="582"/>
      <c r="Y55" s="437"/>
      <c r="Z55" s="437"/>
      <c r="AA55" s="387"/>
      <c r="AB55" s="454"/>
      <c r="AC55" s="454"/>
      <c r="AD55" s="454"/>
      <c r="AE55" s="437"/>
      <c r="AF55" s="387"/>
      <c r="AH55" s="437"/>
      <c r="AI55" s="437"/>
      <c r="AM55" s="124"/>
      <c r="AN55" s="124"/>
      <c r="BH55" s="436"/>
      <c r="BU55" s="1"/>
      <c r="CR55" s="1"/>
      <c r="CY55"/>
      <c r="CZ55"/>
      <c r="DC55" s="455"/>
      <c r="DD55" s="455"/>
    </row>
    <row r="56" spans="1:108" hidden="1">
      <c r="A56" s="683" t="s">
        <v>115</v>
      </c>
      <c r="B56" s="683"/>
      <c r="C56" s="683"/>
      <c r="D56" s="683">
        <f>COUNTIF([0]!Februar,"Pæd.dag")</f>
        <v>0</v>
      </c>
      <c r="E56" s="690"/>
      <c r="F56" s="576" t="s">
        <v>226</v>
      </c>
      <c r="G56" s="576">
        <f>COUNTIFS($B$9:$B$36,"ma",[0]!Februar,"Skema 2")</f>
        <v>3</v>
      </c>
      <c r="H56" s="576"/>
      <c r="I56" s="576" t="s">
        <v>393</v>
      </c>
      <c r="J56" s="579"/>
      <c r="K56" s="769"/>
      <c r="L56" s="769"/>
      <c r="M56" s="754">
        <f>SUM(M54:M55)</f>
        <v>0</v>
      </c>
      <c r="N56" s="754">
        <f>SUM(N54:N55)</f>
        <v>0</v>
      </c>
      <c r="O56" s="756">
        <f>(M56+N56)/2</f>
        <v>0</v>
      </c>
      <c r="P56" s="581">
        <f>SUM(M56:O56)</f>
        <v>0</v>
      </c>
      <c r="Q56" s="757">
        <f>(M56+N56)*25%</f>
        <v>0</v>
      </c>
      <c r="R56" s="459"/>
      <c r="S56" s="459"/>
      <c r="T56" s="459"/>
      <c r="U56" s="459"/>
      <c r="V56" s="459"/>
      <c r="W56" s="582"/>
      <c r="X56" s="582"/>
      <c r="Y56" s="437"/>
      <c r="Z56" s="437"/>
      <c r="AA56" s="387"/>
      <c r="AB56" s="454"/>
      <c r="AC56" s="454"/>
      <c r="AD56" s="454"/>
      <c r="AE56" s="437"/>
      <c r="AF56" s="387"/>
      <c r="AH56" s="437"/>
      <c r="AI56" s="437"/>
      <c r="AM56" s="124"/>
      <c r="AN56" s="124"/>
      <c r="BH56" s="436"/>
      <c r="BU56" s="1"/>
      <c r="CR56" s="1"/>
      <c r="CY56"/>
      <c r="CZ56"/>
      <c r="DC56" s="455"/>
      <c r="DD56" s="455"/>
    </row>
    <row r="57" spans="1:108" hidden="1">
      <c r="A57" s="683" t="s">
        <v>138</v>
      </c>
      <c r="B57" s="683"/>
      <c r="C57" s="683"/>
      <c r="D57" s="683">
        <f>COUNTIF([0]!Februar,"Weekend")</f>
        <v>8</v>
      </c>
      <c r="E57" s="690"/>
      <c r="F57" s="576" t="s">
        <v>227</v>
      </c>
      <c r="G57" s="576">
        <f>COUNTIFS($B$9:$B$36,"ti",[0]!Februar,"Skema 2")</f>
        <v>3</v>
      </c>
      <c r="H57" s="576"/>
      <c r="I57" s="576" t="s">
        <v>564</v>
      </c>
      <c r="J57" s="856"/>
      <c r="K57" s="857"/>
      <c r="L57" s="857"/>
      <c r="M57" s="858">
        <f>IF(Stamoplysninger!$B$26="Weekendtimer og weekendtillæg afspadseres.",M54,0)</f>
        <v>0</v>
      </c>
      <c r="N57" s="858">
        <f>IF(Stamoplysninger!$B$26="Weekendtimer og weekendtillæg afspadseres.",N54,0)</f>
        <v>0</v>
      </c>
      <c r="O57" s="754"/>
      <c r="P57" s="581"/>
      <c r="Q57" s="757" t="s">
        <v>384</v>
      </c>
      <c r="R57" s="459"/>
      <c r="S57" s="459">
        <f>IF(Stamoplysninger!B22="Ulempetillæg afspadseres med 25%(Kræver en aftale imellem ledelsen og den ansatte)",Q56,0)</f>
        <v>0</v>
      </c>
      <c r="T57" s="459">
        <f>IF(Stamoplysninger!B22="Ulempetillæg afspadseres med 25%(Kræver en aftale imellem ledelsen og den ansatte)",(R37+X37)*0.25,0)</f>
        <v>0</v>
      </c>
      <c r="U57" s="459"/>
      <c r="V57" s="459"/>
      <c r="W57" s="582"/>
      <c r="X57" s="582"/>
      <c r="Y57"/>
      <c r="Z57"/>
      <c r="AL57" s="1"/>
      <c r="BI57" s="1"/>
      <c r="BT57" s="455"/>
      <c r="BU57" s="455"/>
      <c r="CY57"/>
      <c r="CZ57"/>
    </row>
    <row r="58" spans="1:108" hidden="1">
      <c r="A58" s="683" t="s">
        <v>146</v>
      </c>
      <c r="B58" s="683"/>
      <c r="C58" s="683"/>
      <c r="D58" s="683">
        <f>COUNTIF([0]!Februar,"SH-dag")</f>
        <v>0</v>
      </c>
      <c r="E58" s="690"/>
      <c r="F58" s="576" t="s">
        <v>228</v>
      </c>
      <c r="G58" s="576">
        <f>COUNTIFS($B$9:$B$36,"on",[0]!Februar,"Skema 2")</f>
        <v>3</v>
      </c>
      <c r="H58" s="576"/>
      <c r="I58" s="854" t="s">
        <v>565</v>
      </c>
      <c r="J58" s="864"/>
      <c r="K58" s="864"/>
      <c r="L58" s="864"/>
      <c r="M58" s="858">
        <f>IF(Stamoplysninger!$B$26="Weekendtimer og weekendtillæg afspadseres.",O56,0)</f>
        <v>0</v>
      </c>
      <c r="N58" s="858">
        <f>IF(Stamoplysninger!$B$26="Weekendtimer og weekendtillæg afspadseres.",O56,0)</f>
        <v>0</v>
      </c>
      <c r="O58" s="754"/>
      <c r="P58" s="581"/>
      <c r="Q58" s="757" t="s">
        <v>381</v>
      </c>
      <c r="R58" s="459"/>
      <c r="S58" s="459">
        <f>IF(Stamoplysninger!B22="Ulempetillæg udbetales med 25% af nettotimelønnen.",Q56,0)</f>
        <v>0</v>
      </c>
      <c r="T58" s="459">
        <f>IF(Stamoplysninger!B22="Ulempetillæg udbetales med 25% af nettotimelønnen.",(R37+X37)*0.25,0)</f>
        <v>0</v>
      </c>
      <c r="U58" s="459"/>
      <c r="V58" s="459"/>
      <c r="W58" s="582"/>
      <c r="X58" s="582"/>
      <c r="Y58"/>
      <c r="Z58"/>
      <c r="AL58" s="1"/>
      <c r="BI58" s="1"/>
      <c r="BT58" s="455"/>
      <c r="BU58" s="455"/>
      <c r="CY58"/>
      <c r="CZ58"/>
    </row>
    <row r="59" spans="1:108" hidden="1">
      <c r="A59" s="683" t="s">
        <v>114</v>
      </c>
      <c r="B59" s="683"/>
      <c r="C59" s="683"/>
      <c r="D59" s="683">
        <f>COUNTIF([0]!Februar,"Feriedag")</f>
        <v>0</v>
      </c>
      <c r="E59" s="690"/>
      <c r="F59" s="576" t="s">
        <v>229</v>
      </c>
      <c r="G59" s="576">
        <f>COUNTIFS($B$9:$B$36,"to",[0]!Februar,"Skema 2")</f>
        <v>2</v>
      </c>
      <c r="H59" s="576"/>
      <c r="I59" s="854" t="s">
        <v>566</v>
      </c>
      <c r="J59" s="865"/>
      <c r="K59" s="865"/>
      <c r="L59" s="865"/>
      <c r="M59" s="859">
        <f>IF(Stamoplysninger!$B$26="Weekendtimer og weekendtillæg udbetales.",M54,0)</f>
        <v>0</v>
      </c>
      <c r="N59" s="859">
        <f>IF(Stamoplysninger!$B$26="Weekendtimer og weekendtillæg udbetales.",N54,0)</f>
        <v>0</v>
      </c>
      <c r="O59" s="754"/>
      <c r="P59" s="581"/>
      <c r="Q59" s="757"/>
      <c r="R59" s="459"/>
      <c r="S59" s="459"/>
      <c r="T59" s="459"/>
      <c r="U59" s="459"/>
      <c r="V59" s="459"/>
      <c r="W59" s="582"/>
      <c r="X59" s="582"/>
      <c r="Y59"/>
      <c r="Z59"/>
      <c r="AL59" s="1"/>
      <c r="BI59" s="1"/>
      <c r="BT59" s="455"/>
      <c r="BU59" s="455"/>
      <c r="CY59"/>
      <c r="CZ59"/>
    </row>
    <row r="60" spans="1:108" hidden="1">
      <c r="A60" s="683" t="s">
        <v>210</v>
      </c>
      <c r="B60" s="683"/>
      <c r="C60" s="683"/>
      <c r="D60" s="683">
        <f>COUNTIF([0]!Februar,"Nul-dag")</f>
        <v>5</v>
      </c>
      <c r="E60" s="690"/>
      <c r="F60" s="576" t="s">
        <v>230</v>
      </c>
      <c r="G60" s="576">
        <f>COUNTIFS($B$9:$B$36,"fr",[0]!Februar,"Skema 2")</f>
        <v>3</v>
      </c>
      <c r="H60" s="576"/>
      <c r="I60" s="854" t="s">
        <v>567</v>
      </c>
      <c r="J60" s="865"/>
      <c r="K60" s="865"/>
      <c r="L60" s="865"/>
      <c r="M60" s="859">
        <f>IF(Stamoplysninger!$B$26="Weekendtimer og weekendtillæg udbetales.",O56,0)</f>
        <v>0</v>
      </c>
      <c r="N60" s="859">
        <f>IF(Stamoplysninger!$B$26="Weekendtimer og weekendtillæg udbetales.",O56,0)</f>
        <v>0</v>
      </c>
      <c r="O60" s="754"/>
      <c r="P60" s="581"/>
      <c r="Q60" s="757"/>
      <c r="R60" s="459"/>
      <c r="S60" s="459"/>
      <c r="T60" s="459"/>
      <c r="U60" s="459"/>
      <c r="V60" s="459"/>
      <c r="W60" s="582"/>
      <c r="X60" s="582"/>
      <c r="Y60"/>
      <c r="Z60"/>
      <c r="AL60" s="1"/>
      <c r="BI60" s="1"/>
      <c r="BT60" s="455"/>
      <c r="BU60" s="455"/>
      <c r="CY60"/>
      <c r="CZ60"/>
    </row>
    <row r="61" spans="1:108" hidden="1">
      <c r="A61" s="841" t="s">
        <v>505</v>
      </c>
      <c r="B61" s="683"/>
      <c r="C61" s="683"/>
      <c r="D61" s="683">
        <f>COUNTIF([0]!Februar,"Orlov")</f>
        <v>0</v>
      </c>
      <c r="E61" s="690"/>
      <c r="F61" s="692"/>
      <c r="G61" s="692"/>
      <c r="H61" s="692"/>
      <c r="I61" s="854" t="s">
        <v>385</v>
      </c>
      <c r="J61" s="861"/>
      <c r="K61" s="861"/>
      <c r="L61" s="861"/>
      <c r="M61" s="860">
        <f>IF(Stamoplysninger!$B$26="Der er indgået lokalaftale omkring weekendtimer.(Kræver aftale med TR/FSL) Weekendtillæg afspadseres.",O56,0)</f>
        <v>0</v>
      </c>
      <c r="N61" s="860">
        <f>IF(Stamoplysninger!$B$26="Der er indgået lokalaftale omkring weekendtimer.(Kræver aftale med TR/FSL) Weekendtillæg afspadseres.",N54,0)</f>
        <v>0</v>
      </c>
      <c r="O61" s="754"/>
      <c r="P61" s="581"/>
      <c r="Q61" s="757"/>
      <c r="R61" s="459"/>
      <c r="S61" s="459"/>
      <c r="T61" s="459"/>
      <c r="U61" s="459"/>
      <c r="V61" s="459"/>
      <c r="W61" s="582"/>
      <c r="X61" s="582"/>
      <c r="Y61"/>
      <c r="Z61"/>
      <c r="AL61" s="1"/>
      <c r="BI61" s="1"/>
      <c r="BT61" s="455"/>
      <c r="BU61" s="455"/>
      <c r="CY61"/>
      <c r="CZ61"/>
    </row>
    <row r="62" spans="1:108" hidden="1">
      <c r="A62" s="683" t="s">
        <v>185</v>
      </c>
      <c r="B62" s="683"/>
      <c r="C62" s="683"/>
      <c r="D62" s="683">
        <f>COUNTIF([0]!Februar,"Ikke relevant")</f>
        <v>0</v>
      </c>
      <c r="E62" s="690"/>
      <c r="F62" s="576" t="s">
        <v>231</v>
      </c>
      <c r="G62" s="576">
        <f>COUNTIFS($B$9:$B$36,"ma",[0]!Februar,"Skema 3")</f>
        <v>0</v>
      </c>
      <c r="H62" s="576">
        <v>1</v>
      </c>
      <c r="I62" s="854" t="s">
        <v>386</v>
      </c>
      <c r="J62" s="861"/>
      <c r="K62" s="861"/>
      <c r="L62" s="861"/>
      <c r="M62" s="860">
        <f>IF(Stamoplysninger!$B$26="Der er indgået lokalaftale omkring weekendtimer(Kræver aftale med TR/FSL). Weekendtillæg udbetales.",O56,0)</f>
        <v>0</v>
      </c>
      <c r="N62" s="860">
        <f>IF(Stamoplysninger!$B$26="Der er indgået lokalaftale omkring weekendtimer(Kræver aftale med TR/FSL). Weekendtillæg udbetales.",N54,0)</f>
        <v>0</v>
      </c>
      <c r="O62" s="754"/>
      <c r="P62" s="581"/>
      <c r="Q62" s="757"/>
      <c r="R62" s="459"/>
      <c r="S62" s="459"/>
      <c r="T62" s="459"/>
      <c r="U62" s="459"/>
      <c r="V62" s="459"/>
      <c r="W62" s="582"/>
      <c r="X62" s="582"/>
      <c r="Y62"/>
      <c r="Z62"/>
      <c r="AL62" s="1"/>
      <c r="BI62" s="1"/>
      <c r="BT62" s="455"/>
      <c r="BU62" s="455"/>
      <c r="CY62"/>
      <c r="CZ62"/>
    </row>
    <row r="63" spans="1:108" hidden="1">
      <c r="A63" s="683" t="s">
        <v>113</v>
      </c>
      <c r="B63" s="683"/>
      <c r="C63" s="683"/>
      <c r="D63" s="693">
        <f>SUM(D50:D62)</f>
        <v>28</v>
      </c>
      <c r="E63" s="693"/>
      <c r="F63" s="576" t="s">
        <v>232</v>
      </c>
      <c r="G63" s="576">
        <f>COUNTIFS($B$9:$B$36,"ti",[0]!Februar,"Skema 3")</f>
        <v>0</v>
      </c>
      <c r="H63" s="576">
        <v>2</v>
      </c>
      <c r="I63" s="854" t="s">
        <v>569</v>
      </c>
      <c r="J63" s="861"/>
      <c r="K63" s="861"/>
      <c r="L63" s="861"/>
      <c r="M63" s="860">
        <f>IF(Stamoplysninger!$B$26="Der er indgået lokalaftale omkring weekendtimer.(Kræver aftale med TR/FSL) Weekendtillæg afspadseres.",M54,0)</f>
        <v>0</v>
      </c>
      <c r="N63" s="860">
        <f>IF(Stamoplysninger!$B$26="Der er indgået lokalaftale omkring weekendtimer.(Kræver aftale med TR/FSL) Weekendtillæg afspadseres.",O56,0)</f>
        <v>0</v>
      </c>
      <c r="O63" s="45"/>
      <c r="P63" s="45"/>
      <c r="Q63" s="45"/>
      <c r="R63" s="45"/>
      <c r="S63" s="45"/>
      <c r="T63" s="45"/>
      <c r="U63" s="580"/>
      <c r="V63" s="459"/>
      <c r="W63" s="582"/>
      <c r="X63" s="582"/>
      <c r="Y63" s="1"/>
      <c r="Z63"/>
      <c r="AW63" s="1"/>
      <c r="BH63" s="455"/>
      <c r="BI63" s="455"/>
      <c r="CY63"/>
      <c r="CZ63"/>
    </row>
    <row r="64" spans="1:108" hidden="1">
      <c r="A64" s="683" t="s">
        <v>282</v>
      </c>
      <c r="B64" s="683"/>
      <c r="C64" s="683"/>
      <c r="D64" s="693">
        <f>D63-D57-A73-D62</f>
        <v>20</v>
      </c>
      <c r="E64" s="695"/>
      <c r="F64" s="576" t="s">
        <v>233</v>
      </c>
      <c r="G64" s="576">
        <f>COUNTIFS($B$9:$B$36,"on",[0]!Februar,"Skema 3")</f>
        <v>0</v>
      </c>
      <c r="H64" s="576"/>
      <c r="I64" s="854" t="s">
        <v>570</v>
      </c>
      <c r="J64" s="861"/>
      <c r="K64" s="861"/>
      <c r="L64" s="861"/>
      <c r="M64" s="860">
        <f>IF(Stamoplysninger!$B$26="Der er indgået lokalaftale omkring weekendtimer(Kræver aftale med TR/FSL). Weekendtillæg udbetales.",M54,0)</f>
        <v>0</v>
      </c>
      <c r="N64" s="860">
        <f>IF(Stamoplysninger!$B$26="Der er indgået lokalaftale omkring weekendtimer(Kræver aftale med TR/FSL). Weekendtillæg udbetales.",O56,0)</f>
        <v>0</v>
      </c>
      <c r="O64" s="580"/>
      <c r="P64" s="580"/>
      <c r="Q64" s="580"/>
      <c r="R64" s="580"/>
      <c r="S64" s="580"/>
      <c r="T64" s="580"/>
      <c r="U64" s="580"/>
      <c r="V64" s="180"/>
      <c r="W64" s="580"/>
      <c r="X64" s="580"/>
      <c r="Y64" s="1"/>
      <c r="Z64"/>
      <c r="AW64" s="1"/>
      <c r="BH64" s="455"/>
      <c r="BI64" s="455"/>
      <c r="CY64"/>
      <c r="CZ64"/>
    </row>
    <row r="65" spans="1:111" hidden="1">
      <c r="A65" s="576"/>
      <c r="B65" s="576"/>
      <c r="C65" s="576"/>
      <c r="D65" s="694"/>
      <c r="E65" s="576"/>
      <c r="F65" s="576" t="s">
        <v>234</v>
      </c>
      <c r="G65" s="576">
        <f>COUNTIFS($B$9:$B$36,"to",[0]!Februar,"Skema 3")</f>
        <v>0</v>
      </c>
      <c r="H65" s="576"/>
      <c r="I65" s="854" t="s">
        <v>387</v>
      </c>
      <c r="J65" s="863"/>
      <c r="K65" s="863"/>
      <c r="L65" s="863"/>
      <c r="M65" s="862">
        <f>IF(Stamoplysninger!$B$26="Der er indgået lokalaftale omkring weekendtillæg(Kræver aftale med TR/FSL). Weekendtimerne afspadseres.",M54,0)</f>
        <v>0</v>
      </c>
      <c r="N65" s="862">
        <f>IF(Stamoplysninger!$B$26="Der er indgået lokalaftale omkring weekendtillæg(Kræver aftale med TR/FSL). Weekendtimerne afspadseres.",N54,0)</f>
        <v>0</v>
      </c>
      <c r="O65" s="580"/>
      <c r="P65" s="580"/>
      <c r="Q65" s="580"/>
      <c r="R65" s="580"/>
      <c r="S65" s="580"/>
      <c r="T65" s="580"/>
      <c r="U65" s="580"/>
      <c r="V65" s="580"/>
      <c r="W65" s="580"/>
      <c r="X65" s="580"/>
      <c r="Y65" s="1"/>
      <c r="Z65"/>
      <c r="AW65" s="1"/>
      <c r="BH65" s="455"/>
      <c r="BI65" s="455"/>
      <c r="CY65"/>
      <c r="CZ65"/>
    </row>
    <row r="66" spans="1:111" hidden="1">
      <c r="A66" s="576"/>
      <c r="B66" s="576"/>
      <c r="C66" s="576"/>
      <c r="D66" s="694"/>
      <c r="E66" s="576"/>
      <c r="F66" s="576" t="s">
        <v>235</v>
      </c>
      <c r="G66" s="576">
        <f>COUNTIFS($B$9:$B$36,"fr",[0]!Februar,"Skema 3")</f>
        <v>0</v>
      </c>
      <c r="H66" s="576">
        <v>1</v>
      </c>
      <c r="I66" s="854" t="s">
        <v>388</v>
      </c>
      <c r="J66" s="863"/>
      <c r="K66" s="863"/>
      <c r="L66" s="863"/>
      <c r="M66" s="862">
        <f>IF(Stamoplysninger!$B$26="Der er indgået lokalaftale omkring weekendtillæg(Kræver aftale med TR/FSL). Weekendtimerne udbetales.",M54,0)</f>
        <v>0</v>
      </c>
      <c r="N66" s="862">
        <f>IF(Stamoplysninger!$B$26="Der er indgået lokalaftale omkring weekendtillæg(Kræver aftale med TR/FSL). Weekendtimerne udbetales.",N54,0)</f>
        <v>0</v>
      </c>
      <c r="O66" s="580"/>
      <c r="P66" s="580"/>
      <c r="Q66" s="580"/>
      <c r="R66" s="580"/>
      <c r="S66" s="580"/>
      <c r="T66" s="580"/>
      <c r="U66" s="580"/>
      <c r="V66" s="580"/>
      <c r="W66" s="580"/>
      <c r="X66" s="580"/>
      <c r="Y66" s="1"/>
      <c r="Z66"/>
      <c r="AW66" s="1"/>
      <c r="BH66" s="455"/>
      <c r="BI66" s="455"/>
      <c r="CY66"/>
      <c r="CZ66"/>
    </row>
    <row r="67" spans="1:111" hidden="1">
      <c r="A67" s="576" t="s">
        <v>344</v>
      </c>
      <c r="B67" s="576"/>
      <c r="C67" s="576"/>
      <c r="D67" s="694"/>
      <c r="E67" s="694"/>
      <c r="F67" s="576"/>
      <c r="G67" s="576"/>
      <c r="H67" s="576">
        <v>2</v>
      </c>
      <c r="I67" s="854" t="s">
        <v>571</v>
      </c>
      <c r="J67" s="863"/>
      <c r="K67" s="863"/>
      <c r="L67" s="863"/>
      <c r="M67" s="862">
        <f>IF(Stamoplysninger!$B$26="Der er indgået lokalaftale omkring weekendtillæg(Kræver aftale med TR/FSL). Weekendtimerne afspadseres.",M54,0)</f>
        <v>0</v>
      </c>
      <c r="N67" s="862">
        <f>IF(Stamoplysninger!$B$26="Der er indgået lokalaftale omkring weekendtillæg(Kræver aftale med TR/FSL). Weekendtimerne afspadseres.",N54,0)</f>
        <v>0</v>
      </c>
      <c r="O67" s="580"/>
      <c r="P67" s="580"/>
      <c r="Q67" s="580"/>
      <c r="R67" s="580"/>
      <c r="S67" s="580"/>
      <c r="T67" s="580"/>
      <c r="U67" s="580"/>
      <c r="V67" s="580"/>
      <c r="W67" s="580"/>
      <c r="X67" s="580"/>
      <c r="Y67" s="1"/>
      <c r="Z67"/>
      <c r="AW67" s="1"/>
      <c r="BH67" s="455"/>
      <c r="BI67" s="455"/>
      <c r="CY67"/>
      <c r="CZ67"/>
    </row>
    <row r="68" spans="1:111" hidden="1">
      <c r="A68" s="576">
        <f>COUNTIF($C$12:$C$13,"Skema 1")+COUNTIF($C$12:$C$13,"Skema 2")+COUNTIF($C$12:$C$13,"Skema 3")+COUNTIF($C$12:$C$13,"Skema 4")+COUNTIF($C$12:$C$13,"Fagdag")+COUNTIF($C$12:$C$13,"Emnedag")+COUNTIF($C$12:$C$13,"Lejrskole")+COUNTIF($C$12:$C$13,"Ekskursion")+COUNTIF($C$12:$C$13,"Pæd.dag")</f>
        <v>0</v>
      </c>
      <c r="B68" s="576"/>
      <c r="C68" s="576"/>
      <c r="D68" s="576"/>
      <c r="E68" s="694"/>
      <c r="F68" s="576" t="s">
        <v>236</v>
      </c>
      <c r="G68" s="576">
        <f>COUNTIFS($B$9:$B$36,"ma",[0]!Februar,"Skema 4")</f>
        <v>0</v>
      </c>
      <c r="H68" s="576"/>
      <c r="I68" s="854" t="s">
        <v>572</v>
      </c>
      <c r="J68" s="863"/>
      <c r="K68" s="863"/>
      <c r="L68" s="863"/>
      <c r="M68" s="862">
        <f>IF(Stamoplysninger!$B$26="Der er indgået lokalaftale omkring weekendtillæg(Kræver aftale med TR/FSL). Weekendtimerne udbetales.",M54,0)</f>
        <v>0</v>
      </c>
      <c r="N68" s="862">
        <f>IF(Stamoplysninger!$B$26="Der er indgået lokalaftale omkring weekendtillæg(Kræver aftale med TR/FSL). Weekendtimerne udbetales.",N54,0)</f>
        <v>0</v>
      </c>
      <c r="O68" s="580"/>
      <c r="P68" s="580"/>
      <c r="Q68" s="580"/>
      <c r="R68" s="580"/>
      <c r="S68" s="580"/>
      <c r="T68" s="580"/>
      <c r="U68" s="580"/>
      <c r="V68" s="580"/>
      <c r="W68" s="580"/>
      <c r="X68" s="580"/>
      <c r="Y68"/>
      <c r="Z68"/>
      <c r="AO68" s="1"/>
      <c r="BL68" s="1"/>
      <c r="BW68" s="455"/>
      <c r="BX68" s="455"/>
      <c r="CY68"/>
      <c r="CZ68"/>
    </row>
    <row r="69" spans="1:111" hidden="1">
      <c r="A69" s="576">
        <f>COUNTIF($C$19:$C$20,"Skema 1")+COUNTIF($C$19:$C$20,"Skema 2")+COUNTIF($C$19:$C$20,"Skema 3")+COUNTIF($C$19:$C$20,"Skema 4")+COUNTIF($C$19:$C$20,"Fagdag")+COUNTIF($C$19:$C$20,"Emnedag")+COUNTIF($C$19:$C$20,"Lejrskole")+COUNTIF($C$19:$C$20,"Ekskursion")+COUNTIF($C$19:$C$20,"Pæd.dag")</f>
        <v>0</v>
      </c>
      <c r="B69" s="576"/>
      <c r="C69" s="576"/>
      <c r="D69" s="576"/>
      <c r="E69" s="694"/>
      <c r="F69" s="576" t="s">
        <v>237</v>
      </c>
      <c r="G69" s="576">
        <f>COUNTIFS($B$9:$B$36,"ti",[0]!Februar,"Skema 4")</f>
        <v>0</v>
      </c>
      <c r="H69" s="576"/>
      <c r="I69" s="576" t="s">
        <v>568</v>
      </c>
      <c r="J69" s="769"/>
      <c r="K69" s="769"/>
      <c r="L69" s="769"/>
      <c r="M69" s="754">
        <f>IF(Stamoplysninger!$B$26="Der er indgået lokalaftale omkring weekendtimer og weekendtillæg.(Kræver aftale med TR/FSL).",M54,0)</f>
        <v>0</v>
      </c>
      <c r="N69" s="754"/>
      <c r="O69" s="580"/>
      <c r="P69" s="580"/>
      <c r="Q69" s="580"/>
      <c r="R69" s="580"/>
      <c r="S69" s="580"/>
      <c r="T69" s="580"/>
      <c r="V69" s="580"/>
      <c r="W69" s="580"/>
      <c r="X69" s="580"/>
      <c r="Y69"/>
      <c r="Z69"/>
      <c r="AO69" s="1"/>
      <c r="BL69" s="1"/>
      <c r="BW69" s="455"/>
      <c r="BX69" s="455"/>
      <c r="CY69"/>
      <c r="CZ69"/>
    </row>
    <row r="70" spans="1:111">
      <c r="A70" s="576">
        <f>COUNTIF($C$26:$C$27,"Skema 1")+COUNTIF($C$26:$C$27,"Skema 2")+COUNTIF($C$26:$C$27,"Skema 3")+COUNTIF($C$26:$C$27,"Skema 4")+COUNTIF($C$26:$C$27,"Fagdag")+COUNTIF($C$26:$C$27,"Emnedag")+COUNTIF($C$26:$C$27,"Lejrskole")+COUNTIF($C$26:$C$27,"Ekskursion")+COUNTIF($C$26:$C$27,"Pæd.dag")</f>
        <v>0</v>
      </c>
      <c r="B70" s="576"/>
      <c r="C70" s="576"/>
      <c r="D70" s="576"/>
      <c r="E70" s="694"/>
      <c r="F70" s="576" t="s">
        <v>238</v>
      </c>
      <c r="G70" s="576">
        <f>COUNTIFS($B$9:$B$36,"on",[0]!Februar,"Skema 4")</f>
        <v>0</v>
      </c>
      <c r="H70" s="576"/>
      <c r="I70" s="576"/>
      <c r="J70" s="769"/>
      <c r="K70" s="769"/>
      <c r="L70" s="769"/>
      <c r="S70" s="580"/>
      <c r="T70" s="580"/>
      <c r="U70" s="580"/>
      <c r="V70" s="580"/>
      <c r="W70" s="580"/>
      <c r="X70" s="580"/>
      <c r="Y70"/>
      <c r="Z70"/>
      <c r="AO70" s="1"/>
      <c r="BL70" s="1"/>
      <c r="BW70" s="455"/>
      <c r="BX70" s="455"/>
      <c r="CY70"/>
      <c r="CZ70"/>
    </row>
    <row r="71" spans="1:111">
      <c r="A71" s="576">
        <f>COUNTIF($C$33:$C$34,"Skema 1")+COUNTIF($C$33:$C$34,"Skema 2")+COUNTIF($C$33:$C$34,"Skema 3")+COUNTIF($C$33:$C$34,"Skema 4")+COUNTIF($C$33:$C$34,"Fagdag")+COUNTIF($C$33:$C$34,"Emnedag")+COUNTIF($C$33:$C$34,"Lejrskole")+COUNTIF($C$33:$C$34,"Ekskursion")+COUNTIF($C$33:$C$34,"Pæd.dag")</f>
        <v>0</v>
      </c>
      <c r="B71" s="576"/>
      <c r="C71" s="576"/>
      <c r="D71" s="576"/>
      <c r="E71" s="694"/>
      <c r="F71" s="576" t="s">
        <v>239</v>
      </c>
      <c r="G71" s="576">
        <f>COUNTIFS($B$9:$B$36,"to",[0]!Februar,"Skema 4")</f>
        <v>0</v>
      </c>
      <c r="H71" s="576"/>
      <c r="I71" s="576"/>
      <c r="J71" s="769"/>
      <c r="K71" s="769"/>
      <c r="L71" s="769"/>
      <c r="S71" s="580"/>
      <c r="T71" s="580"/>
      <c r="U71" s="580"/>
      <c r="V71" s="580"/>
      <c r="W71" s="580"/>
      <c r="X71" s="580"/>
      <c r="Y71"/>
      <c r="Z71"/>
      <c r="AO71" s="1">
        <f>SUM(N71:AN71)</f>
        <v>0</v>
      </c>
      <c r="BL71" s="1">
        <f>SUM(AI71:BK71)</f>
        <v>0</v>
      </c>
      <c r="BW71" s="455"/>
      <c r="BX71" s="455"/>
      <c r="CY71"/>
      <c r="CZ71"/>
    </row>
    <row r="72" spans="1:111">
      <c r="A72" s="576"/>
      <c r="B72" s="576"/>
      <c r="C72" s="576"/>
      <c r="D72" s="576"/>
      <c r="E72" s="694"/>
      <c r="F72" s="576" t="s">
        <v>240</v>
      </c>
      <c r="G72" s="576">
        <f>COUNTIFS($B$9:$B$36,"fr",[0]!Februar,"Skema 4")</f>
        <v>0</v>
      </c>
      <c r="H72" s="576"/>
      <c r="I72" s="45"/>
      <c r="J72" s="769"/>
      <c r="K72" s="769"/>
      <c r="L72" s="769"/>
      <c r="Y72"/>
      <c r="Z72"/>
      <c r="AO72" s="1">
        <f>SUM(N72:AN72)</f>
        <v>0</v>
      </c>
      <c r="BL72" s="1">
        <f>SUM(AI72:BK72)</f>
        <v>0</v>
      </c>
      <c r="BW72" s="455"/>
      <c r="BX72" s="455"/>
      <c r="CY72"/>
      <c r="CZ72"/>
    </row>
    <row r="73" spans="1:111">
      <c r="A73" s="576">
        <f>SUM(A68:A72)</f>
        <v>0</v>
      </c>
      <c r="B73" s="576"/>
      <c r="C73" s="576"/>
      <c r="D73" s="576"/>
      <c r="E73" s="694"/>
      <c r="F73" s="694"/>
      <c r="G73" s="697">
        <f>SUM(G50:G72)</f>
        <v>14</v>
      </c>
      <c r="H73" s="45"/>
      <c r="I73" s="45"/>
      <c r="J73" s="769"/>
      <c r="K73" s="769"/>
      <c r="L73" s="769"/>
      <c r="Y73"/>
      <c r="Z73"/>
      <c r="AO73" s="1">
        <f>SUM(N73:AN73)</f>
        <v>0</v>
      </c>
      <c r="BL73" s="1">
        <f>SUM(AI73:BK73)</f>
        <v>0</v>
      </c>
      <c r="BW73" s="455"/>
      <c r="BX73" s="455"/>
      <c r="CY73"/>
      <c r="CZ73"/>
    </row>
    <row r="74" spans="1:111">
      <c r="A74" s="696"/>
      <c r="B74" s="696"/>
      <c r="C74" s="696"/>
      <c r="D74" s="696"/>
      <c r="E74" s="694"/>
      <c r="F74" s="694"/>
      <c r="G74" s="694"/>
      <c r="H74" s="45"/>
      <c r="I74" s="45"/>
      <c r="J74" s="769"/>
      <c r="K74" s="769"/>
      <c r="L74" s="769"/>
      <c r="Y74"/>
      <c r="Z74"/>
      <c r="AO74" s="1">
        <f>SUM(N74:AN74)</f>
        <v>0</v>
      </c>
      <c r="BL74" s="1">
        <f>SUM(AI74:BK74)</f>
        <v>0</v>
      </c>
      <c r="BW74" s="455"/>
      <c r="BX74" s="455"/>
      <c r="CY74"/>
      <c r="CZ74"/>
    </row>
    <row r="75" spans="1:111">
      <c r="A75" s="779"/>
      <c r="B75" s="779"/>
      <c r="C75" s="779"/>
      <c r="D75" s="779"/>
      <c r="E75" s="777"/>
      <c r="F75" s="777"/>
      <c r="G75" s="777"/>
      <c r="H75" s="769"/>
      <c r="I75" s="769"/>
      <c r="J75" s="769"/>
      <c r="K75" s="769"/>
      <c r="L75" s="769"/>
      <c r="Y75"/>
      <c r="Z75"/>
      <c r="BW75" s="455"/>
      <c r="BX75" s="455"/>
      <c r="CY75"/>
      <c r="CZ75"/>
    </row>
    <row r="76" spans="1:111">
      <c r="A76" s="769"/>
      <c r="B76" s="769"/>
      <c r="C76" s="769"/>
      <c r="D76" s="769"/>
      <c r="E76" s="777"/>
      <c r="F76" s="777"/>
      <c r="G76" s="777"/>
      <c r="H76" s="769"/>
      <c r="I76" s="769"/>
      <c r="J76" s="769"/>
      <c r="K76" s="769"/>
      <c r="L76" s="769"/>
      <c r="Y76"/>
      <c r="Z76"/>
      <c r="BW76" s="455"/>
      <c r="BX76" s="455"/>
      <c r="CY76"/>
      <c r="CZ76"/>
    </row>
    <row r="77" spans="1:111">
      <c r="A77" s="769"/>
      <c r="B77" s="769"/>
      <c r="C77" s="769"/>
      <c r="D77" s="769"/>
      <c r="E77" s="777"/>
      <c r="F77" s="777"/>
      <c r="G77" s="777"/>
      <c r="H77" s="769"/>
      <c r="I77" s="769"/>
      <c r="J77" s="769"/>
      <c r="K77" s="769"/>
      <c r="L77" s="769"/>
      <c r="Y77"/>
      <c r="Z77"/>
      <c r="BW77" s="455"/>
      <c r="BX77" s="455"/>
      <c r="CY77"/>
      <c r="CZ77"/>
    </row>
    <row r="78" spans="1:111">
      <c r="A78" s="769"/>
      <c r="B78" s="769"/>
      <c r="C78" s="769"/>
      <c r="D78" s="769"/>
      <c r="E78" s="188"/>
      <c r="F78" s="777"/>
      <c r="G78" s="777"/>
      <c r="H78" s="769"/>
      <c r="I78" s="769"/>
      <c r="J78" s="769"/>
      <c r="K78" s="769"/>
      <c r="L78" s="769"/>
      <c r="Y78"/>
      <c r="Z78"/>
      <c r="BW78" s="455"/>
      <c r="BX78" s="455"/>
      <c r="CY78"/>
      <c r="CZ78"/>
    </row>
    <row r="79" spans="1:111">
      <c r="A79" s="769"/>
      <c r="B79" s="769"/>
      <c r="C79" s="769"/>
      <c r="D79" s="769"/>
      <c r="E79" s="188"/>
      <c r="F79" s="777"/>
      <c r="G79" s="777"/>
      <c r="H79" s="769"/>
      <c r="I79" s="769"/>
      <c r="J79" s="769"/>
      <c r="K79" s="769"/>
      <c r="L79" s="769"/>
      <c r="Y79"/>
      <c r="Z79"/>
      <c r="BW79" s="455"/>
      <c r="BX79" s="455"/>
      <c r="CY79"/>
      <c r="CZ79"/>
    </row>
    <row r="80" spans="1:111">
      <c r="A80" s="769"/>
      <c r="B80" s="769"/>
      <c r="C80" s="769"/>
      <c r="D80" s="769"/>
      <c r="E80" s="188"/>
      <c r="F80" s="777"/>
      <c r="G80" s="777"/>
      <c r="H80" s="769"/>
      <c r="I80" s="769"/>
      <c r="J80" s="769"/>
      <c r="K80" s="769"/>
      <c r="L80" s="769"/>
      <c r="Y80"/>
      <c r="Z80"/>
      <c r="AD80" s="406"/>
      <c r="AE80" s="424"/>
      <c r="AF80" s="424"/>
      <c r="AG80" s="424"/>
      <c r="AH80" s="424"/>
      <c r="CY80"/>
      <c r="CZ80"/>
      <c r="DF80" s="455"/>
      <c r="DG80" s="455"/>
    </row>
    <row r="81" spans="1:111">
      <c r="A81" s="769"/>
      <c r="B81" s="769"/>
      <c r="C81" s="769"/>
      <c r="D81" s="769"/>
      <c r="E81" s="188"/>
      <c r="F81" s="777"/>
      <c r="G81" s="777"/>
      <c r="H81" s="769"/>
      <c r="Y81"/>
      <c r="Z81"/>
      <c r="AD81" s="406"/>
      <c r="AE81" s="424"/>
      <c r="AF81" s="424"/>
      <c r="AG81" s="424"/>
      <c r="AH81" s="424"/>
      <c r="CY81"/>
      <c r="CZ81"/>
      <c r="DF81" s="455"/>
      <c r="DG81" s="455"/>
    </row>
    <row r="82" spans="1:111">
      <c r="A82" s="769"/>
      <c r="B82" s="769"/>
      <c r="C82" s="769"/>
      <c r="D82" s="769"/>
      <c r="E82" s="105"/>
      <c r="F82" s="105"/>
      <c r="G82" s="105"/>
      <c r="Y82"/>
      <c r="Z82"/>
    </row>
    <row r="83" spans="1:111">
      <c r="E83" s="105"/>
      <c r="F83" s="105"/>
      <c r="G83" s="105"/>
    </row>
  </sheetData>
  <sheetProtection sheet="1" objects="1" scenarios="1"/>
  <mergeCells count="114">
    <mergeCell ref="A53:C53"/>
    <mergeCell ref="M51:U51"/>
    <mergeCell ref="M39:X39"/>
    <mergeCell ref="M40:U40"/>
    <mergeCell ref="V40:X40"/>
    <mergeCell ref="M41:U41"/>
    <mergeCell ref="V41:X41"/>
    <mergeCell ref="M42:U42"/>
    <mergeCell ref="V42:X42"/>
    <mergeCell ref="M43:U43"/>
    <mergeCell ref="V43:X43"/>
    <mergeCell ref="M44:X44"/>
    <mergeCell ref="M45:U45"/>
    <mergeCell ref="V45:X45"/>
    <mergeCell ref="M46:U46"/>
    <mergeCell ref="V46:X46"/>
    <mergeCell ref="M47:U47"/>
    <mergeCell ref="V47:X47"/>
    <mergeCell ref="M48:U48"/>
    <mergeCell ref="V48:X48"/>
    <mergeCell ref="V51:X51"/>
    <mergeCell ref="M52:U52"/>
    <mergeCell ref="V52:X52"/>
    <mergeCell ref="A51:C51"/>
    <mergeCell ref="A47:H47"/>
    <mergeCell ref="I47:K47"/>
    <mergeCell ref="I48:K48"/>
    <mergeCell ref="M49:U49"/>
    <mergeCell ref="V49:X49"/>
    <mergeCell ref="M50:U50"/>
    <mergeCell ref="V50:X50"/>
    <mergeCell ref="A52:C52"/>
    <mergeCell ref="A44:G44"/>
    <mergeCell ref="I44:K44"/>
    <mergeCell ref="A46:H46"/>
    <mergeCell ref="I46:K46"/>
    <mergeCell ref="A42:G42"/>
    <mergeCell ref="I42:K42"/>
    <mergeCell ref="A43:G43"/>
    <mergeCell ref="I43:K43"/>
    <mergeCell ref="A40:G40"/>
    <mergeCell ref="I40:K40"/>
    <mergeCell ref="A41:G41"/>
    <mergeCell ref="I41:K41"/>
    <mergeCell ref="A45:H45"/>
    <mergeCell ref="I45:K45"/>
    <mergeCell ref="E36:G36"/>
    <mergeCell ref="A37:I37"/>
    <mergeCell ref="A39:G39"/>
    <mergeCell ref="I39:K39"/>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N6:N7"/>
    <mergeCell ref="O6:O7"/>
    <mergeCell ref="B2:E2"/>
    <mergeCell ref="E4:G4"/>
    <mergeCell ref="K4:L4"/>
    <mergeCell ref="A5:R5"/>
    <mergeCell ref="A4:D4"/>
    <mergeCell ref="I8:J8"/>
    <mergeCell ref="K8:R8"/>
    <mergeCell ref="I6:I7"/>
    <mergeCell ref="J6:J7"/>
    <mergeCell ref="S5:X5"/>
    <mergeCell ref="S6:X6"/>
    <mergeCell ref="S8:U8"/>
    <mergeCell ref="V8:X8"/>
    <mergeCell ref="A3:X3"/>
  </mergeCells>
  <phoneticPr fontId="5" type="noConversion"/>
  <conditionalFormatting sqref="E20">
    <cfRule type="expression" dxfId="635" priority="41">
      <formula>OR($D19="pæd.dag")</formula>
    </cfRule>
    <cfRule type="expression" dxfId="634" priority="42">
      <formula>OR($D19="nul-dag")</formula>
    </cfRule>
    <cfRule type="expression" dxfId="633" priority="43">
      <formula>OR($D19="SH-dag")</formula>
    </cfRule>
    <cfRule type="expression" dxfId="632" priority="44">
      <formula>OR($D19="ekskursion")</formula>
    </cfRule>
    <cfRule type="expression" dxfId="631" priority="45">
      <formula>OR($D19="lejrskole")</formula>
    </cfRule>
    <cfRule type="expression" dxfId="630" priority="46">
      <formula>OR($D19="emnedag")</formula>
    </cfRule>
    <cfRule type="expression" dxfId="629" priority="47">
      <formula>OR($D19="fagdag")</formula>
    </cfRule>
    <cfRule type="expression" dxfId="628" priority="48">
      <formula>OR($D19="feriedag")</formula>
    </cfRule>
    <cfRule type="expression" dxfId="627" priority="49">
      <formula>OR($D19="weekend")</formula>
    </cfRule>
    <cfRule type="expression" dxfId="626" priority="50" stopIfTrue="1">
      <formula>OR($D19="skoledag")</formula>
    </cfRule>
  </conditionalFormatting>
  <conditionalFormatting sqref="E20">
    <cfRule type="expression" dxfId="625" priority="51">
      <formula>OR($D19="Ikke relevant")</formula>
    </cfRule>
  </conditionalFormatting>
  <conditionalFormatting sqref="K9:M36">
    <cfRule type="expression" dxfId="624" priority="21">
      <formula>OR($C9="fagdag",)</formula>
    </cfRule>
    <cfRule type="expression" dxfId="623" priority="22">
      <formula>OR($C9="emnedag",)</formula>
    </cfRule>
  </conditionalFormatting>
  <conditionalFormatting sqref="K9:K36">
    <cfRule type="expression" dxfId="622" priority="23">
      <formula>OR($C9="Pæd.dag",)</formula>
    </cfRule>
  </conditionalFormatting>
  <conditionalFormatting sqref="K9:L36">
    <cfRule type="expression" dxfId="621" priority="24">
      <formula>OR($C9="Lejrskole",)</formula>
    </cfRule>
    <cfRule type="expression" dxfId="620" priority="25">
      <formula>OR($C9="Ekskursion",)</formula>
    </cfRule>
  </conditionalFormatting>
  <conditionalFormatting sqref="R9:R36">
    <cfRule type="expression" dxfId="619" priority="52">
      <formula>OR($H9&gt;"0",)</formula>
    </cfRule>
  </conditionalFormatting>
  <conditionalFormatting sqref="A9:H36">
    <cfRule type="expression" dxfId="618" priority="26">
      <formula>OR($C9="Skema 1")</formula>
    </cfRule>
    <cfRule type="expression" dxfId="617" priority="27">
      <formula>OR($C9="skema 2")</formula>
    </cfRule>
    <cfRule type="expression" dxfId="616" priority="28">
      <formula>OR($C9="Skema 3")</formula>
    </cfRule>
    <cfRule type="expression" dxfId="615" priority="29">
      <formula>OR($C9="Skema 4")</formula>
    </cfRule>
    <cfRule type="expression" dxfId="614" priority="30">
      <formula>OR($C9="Ikke relevant")</formula>
    </cfRule>
    <cfRule type="expression" dxfId="613" priority="31">
      <formula>OR($C9="pæd.dag")</formula>
    </cfRule>
    <cfRule type="expression" dxfId="612" priority="32">
      <formula>OR($C9="nul-dag")</formula>
    </cfRule>
    <cfRule type="expression" dxfId="611" priority="33">
      <formula>OR($C9="SH-dag")</formula>
    </cfRule>
    <cfRule type="expression" dxfId="610" priority="34">
      <formula>OR($C9="ekskursion")</formula>
    </cfRule>
    <cfRule type="expression" dxfId="609" priority="35">
      <formula>OR($C9="lejrskole")</formula>
    </cfRule>
    <cfRule type="expression" dxfId="608" priority="36">
      <formula>OR($C9="emnedag")</formula>
    </cfRule>
    <cfRule type="expression" dxfId="607" priority="37">
      <formula>OR($C9="fagdag")</formula>
    </cfRule>
    <cfRule type="expression" dxfId="606" priority="38">
      <formula>OR($C9="feriedag")</formula>
    </cfRule>
    <cfRule type="expression" dxfId="605" priority="39">
      <formula>OR($C9="weekend")</formula>
    </cfRule>
    <cfRule type="expression" dxfId="604" priority="40" stopIfTrue="1">
      <formula>OR($C9="Orlov")</formula>
    </cfRule>
  </conditionalFormatting>
  <conditionalFormatting sqref="V9:V36">
    <cfRule type="expression" dxfId="603" priority="3">
      <formula>OR($S9="X",)</formula>
    </cfRule>
  </conditionalFormatting>
  <conditionalFormatting sqref="X9:X36">
    <cfRule type="expression" dxfId="602" priority="2">
      <formula>OR($U9="X",)</formula>
    </cfRule>
  </conditionalFormatting>
  <conditionalFormatting sqref="W9">
    <cfRule type="expression" dxfId="601" priority="1">
      <formula>OR($T9="x",)</formula>
    </cfRule>
  </conditionalFormatting>
  <dataValidations count="3">
    <dataValidation type="list" allowBlank="1" showInputMessage="1" showErrorMessage="1" sqref="S9:U37"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2:I13 I19:I20 I26:I27 I33:I34"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6" xr:uid="{DC11B7B6-EE68-8E49-8E02-43780E361383}">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xr:uid="{68121CDC-61C2-9D4C-B584-ED020BD0A2D8}">
          <x14:formula1>
            <xm:f>Maaned!$A$30:$A$44</xm:f>
          </x14:formula1>
          <xm:sqref>C36</xm:sqref>
        </x14:dataValidation>
        <x14:dataValidation type="list" allowBlank="1" showInputMessage="1" xr:uid="{0F761ACF-C47A-7941-B1E3-D6106BAB2CE1}">
          <x14:formula1>
            <xm:f>August!$A$79:$A$93</xm:f>
          </x14:formula1>
          <xm:sqref>C9:C35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HC86"/>
  <sheetViews>
    <sheetView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3</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c r="Z2" s="113"/>
      <c r="AB2" s="113"/>
      <c r="AC2" s="113"/>
      <c r="AH2" s="113"/>
      <c r="AI2" s="113"/>
      <c r="CX2" s="455"/>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c r="Z3"/>
      <c r="AB3" s="113"/>
      <c r="AC3" s="113"/>
      <c r="AF3" s="113"/>
      <c r="CS3" s="455"/>
      <c r="CT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Marts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6" customHeight="1">
      <c r="A7" s="1078" t="s">
        <v>334</v>
      </c>
      <c r="B7" s="1079"/>
      <c r="C7" s="1079"/>
      <c r="D7" s="1080"/>
      <c r="E7" s="1095"/>
      <c r="F7" s="1096"/>
      <c r="G7" s="1097"/>
      <c r="H7" s="1087" t="s">
        <v>395</v>
      </c>
      <c r="I7" s="1077"/>
      <c r="J7" s="1459"/>
      <c r="K7" s="568" t="s">
        <v>356</v>
      </c>
      <c r="L7" s="568" t="s">
        <v>357</v>
      </c>
      <c r="M7" s="885" t="s">
        <v>624</v>
      </c>
      <c r="N7" s="1059"/>
      <c r="O7" s="1059"/>
      <c r="P7" s="1059"/>
      <c r="Q7" s="1059"/>
      <c r="R7" s="1193"/>
      <c r="S7" s="896"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31"/>
      <c r="BB8" s="420"/>
      <c r="CA8" s="180"/>
      <c r="CB8" s="430"/>
      <c r="CC8" s="531"/>
      <c r="CX8" s="455"/>
      <c r="DA8" s="455"/>
      <c r="DB8" s="455"/>
      <c r="DC8" s="455"/>
      <c r="DD8" s="455"/>
      <c r="DE8" s="455"/>
      <c r="DF8" s="455"/>
      <c r="DG8" s="455"/>
    </row>
    <row r="9" spans="1:211">
      <c r="A9" s="443">
        <f>IF(ISNUMBER(A7),A7+1,1)</f>
        <v>1</v>
      </c>
      <c r="B9" s="218" t="str">
        <f t="shared" ref="B9:B39" si="0">CHOOSE(MOD(WEEKDAY(DATE(A$6,A$2,A9)),7)+1,"lø","sø","ma","ti","on","to","fr",)</f>
        <v>on</v>
      </c>
      <c r="C9" s="219" t="s">
        <v>242</v>
      </c>
      <c r="D9" s="220" t="str">
        <f t="shared" ref="D9:D39" si="1">IF(B9="ma",(DATE(A$6,A$2,A9)-DATE(A$6,1,1)+7)/7,"")</f>
        <v/>
      </c>
      <c r="E9" s="906"/>
      <c r="F9" s="907"/>
      <c r="G9" s="908"/>
      <c r="H9" s="526"/>
      <c r="I9" s="855"/>
      <c r="J9" s="726"/>
      <c r="K9" s="669"/>
      <c r="L9" s="669"/>
      <c r="M9" s="669"/>
      <c r="N9" s="557">
        <f>BA9</f>
        <v>8</v>
      </c>
      <c r="O9" s="557">
        <f>CA9</f>
        <v>3</v>
      </c>
      <c r="P9" s="557">
        <f>IF(Stamoplysninger!$H$29="JA",Marts!DG9,CX9)</f>
        <v>0.5</v>
      </c>
      <c r="Q9" s="557">
        <f>IF(OR(C9="Lejrskole",C9="Ekskursion"),0,N9-O9-P9)</f>
        <v>4.5</v>
      </c>
      <c r="R9" s="558"/>
      <c r="S9" s="564"/>
      <c r="T9" s="565"/>
      <c r="U9" s="565"/>
      <c r="V9" s="559"/>
      <c r="W9" s="763"/>
      <c r="X9" s="560"/>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f>IF(AND(C9="Skema 2",B9="on"),Arbejdstidsoversigt!$E$55,"")</f>
        <v>8</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9" si="8">SUM(AG9:AK9)*24</f>
        <v>0</v>
      </c>
      <c r="BC9" s="1">
        <f>IF($C$9="Lejrskole",$L$9,0)</f>
        <v>0</v>
      </c>
      <c r="BD9" s="1">
        <f t="shared" ref="BD9:BD39" si="9">IF(C9="Ekskursion",L9,0)</f>
        <v>0</v>
      </c>
      <c r="BE9" s="1">
        <f t="shared" ref="BE9:BE39" si="10">IF(C9="fagdag",L9,0)</f>
        <v>0</v>
      </c>
      <c r="BF9" s="1">
        <f t="shared" ref="BF9:BF39" si="11">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f>IF(AND(C9="Skema 2",B9="on"),Skemaoplysninger!$Q$28,"")</f>
        <v>0.125</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3</v>
      </c>
      <c r="CB9" s="1">
        <f t="shared" ref="CB9:CB39" si="12">IF(C9="fagdag",M9,0)</f>
        <v>0</v>
      </c>
      <c r="CC9" s="1">
        <f t="shared" ref="CC9:CC39" si="13">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f>IF(AND(C9="Skema 2",B9="on"),Skemaoplysninger!$Q$37,"")</f>
        <v>0.5</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0.5</v>
      </c>
      <c r="CY9" s="457">
        <f>IF(C9="Skema 1",Stamoplysninger!$H$30/200,0)</f>
        <v>0</v>
      </c>
      <c r="CZ9" s="457">
        <f>IF(C9="Skema 2",Stamoplysninger!$H$30/200,0)</f>
        <v>1</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8" si="14">IF(ISNUMBER(A9),A9+1,1)</f>
        <v>2</v>
      </c>
      <c r="B10" s="218" t="str">
        <f t="shared" si="0"/>
        <v>to</v>
      </c>
      <c r="C10" s="219" t="s">
        <v>242</v>
      </c>
      <c r="D10" s="220" t="str">
        <f t="shared" si="1"/>
        <v/>
      </c>
      <c r="E10" s="906"/>
      <c r="F10" s="907"/>
      <c r="G10" s="908"/>
      <c r="H10" s="526"/>
      <c r="I10" s="855"/>
      <c r="J10" s="726"/>
      <c r="K10" s="669"/>
      <c r="L10" s="669"/>
      <c r="M10" s="669"/>
      <c r="N10" s="557">
        <f t="shared" ref="N10:N39" si="15">BA10</f>
        <v>8</v>
      </c>
      <c r="O10" s="557">
        <f t="shared" ref="O10:O39" si="16">CA10</f>
        <v>3</v>
      </c>
      <c r="P10" s="557">
        <f>IF(Stamoplysninger!$H$29="JA",Marts!DG10,CX10)</f>
        <v>0.5</v>
      </c>
      <c r="Q10" s="557">
        <f t="shared" ref="Q10:Q39" si="17">IF(OR(C10="Lejrskole",C10="Ekskursion"),0,N10-O10-P10)</f>
        <v>4.5</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f>IF(AND(C10="Skema 2",B10="to"),Arbejdstidsoversigt!$E$56,"")</f>
        <v>8</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8</v>
      </c>
      <c r="BB10" s="421">
        <f t="shared" si="8"/>
        <v>0</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f>IF(AND(C10="Skema 2",B10="to"),Skemaoplysninger!$R$28,"")</f>
        <v>0.125</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3</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f>IF(AND(C10="Skema 2",B10="to"),Skemaoplysninger!$R$37,"")</f>
        <v>0.5</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0.5</v>
      </c>
      <c r="CY10" s="457">
        <f>IF(C10="Skema 1",Stamoplysninger!$H$30/200,0)</f>
        <v>0</v>
      </c>
      <c r="CZ10" s="457">
        <f>IF(C10="Skema 2",Stamoplysninger!$H$30/200,0)</f>
        <v>1</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1</v>
      </c>
    </row>
    <row r="11" spans="1:211">
      <c r="A11" s="443">
        <f t="shared" si="14"/>
        <v>3</v>
      </c>
      <c r="B11" s="218" t="str">
        <f t="shared" si="0"/>
        <v>fr</v>
      </c>
      <c r="C11" s="219" t="s">
        <v>242</v>
      </c>
      <c r="D11" s="220" t="str">
        <f t="shared" si="1"/>
        <v/>
      </c>
      <c r="E11" s="906"/>
      <c r="F11" s="907"/>
      <c r="G11" s="908"/>
      <c r="H11" s="526"/>
      <c r="I11" s="855"/>
      <c r="J11" s="726"/>
      <c r="K11" s="669"/>
      <c r="L11" s="669"/>
      <c r="M11" s="669"/>
      <c r="N11" s="557">
        <f t="shared" si="15"/>
        <v>6.5</v>
      </c>
      <c r="O11" s="557">
        <f t="shared" si="16"/>
        <v>3</v>
      </c>
      <c r="P11" s="557">
        <f>IF(Stamoplysninger!$H$29="JA",Marts!DG11,CX11)</f>
        <v>0.5</v>
      </c>
      <c r="Q11" s="557">
        <f t="shared" si="17"/>
        <v>3</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f>IF(AND(C11="Skema 2",B11="fr"),Arbejdstidsoversigt!$E$57,"")</f>
        <v>6.5</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6.5</v>
      </c>
      <c r="BB11" s="421">
        <f t="shared" si="8"/>
        <v>0</v>
      </c>
      <c r="BC11" s="1">
        <f t="shared" si="20"/>
        <v>0</v>
      </c>
      <c r="BD11" s="1">
        <f t="shared" si="9"/>
        <v>0</v>
      </c>
      <c r="BE11" s="1">
        <f t="shared" si="10"/>
        <v>0</v>
      </c>
      <c r="BF11" s="1">
        <f t="shared" si="11"/>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f>IF(AND(C11="Skema 2",B11="fr"),Skemaoplysninger!$S$28,"")</f>
        <v>0.125</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3</v>
      </c>
      <c r="CB11" s="1">
        <f t="shared" si="12"/>
        <v>0</v>
      </c>
      <c r="CC11" s="1">
        <f t="shared" si="13"/>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f>IF(AND(C11="Skema 2",B11="fr"),Skemaoplysninger!$S$37,"")</f>
        <v>0.5</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0.5</v>
      </c>
      <c r="CY11" s="457">
        <f>IF(C11="Skema 1",Stamoplysninger!$H$30/200,0)</f>
        <v>0</v>
      </c>
      <c r="CZ11" s="457">
        <f>IF(C11="Skema 2",Stamoplysninger!$H$30/200,0)</f>
        <v>1</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1</v>
      </c>
    </row>
    <row r="12" spans="1:211">
      <c r="A12" s="443">
        <f t="shared" si="14"/>
        <v>4</v>
      </c>
      <c r="B12" s="218" t="str">
        <f t="shared" si="0"/>
        <v>lø</v>
      </c>
      <c r="C12" s="219" t="s">
        <v>138</v>
      </c>
      <c r="D12" s="220" t="str">
        <f t="shared" si="1"/>
        <v/>
      </c>
      <c r="E12" s="906"/>
      <c r="F12" s="907"/>
      <c r="G12" s="908"/>
      <c r="H12" s="526"/>
      <c r="I12" s="726"/>
      <c r="J12" s="726"/>
      <c r="K12" s="669"/>
      <c r="L12" s="669"/>
      <c r="M12" s="669"/>
      <c r="N12" s="557">
        <f t="shared" si="15"/>
        <v>0</v>
      </c>
      <c r="O12" s="557">
        <f t="shared" si="16"/>
        <v>0</v>
      </c>
      <c r="P12" s="557">
        <f>IF(Stamoplysninger!$H$29="JA",Marts!DG12,CX12)</f>
        <v>0</v>
      </c>
      <c r="Q12" s="557">
        <f t="shared" si="17"/>
        <v>0</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8"/>
        <v>0</v>
      </c>
      <c r="BC12" s="1">
        <f t="shared" si="20"/>
        <v>0</v>
      </c>
      <c r="BD12" s="1">
        <f t="shared" si="9"/>
        <v>0</v>
      </c>
      <c r="BE12" s="1">
        <f t="shared" si="10"/>
        <v>0</v>
      </c>
      <c r="BF12" s="1">
        <f t="shared" si="11"/>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2"/>
        <v>0</v>
      </c>
      <c r="CC12" s="1">
        <f t="shared" si="13"/>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4"/>
        <v>5</v>
      </c>
      <c r="B13" s="218" t="str">
        <f t="shared" si="0"/>
        <v>sø</v>
      </c>
      <c r="C13" s="219" t="s">
        <v>138</v>
      </c>
      <c r="D13" s="220" t="str">
        <f t="shared" si="1"/>
        <v/>
      </c>
      <c r="E13" s="906"/>
      <c r="F13" s="907"/>
      <c r="G13" s="908"/>
      <c r="H13" s="526"/>
      <c r="I13" s="726"/>
      <c r="J13" s="726"/>
      <c r="K13" s="669"/>
      <c r="L13" s="669"/>
      <c r="M13" s="669"/>
      <c r="N13" s="557">
        <f t="shared" si="15"/>
        <v>0</v>
      </c>
      <c r="O13" s="557">
        <f t="shared" si="16"/>
        <v>0</v>
      </c>
      <c r="P13" s="557">
        <f>IF(Stamoplysninger!$H$29="JA",Marts!DG13,CX13)</f>
        <v>0</v>
      </c>
      <c r="Q13" s="557">
        <f t="shared" si="17"/>
        <v>0</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8"/>
        <v>0</v>
      </c>
      <c r="BC13" s="1">
        <f t="shared" si="20"/>
        <v>0</v>
      </c>
      <c r="BD13" s="1">
        <f t="shared" si="9"/>
        <v>0</v>
      </c>
      <c r="BE13" s="1">
        <f t="shared" si="10"/>
        <v>0</v>
      </c>
      <c r="BF13" s="1">
        <f t="shared" si="11"/>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2"/>
        <v>0</v>
      </c>
      <c r="CC13" s="1">
        <f t="shared" si="13"/>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4"/>
        <v>6</v>
      </c>
      <c r="B14" s="218" t="str">
        <f t="shared" si="0"/>
        <v>ma</v>
      </c>
      <c r="C14" s="219" t="s">
        <v>242</v>
      </c>
      <c r="D14" s="220">
        <f t="shared" si="1"/>
        <v>10.142857142857142</v>
      </c>
      <c r="E14" s="906"/>
      <c r="F14" s="907"/>
      <c r="G14" s="908"/>
      <c r="H14" s="526"/>
      <c r="I14" s="855"/>
      <c r="J14" s="726"/>
      <c r="K14" s="669"/>
      <c r="L14" s="669"/>
      <c r="M14" s="669"/>
      <c r="N14" s="557">
        <f t="shared" si="15"/>
        <v>8</v>
      </c>
      <c r="O14" s="557">
        <f t="shared" si="16"/>
        <v>4.5</v>
      </c>
      <c r="P14" s="557">
        <f>IF(Stamoplysninger!$H$29="JA",Marts!DG14,CX14)</f>
        <v>1.0833333333333335</v>
      </c>
      <c r="Q14" s="557">
        <f t="shared" si="17"/>
        <v>2.4166666666666665</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f>IF(AND(C14="Skema 2",B14="ma"),Arbejdstidsoversigt!$E$53,"")</f>
        <v>8</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8</v>
      </c>
      <c r="BB14" s="421">
        <f t="shared" si="8"/>
        <v>0</v>
      </c>
      <c r="BC14" s="1">
        <f t="shared" si="20"/>
        <v>0</v>
      </c>
      <c r="BD14" s="1">
        <f t="shared" si="9"/>
        <v>0</v>
      </c>
      <c r="BE14" s="1">
        <f t="shared" si="10"/>
        <v>0</v>
      </c>
      <c r="BF14" s="1">
        <f t="shared" si="11"/>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f>IF(AND(C14="Skema 2",B14="ma"),Skemaoplysninger!$O$28,"")</f>
        <v>0.1875</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4.5</v>
      </c>
      <c r="CB14" s="1">
        <f t="shared" si="12"/>
        <v>0</v>
      </c>
      <c r="CC14" s="1">
        <f t="shared" si="13"/>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f>IF(AND(C14="Skema 2",B14="ma"),Skemaoplysninger!$O$37,"")</f>
        <v>1.0833333333333335</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1.0833333333333335</v>
      </c>
      <c r="CY14" s="457">
        <f>IF(C14="Skema 1",Stamoplysninger!$H$30/200,0)</f>
        <v>0</v>
      </c>
      <c r="CZ14" s="457">
        <f>IF(C14="Skema 2",Stamoplysninger!$H$30/200,0)</f>
        <v>1</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4"/>
        <v>7</v>
      </c>
      <c r="B15" s="218" t="str">
        <f t="shared" si="0"/>
        <v>ti</v>
      </c>
      <c r="C15" s="219" t="s">
        <v>242</v>
      </c>
      <c r="D15" s="220" t="str">
        <f t="shared" si="1"/>
        <v/>
      </c>
      <c r="E15" s="906"/>
      <c r="F15" s="907"/>
      <c r="G15" s="908"/>
      <c r="H15" s="526"/>
      <c r="I15" s="855"/>
      <c r="J15" s="726"/>
      <c r="K15" s="669"/>
      <c r="L15" s="669"/>
      <c r="M15" s="669"/>
      <c r="N15" s="557">
        <f t="shared" si="15"/>
        <v>8</v>
      </c>
      <c r="O15" s="557">
        <f t="shared" si="16"/>
        <v>4.5</v>
      </c>
      <c r="P15" s="557">
        <f>IF(Stamoplysninger!$H$29="JA",Marts!DG15,CX15)</f>
        <v>1.0833333333333335</v>
      </c>
      <c r="Q15" s="557">
        <f t="shared" si="17"/>
        <v>2.4166666666666665</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f>IF(AND(C15="Skema 2",B15="ti"),Arbejdstidsoversigt!$E$54,"")</f>
        <v>8</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8</v>
      </c>
      <c r="BB15" s="421">
        <f t="shared" si="8"/>
        <v>0</v>
      </c>
      <c r="BC15" s="1">
        <f t="shared" si="20"/>
        <v>0</v>
      </c>
      <c r="BD15" s="1">
        <f t="shared" si="9"/>
        <v>0</v>
      </c>
      <c r="BE15" s="1">
        <f t="shared" si="10"/>
        <v>0</v>
      </c>
      <c r="BF15" s="1">
        <f t="shared" si="11"/>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f>IF(AND(C15="Skema 2",B15="ti"),Skemaoplysninger!$P$28,"")</f>
        <v>0.1875</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4.5</v>
      </c>
      <c r="CB15" s="1">
        <f t="shared" si="12"/>
        <v>0</v>
      </c>
      <c r="CC15" s="1">
        <f t="shared" si="13"/>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f>IF(AND(C15="Skema 2",B15="ti"),Skemaoplysninger!$P$37,"")</f>
        <v>1.0833333333333335</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1.0833333333333335</v>
      </c>
      <c r="CY15" s="457">
        <f>IF(C15="Skema 1",Stamoplysninger!$H$30/200,0)</f>
        <v>0</v>
      </c>
      <c r="CZ15" s="457">
        <f>IF(C15="Skema 2",Stamoplysninger!$H$30/200,0)</f>
        <v>1</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1</v>
      </c>
    </row>
    <row r="16" spans="1:211">
      <c r="A16" s="443">
        <f t="shared" si="14"/>
        <v>8</v>
      </c>
      <c r="B16" s="218" t="str">
        <f t="shared" si="0"/>
        <v>on</v>
      </c>
      <c r="C16" s="219" t="s">
        <v>242</v>
      </c>
      <c r="D16" s="220" t="str">
        <f t="shared" si="1"/>
        <v/>
      </c>
      <c r="E16" s="906"/>
      <c r="F16" s="907"/>
      <c r="G16" s="908"/>
      <c r="H16" s="526"/>
      <c r="I16" s="855"/>
      <c r="J16" s="726"/>
      <c r="K16" s="669"/>
      <c r="L16" s="669"/>
      <c r="M16" s="669"/>
      <c r="N16" s="557">
        <f t="shared" si="15"/>
        <v>8</v>
      </c>
      <c r="O16" s="557">
        <f t="shared" si="16"/>
        <v>3</v>
      </c>
      <c r="P16" s="557">
        <f>IF(Stamoplysninger!$H$29="JA",Marts!DG16,CX16)</f>
        <v>0.5</v>
      </c>
      <c r="Q16" s="557">
        <f t="shared" si="17"/>
        <v>4.5</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f>IF(AND(C16="Skema 2",B16="on"),Arbejdstidsoversigt!$E$55,"")</f>
        <v>8</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8</v>
      </c>
      <c r="BB16" s="421">
        <f t="shared" si="8"/>
        <v>0</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f>IF(AND(C16="Skema 2",B16="on"),Skemaoplysninger!$Q$28,"")</f>
        <v>0.125</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3</v>
      </c>
      <c r="CB16" s="1">
        <f t="shared" si="12"/>
        <v>0</v>
      </c>
      <c r="CC16" s="1">
        <f t="shared" si="13"/>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f>IF(AND(C16="Skema 2",B16="on"),Skemaoplysninger!$Q$37,"")</f>
        <v>0.5</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0.5</v>
      </c>
      <c r="CY16" s="457">
        <f>IF(C16="Skema 1",Stamoplysninger!$H$30/200,0)</f>
        <v>0</v>
      </c>
      <c r="CZ16" s="457">
        <f>IF(C16="Skema 2",Stamoplysninger!$H$30/200,0)</f>
        <v>1</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1</v>
      </c>
    </row>
    <row r="17" spans="1:111">
      <c r="A17" s="443">
        <f t="shared" si="14"/>
        <v>9</v>
      </c>
      <c r="B17" s="218" t="str">
        <f t="shared" si="0"/>
        <v>to</v>
      </c>
      <c r="C17" s="219" t="s">
        <v>242</v>
      </c>
      <c r="D17" s="220" t="str">
        <f t="shared" si="1"/>
        <v/>
      </c>
      <c r="E17" s="906"/>
      <c r="F17" s="907"/>
      <c r="G17" s="908"/>
      <c r="H17" s="526"/>
      <c r="I17" s="855"/>
      <c r="J17" s="726"/>
      <c r="K17" s="669"/>
      <c r="L17" s="669"/>
      <c r="M17" s="669"/>
      <c r="N17" s="557">
        <f t="shared" si="15"/>
        <v>8</v>
      </c>
      <c r="O17" s="557">
        <f t="shared" si="16"/>
        <v>3</v>
      </c>
      <c r="P17" s="557">
        <f>IF(Stamoplysninger!$H$29="JA",Marts!DG17,CX17)</f>
        <v>0.5</v>
      </c>
      <c r="Q17" s="557">
        <f t="shared" si="17"/>
        <v>4.5</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f>IF(AND(C17="Skema 2",B17="to"),Arbejdstidsoversigt!$E$56,"")</f>
        <v>8</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8</v>
      </c>
      <c r="BB17" s="421">
        <f t="shared" si="8"/>
        <v>0</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f>IF(AND(C17="Skema 2",B17="to"),Skemaoplysninger!$R$28,"")</f>
        <v>0.125</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3</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f>IF(AND(C17="Skema 2",B17="to"),Skemaoplysninger!$R$37,"")</f>
        <v>0.5</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0.5</v>
      </c>
      <c r="CY17" s="457">
        <f>IF(C17="Skema 1",Stamoplysninger!$H$30/200,0)</f>
        <v>0</v>
      </c>
      <c r="CZ17" s="457">
        <f>IF(C17="Skema 2",Stamoplysninger!$H$30/200,0)</f>
        <v>1</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4"/>
        <v>10</v>
      </c>
      <c r="B18" s="218" t="str">
        <f t="shared" si="0"/>
        <v>fr</v>
      </c>
      <c r="C18" s="219" t="s">
        <v>242</v>
      </c>
      <c r="D18" s="220" t="str">
        <f t="shared" si="1"/>
        <v/>
      </c>
      <c r="E18" s="906"/>
      <c r="F18" s="907"/>
      <c r="G18" s="908"/>
      <c r="H18" s="526"/>
      <c r="I18" s="855"/>
      <c r="J18" s="726"/>
      <c r="K18" s="669"/>
      <c r="L18" s="669"/>
      <c r="M18" s="669"/>
      <c r="N18" s="557">
        <f t="shared" si="15"/>
        <v>6.5</v>
      </c>
      <c r="O18" s="557">
        <f t="shared" si="16"/>
        <v>3</v>
      </c>
      <c r="P18" s="557">
        <f>IF(Stamoplysninger!$H$29="JA",Marts!DG18,CX18)</f>
        <v>0.5</v>
      </c>
      <c r="Q18" s="557">
        <f t="shared" si="17"/>
        <v>3</v>
      </c>
      <c r="R18" s="558"/>
      <c r="S18" s="564"/>
      <c r="T18" s="565"/>
      <c r="U18" s="565"/>
      <c r="V18" s="559"/>
      <c r="W18" s="763"/>
      <c r="X18" s="560"/>
      <c r="Y18">
        <f t="shared" si="18"/>
        <v>0</v>
      </c>
      <c r="Z18">
        <f t="shared" si="2"/>
        <v>0</v>
      </c>
      <c r="AA18" s="1">
        <f t="shared" si="3"/>
        <v>0</v>
      </c>
      <c r="AB18" s="1">
        <f t="shared" si="4"/>
        <v>0</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f>IF(AND(C18="Skema 2",B18="fr"),Arbejdstidsoversigt!$E$57,"")</f>
        <v>6.5</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6.5</v>
      </c>
      <c r="BB18" s="421">
        <f t="shared" si="8"/>
        <v>0</v>
      </c>
      <c r="BC18" s="1">
        <f t="shared" si="20"/>
        <v>0</v>
      </c>
      <c r="BD18" s="1">
        <f t="shared" si="9"/>
        <v>0</v>
      </c>
      <c r="BE18" s="1">
        <f t="shared" si="10"/>
        <v>0</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f>IF(AND(C18="Skema 2",B18="fr"),Skemaoplysninger!$S$28,"")</f>
        <v>0.125</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3</v>
      </c>
      <c r="CB18" s="1">
        <f t="shared" si="12"/>
        <v>0</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f>IF(AND(C18="Skema 2",B18="fr"),Skemaoplysninger!$S$37,"")</f>
        <v>0.5</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0.5</v>
      </c>
      <c r="CY18" s="457">
        <f>IF(C18="Skema 1",Stamoplysninger!$H$30/200,0)</f>
        <v>0</v>
      </c>
      <c r="CZ18" s="457">
        <f>IF(C18="Skema 2",Stamoplysninger!$H$30/200,0)</f>
        <v>1</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row>
    <row r="19" spans="1:111">
      <c r="A19" s="443">
        <f t="shared" si="14"/>
        <v>11</v>
      </c>
      <c r="B19" s="218" t="str">
        <f t="shared" si="0"/>
        <v>lø</v>
      </c>
      <c r="C19" s="219" t="s">
        <v>158</v>
      </c>
      <c r="D19" s="220" t="str">
        <f t="shared" si="1"/>
        <v/>
      </c>
      <c r="E19" s="906"/>
      <c r="F19" s="907"/>
      <c r="G19" s="908"/>
      <c r="H19" s="526"/>
      <c r="I19" s="726" t="s">
        <v>31</v>
      </c>
      <c r="J19" s="726"/>
      <c r="K19" s="669">
        <v>8</v>
      </c>
      <c r="L19" s="669"/>
      <c r="M19" s="669"/>
      <c r="N19" s="557">
        <f t="shared" si="15"/>
        <v>8</v>
      </c>
      <c r="O19" s="557">
        <f t="shared" si="16"/>
        <v>0</v>
      </c>
      <c r="P19" s="557">
        <f>IF(Stamoplysninger!$H$29="JA",Marts!DG19,CX19)</f>
        <v>0</v>
      </c>
      <c r="Q19" s="557">
        <f t="shared" si="17"/>
        <v>8</v>
      </c>
      <c r="R19" s="558"/>
      <c r="S19" s="564" t="s">
        <v>31</v>
      </c>
      <c r="T19" s="565"/>
      <c r="U19" s="565"/>
      <c r="V19" s="559" t="s">
        <v>615</v>
      </c>
      <c r="W19" s="763"/>
      <c r="X19" s="560"/>
      <c r="Y19">
        <f t="shared" si="18"/>
        <v>-2</v>
      </c>
      <c r="Z19">
        <f t="shared" si="2"/>
        <v>0</v>
      </c>
      <c r="AA19" s="1">
        <f t="shared" si="3"/>
        <v>0</v>
      </c>
      <c r="AB19" s="1">
        <f t="shared" si="4"/>
        <v>0</v>
      </c>
      <c r="AC19" s="1">
        <f t="shared" si="5"/>
        <v>8</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8</v>
      </c>
      <c r="BB19" s="421">
        <f t="shared" si="8"/>
        <v>0</v>
      </c>
      <c r="BC19" s="1">
        <f t="shared" si="20"/>
        <v>0</v>
      </c>
      <c r="BD19" s="1">
        <f t="shared" si="9"/>
        <v>0</v>
      </c>
      <c r="BE19" s="1">
        <f t="shared" si="10"/>
        <v>0</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2"/>
        <v>0</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sø</v>
      </c>
      <c r="C20" s="219" t="s">
        <v>138</v>
      </c>
      <c r="D20" s="220" t="str">
        <f t="shared" si="1"/>
        <v/>
      </c>
      <c r="E20" s="906"/>
      <c r="F20" s="907"/>
      <c r="G20" s="908"/>
      <c r="H20" s="526"/>
      <c r="I20" s="726"/>
      <c r="J20" s="726"/>
      <c r="K20" s="669"/>
      <c r="L20" s="669"/>
      <c r="M20" s="669"/>
      <c r="N20" s="557">
        <f t="shared" si="15"/>
        <v>0</v>
      </c>
      <c r="O20" s="557">
        <f t="shared" si="16"/>
        <v>0</v>
      </c>
      <c r="P20" s="557">
        <f>IF(Stamoplysninger!$H$29="JA",Marts!DG20,CX20)</f>
        <v>0</v>
      </c>
      <c r="Q20" s="557">
        <f t="shared" si="17"/>
        <v>0</v>
      </c>
      <c r="R20" s="558"/>
      <c r="S20" s="564"/>
      <c r="T20" s="565"/>
      <c r="U20" s="565"/>
      <c r="V20" s="559"/>
      <c r="W20" s="763"/>
      <c r="X20" s="560"/>
      <c r="Y20">
        <f t="shared" si="18"/>
        <v>0</v>
      </c>
      <c r="Z20">
        <f t="shared" si="2"/>
        <v>0</v>
      </c>
      <c r="AA20" s="1">
        <f t="shared" si="3"/>
        <v>0</v>
      </c>
      <c r="AB20" s="1">
        <f t="shared" si="4"/>
        <v>0</v>
      </c>
      <c r="AC20" s="1">
        <f t="shared" si="5"/>
        <v>0</v>
      </c>
      <c r="AD20" s="1">
        <f t="shared" si="6"/>
        <v>0</v>
      </c>
      <c r="AE20" s="1">
        <f t="shared" si="7"/>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0</v>
      </c>
      <c r="BB20" s="421">
        <f t="shared" si="8"/>
        <v>0</v>
      </c>
      <c r="BC20" s="1">
        <f t="shared" si="20"/>
        <v>0</v>
      </c>
      <c r="BD20" s="1">
        <f t="shared" si="9"/>
        <v>0</v>
      </c>
      <c r="BE20" s="1">
        <f t="shared" si="10"/>
        <v>0</v>
      </c>
      <c r="BF20" s="1">
        <f t="shared" si="11"/>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0</v>
      </c>
      <c r="CB20" s="1">
        <f t="shared" si="12"/>
        <v>0</v>
      </c>
      <c r="CC20" s="1">
        <f t="shared" si="13"/>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v>
      </c>
      <c r="CY20" s="457">
        <f>IF(C20="Skema 1",Stamoplysninger!$H$30/200,0)</f>
        <v>0</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0</v>
      </c>
    </row>
    <row r="21" spans="1:111">
      <c r="A21" s="443">
        <f>IF(ISNUMBER(A20),A20+1,1)</f>
        <v>13</v>
      </c>
      <c r="B21" s="218" t="str">
        <f t="shared" si="0"/>
        <v>ma</v>
      </c>
      <c r="C21" s="219" t="s">
        <v>242</v>
      </c>
      <c r="D21" s="220">
        <f t="shared" si="1"/>
        <v>11.142857142857142</v>
      </c>
      <c r="E21" s="909"/>
      <c r="F21" s="910"/>
      <c r="G21" s="911"/>
      <c r="H21" s="525"/>
      <c r="I21" s="855"/>
      <c r="J21" s="726"/>
      <c r="K21" s="669"/>
      <c r="L21" s="669"/>
      <c r="M21" s="669"/>
      <c r="N21" s="557">
        <f t="shared" si="15"/>
        <v>8</v>
      </c>
      <c r="O21" s="557">
        <f t="shared" si="16"/>
        <v>4.5</v>
      </c>
      <c r="P21" s="557">
        <f>IF(Stamoplysninger!$H$29="JA",Marts!DG21,CX21)</f>
        <v>1.0833333333333335</v>
      </c>
      <c r="Q21" s="557">
        <f t="shared" si="17"/>
        <v>2.4166666666666665</v>
      </c>
      <c r="R21" s="558"/>
      <c r="S21" s="564"/>
      <c r="T21" s="565"/>
      <c r="U21" s="565"/>
      <c r="V21" s="559"/>
      <c r="W21" s="763"/>
      <c r="X21" s="560"/>
      <c r="Y21">
        <f t="shared" si="18"/>
        <v>0</v>
      </c>
      <c r="Z21">
        <f t="shared" si="2"/>
        <v>0</v>
      </c>
      <c r="AA21" s="1">
        <f t="shared" si="3"/>
        <v>0</v>
      </c>
      <c r="AB21" s="1">
        <f t="shared" si="4"/>
        <v>0</v>
      </c>
      <c r="AC21" s="1">
        <f t="shared" si="5"/>
        <v>0</v>
      </c>
      <c r="AD21" s="1">
        <f t="shared" si="6"/>
        <v>0</v>
      </c>
      <c r="AE21" s="1">
        <f t="shared" si="7"/>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f>IF(AND(C21="Skema 2",B21="ma"),Arbejdstidsoversigt!$E$53,"")</f>
        <v>8</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8"/>
        <v>0</v>
      </c>
      <c r="BC21" s="1">
        <f t="shared" si="20"/>
        <v>0</v>
      </c>
      <c r="BD21" s="1">
        <f t="shared" si="9"/>
        <v>0</v>
      </c>
      <c r="BE21" s="1">
        <f t="shared" si="10"/>
        <v>0</v>
      </c>
      <c r="BF21" s="1">
        <f t="shared" si="11"/>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f>IF(AND(C21="Skema 2",B21="ma"),Skemaoplysninger!$O$28,"")</f>
        <v>0.1875</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4.5</v>
      </c>
      <c r="CB21" s="1">
        <f t="shared" si="12"/>
        <v>0</v>
      </c>
      <c r="CC21" s="1">
        <f t="shared" si="13"/>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f>IF(AND(C21="Skema 2",B21="ma"),Skemaoplysninger!$O$37,"")</f>
        <v>1.0833333333333335</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1.0833333333333335</v>
      </c>
      <c r="CY21" s="457">
        <f>IF(C21="Skema 1",Stamoplysninger!$H$30/200,0)</f>
        <v>0</v>
      </c>
      <c r="CZ21" s="457">
        <f>IF(C21="Skema 2",Stamoplysninger!$H$30/200,0)</f>
        <v>1</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4"/>
        <v>14</v>
      </c>
      <c r="B22" s="218" t="str">
        <f t="shared" si="0"/>
        <v>ti</v>
      </c>
      <c r="C22" s="219" t="s">
        <v>242</v>
      </c>
      <c r="D22" s="220" t="str">
        <f t="shared" si="1"/>
        <v/>
      </c>
      <c r="E22" s="909"/>
      <c r="F22" s="910"/>
      <c r="G22" s="911"/>
      <c r="H22" s="525"/>
      <c r="I22" s="855"/>
      <c r="J22" s="726"/>
      <c r="K22" s="669"/>
      <c r="L22" s="669"/>
      <c r="M22" s="669"/>
      <c r="N22" s="557">
        <f t="shared" si="15"/>
        <v>8</v>
      </c>
      <c r="O22" s="557">
        <f t="shared" si="16"/>
        <v>4.5</v>
      </c>
      <c r="P22" s="557">
        <f>IF(Stamoplysninger!$H$29="JA",Marts!DG22,CX22)</f>
        <v>1.0833333333333335</v>
      </c>
      <c r="Q22" s="557">
        <f t="shared" si="17"/>
        <v>2.4166666666666665</v>
      </c>
      <c r="R22" s="558"/>
      <c r="S22" s="564"/>
      <c r="T22" s="565"/>
      <c r="U22" s="565"/>
      <c r="V22" s="559"/>
      <c r="W22" s="763"/>
      <c r="X22" s="560"/>
      <c r="Y22">
        <f t="shared" si="18"/>
        <v>0</v>
      </c>
      <c r="Z22">
        <f t="shared" si="2"/>
        <v>0</v>
      </c>
      <c r="AA22" s="1">
        <f t="shared" si="3"/>
        <v>0</v>
      </c>
      <c r="AB22" s="1">
        <f t="shared" si="4"/>
        <v>0</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f>IF(AND(C22="Skema 2",B22="ti"),Arbejdstidsoversigt!$E$54,"")</f>
        <v>8</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8</v>
      </c>
      <c r="BB22" s="421">
        <f t="shared" si="8"/>
        <v>0</v>
      </c>
      <c r="BC22" s="1">
        <f t="shared" si="20"/>
        <v>0</v>
      </c>
      <c r="BD22" s="1">
        <f t="shared" si="9"/>
        <v>0</v>
      </c>
      <c r="BE22" s="1">
        <f t="shared" si="10"/>
        <v>0</v>
      </c>
      <c r="BF22" s="1">
        <f t="shared" si="11"/>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f>IF(AND(C22="Skema 2",B22="ti"),Skemaoplysninger!$P$28,"")</f>
        <v>0.1875</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4.5</v>
      </c>
      <c r="CB22" s="1">
        <f t="shared" si="12"/>
        <v>0</v>
      </c>
      <c r="CC22" s="1">
        <f t="shared" si="13"/>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f>IF(AND(C22="Skema 2",B22="ti"),Skemaoplysninger!$P$37,"")</f>
        <v>1.0833333333333335</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1.0833333333333335</v>
      </c>
      <c r="CY22" s="457">
        <f>IF(C22="Skema 1",Stamoplysninger!$H$30/200,0)</f>
        <v>0</v>
      </c>
      <c r="CZ22" s="457">
        <f>IF(C22="Skema 2",Stamoplysninger!$H$30/200,0)</f>
        <v>1</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4"/>
        <v>15</v>
      </c>
      <c r="B23" s="218" t="str">
        <f t="shared" si="0"/>
        <v>on</v>
      </c>
      <c r="C23" s="219" t="s">
        <v>242</v>
      </c>
      <c r="D23" s="220" t="str">
        <f t="shared" si="1"/>
        <v/>
      </c>
      <c r="E23" s="909"/>
      <c r="F23" s="910"/>
      <c r="G23" s="911"/>
      <c r="H23" s="525"/>
      <c r="I23" s="855"/>
      <c r="J23" s="726"/>
      <c r="K23" s="669"/>
      <c r="L23" s="669"/>
      <c r="M23" s="669"/>
      <c r="N23" s="557">
        <f t="shared" si="15"/>
        <v>8</v>
      </c>
      <c r="O23" s="557">
        <f t="shared" si="16"/>
        <v>3</v>
      </c>
      <c r="P23" s="557">
        <f>IF(Stamoplysninger!$H$29="JA",Marts!DG23,CX23)</f>
        <v>0.5</v>
      </c>
      <c r="Q23" s="557">
        <f t="shared" si="17"/>
        <v>4.5</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f>IF(AND(C23="Skema 2",B23="on"),Arbejdstidsoversigt!$E$55,"")</f>
        <v>8</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8"/>
        <v>0</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f>IF(AND(C23="Skema 2",B23="on"),Skemaoplysninger!$Q$28,"")</f>
        <v>0.125</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3</v>
      </c>
      <c r="CB23" s="1">
        <f t="shared" si="12"/>
        <v>0</v>
      </c>
      <c r="CC23" s="1">
        <f t="shared" si="13"/>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f>IF(AND(C23="Skema 2",B23="on"),Skemaoplysninger!$Q$37,"")</f>
        <v>0.5</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0.5</v>
      </c>
      <c r="CY23" s="457">
        <f>IF(C23="Skema 1",Stamoplysninger!$H$30/200,0)</f>
        <v>0</v>
      </c>
      <c r="CZ23" s="457">
        <f>IF(C23="Skema 2",Stamoplysninger!$H$30/200,0)</f>
        <v>1</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to</v>
      </c>
      <c r="C24" s="219" t="s">
        <v>242</v>
      </c>
      <c r="D24" s="220" t="str">
        <f t="shared" si="1"/>
        <v/>
      </c>
      <c r="E24" s="906"/>
      <c r="F24" s="907"/>
      <c r="G24" s="908"/>
      <c r="H24" s="526"/>
      <c r="I24" s="855"/>
      <c r="J24" s="726"/>
      <c r="K24" s="669"/>
      <c r="L24" s="669"/>
      <c r="M24" s="669"/>
      <c r="N24" s="557">
        <f t="shared" si="15"/>
        <v>8</v>
      </c>
      <c r="O24" s="557">
        <f t="shared" si="16"/>
        <v>3</v>
      </c>
      <c r="P24" s="557">
        <f>IF(Stamoplysninger!$H$29="JA",Marts!DG24,CX24)</f>
        <v>0.5</v>
      </c>
      <c r="Q24" s="557">
        <f t="shared" si="17"/>
        <v>4.5</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f>IF(AND(C24="Skema 2",B24="to"),Arbejdstidsoversigt!$E$56,"")</f>
        <v>8</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8</v>
      </c>
      <c r="BB24" s="421">
        <f t="shared" si="8"/>
        <v>0</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f>IF(AND(C24="Skema 2",B24="to"),Skemaoplysninger!$R$28,"")</f>
        <v>0.125</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3</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f>IF(AND(C24="Skema 2",B24="to"),Skemaoplysninger!$R$37,"")</f>
        <v>0.5</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0.5</v>
      </c>
      <c r="CY24" s="457">
        <f>IF(C24="Skema 1",Stamoplysninger!$H$30/200,0)</f>
        <v>0</v>
      </c>
      <c r="CZ24" s="457">
        <f>IF(C24="Skema 2",Stamoplysninger!$H$30/200,0)</f>
        <v>1</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4"/>
        <v>17</v>
      </c>
      <c r="B25" s="218" t="str">
        <f t="shared" si="0"/>
        <v>fr</v>
      </c>
      <c r="C25" s="219" t="s">
        <v>242</v>
      </c>
      <c r="D25" s="220" t="str">
        <f t="shared" si="1"/>
        <v/>
      </c>
      <c r="E25" s="906"/>
      <c r="F25" s="907"/>
      <c r="G25" s="908"/>
      <c r="H25" s="526"/>
      <c r="I25" s="855"/>
      <c r="J25" s="726"/>
      <c r="K25" s="669"/>
      <c r="L25" s="669"/>
      <c r="M25" s="669"/>
      <c r="N25" s="557">
        <f t="shared" si="15"/>
        <v>6.5</v>
      </c>
      <c r="O25" s="557">
        <f t="shared" si="16"/>
        <v>3</v>
      </c>
      <c r="P25" s="557">
        <f>IF(Stamoplysninger!$H$29="JA",Marts!DG25,CX25)</f>
        <v>0.5</v>
      </c>
      <c r="Q25" s="557">
        <f t="shared" si="17"/>
        <v>3</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f>IF(AND(C25="Skema 2",B25="fr"),Arbejdstidsoversigt!$E$57,"")</f>
        <v>6.5</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6.5</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f>IF(AND(C25="Skema 2",B25="fr"),Skemaoplysninger!$S$28,"")</f>
        <v>0.125</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3</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f>IF(AND(C25="Skema 2",B25="fr"),Skemaoplysninger!$S$37,"")</f>
        <v>0.5</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0.5</v>
      </c>
      <c r="CY25" s="457">
        <f>IF(C25="Skema 1",Stamoplysninger!$H$30/200,0)</f>
        <v>0</v>
      </c>
      <c r="CZ25" s="457">
        <f>IF(C25="Skema 2",Stamoplysninger!$H$30/200,0)</f>
        <v>1</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row>
    <row r="26" spans="1:111">
      <c r="A26" s="443">
        <f t="shared" si="14"/>
        <v>18</v>
      </c>
      <c r="B26" s="218" t="str">
        <f t="shared" si="0"/>
        <v>lø</v>
      </c>
      <c r="C26" s="219" t="s">
        <v>138</v>
      </c>
      <c r="D26" s="220" t="str">
        <f t="shared" si="1"/>
        <v/>
      </c>
      <c r="E26" s="906"/>
      <c r="F26" s="907"/>
      <c r="G26" s="908"/>
      <c r="H26" s="526"/>
      <c r="I26" s="726"/>
      <c r="J26" s="726"/>
      <c r="K26" s="669"/>
      <c r="L26" s="669"/>
      <c r="M26" s="669"/>
      <c r="N26" s="557">
        <f t="shared" si="15"/>
        <v>0</v>
      </c>
      <c r="O26" s="557">
        <f t="shared" si="16"/>
        <v>0</v>
      </c>
      <c r="P26" s="557">
        <f>IF(Stamoplysninger!$H$29="JA",Marts!DG26,CX26)</f>
        <v>0</v>
      </c>
      <c r="Q26" s="557">
        <f t="shared" si="17"/>
        <v>0</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4"/>
        <v>19</v>
      </c>
      <c r="B27" s="218" t="str">
        <f t="shared" si="0"/>
        <v>sø</v>
      </c>
      <c r="C27" s="219" t="s">
        <v>138</v>
      </c>
      <c r="D27" s="220" t="str">
        <f t="shared" si="1"/>
        <v/>
      </c>
      <c r="E27" s="906"/>
      <c r="F27" s="907"/>
      <c r="G27" s="908"/>
      <c r="H27" s="526"/>
      <c r="I27" s="726"/>
      <c r="J27" s="726"/>
      <c r="K27" s="669"/>
      <c r="L27" s="669"/>
      <c r="M27" s="669"/>
      <c r="N27" s="557">
        <f t="shared" si="15"/>
        <v>0</v>
      </c>
      <c r="O27" s="557">
        <f t="shared" si="16"/>
        <v>0</v>
      </c>
      <c r="P27" s="557">
        <f>IF(Stamoplysninger!$H$29="JA",Marts!DG27,CX27)</f>
        <v>0</v>
      </c>
      <c r="Q27" s="557">
        <f t="shared" si="17"/>
        <v>0</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8"/>
        <v>0</v>
      </c>
      <c r="BC27" s="1">
        <f t="shared" si="20"/>
        <v>0</v>
      </c>
      <c r="BD27" s="1">
        <f t="shared" si="9"/>
        <v>0</v>
      </c>
      <c r="BE27" s="1">
        <f t="shared" si="10"/>
        <v>0</v>
      </c>
      <c r="BF27" s="1">
        <f t="shared" si="11"/>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2"/>
        <v>0</v>
      </c>
      <c r="CC27" s="1">
        <f t="shared" si="13"/>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4"/>
        <v>20</v>
      </c>
      <c r="B28" s="218" t="str">
        <f t="shared" si="0"/>
        <v>ma</v>
      </c>
      <c r="C28" s="219" t="s">
        <v>242</v>
      </c>
      <c r="D28" s="220">
        <f t="shared" si="1"/>
        <v>12.142857142857142</v>
      </c>
      <c r="E28" s="906"/>
      <c r="F28" s="907"/>
      <c r="G28" s="908"/>
      <c r="H28" s="526"/>
      <c r="I28" s="855"/>
      <c r="J28" s="726"/>
      <c r="K28" s="669"/>
      <c r="L28" s="669"/>
      <c r="M28" s="669"/>
      <c r="N28" s="557">
        <f t="shared" si="15"/>
        <v>8</v>
      </c>
      <c r="O28" s="557">
        <f t="shared" si="16"/>
        <v>4.5</v>
      </c>
      <c r="P28" s="557">
        <f>IF(Stamoplysninger!$H$29="JA",Marts!DG28,CX28)</f>
        <v>1.0833333333333335</v>
      </c>
      <c r="Q28" s="557">
        <f t="shared" si="17"/>
        <v>2.4166666666666665</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f>IF(AND(C28="Skema 2",B28="ma"),Arbejdstidsoversigt!$E$53,"")</f>
        <v>8</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8"/>
        <v>0</v>
      </c>
      <c r="BC28" s="1">
        <f t="shared" si="20"/>
        <v>0</v>
      </c>
      <c r="BD28" s="1">
        <f t="shared" si="9"/>
        <v>0</v>
      </c>
      <c r="BE28" s="1">
        <f t="shared" si="10"/>
        <v>0</v>
      </c>
      <c r="BF28" s="1">
        <f t="shared" si="11"/>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f>IF(AND(C28="Skema 2",B28="ma"),Skemaoplysninger!$O$28,"")</f>
        <v>0.1875</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4.5</v>
      </c>
      <c r="CB28" s="1">
        <f t="shared" si="12"/>
        <v>0</v>
      </c>
      <c r="CC28" s="1">
        <f t="shared" si="13"/>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f>IF(AND(C28="Skema 2",B28="ma"),Skemaoplysninger!$O$37,"")</f>
        <v>1.0833333333333335</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1.0833333333333335</v>
      </c>
      <c r="CY28" s="457">
        <f>IF(C28="Skema 1",Stamoplysninger!$H$30/200,0)</f>
        <v>0</v>
      </c>
      <c r="CZ28" s="457">
        <f>IF(C28="Skema 2",Stamoplysninger!$H$30/200,0)</f>
        <v>1</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4"/>
        <v>21</v>
      </c>
      <c r="B29" s="218" t="str">
        <f t="shared" si="0"/>
        <v>ti</v>
      </c>
      <c r="C29" s="219" t="s">
        <v>242</v>
      </c>
      <c r="D29" s="220" t="str">
        <f t="shared" si="1"/>
        <v/>
      </c>
      <c r="E29" s="906"/>
      <c r="F29" s="907"/>
      <c r="G29" s="908"/>
      <c r="H29" s="526"/>
      <c r="I29" s="855"/>
      <c r="J29" s="726"/>
      <c r="K29" s="669"/>
      <c r="L29" s="669"/>
      <c r="M29" s="669"/>
      <c r="N29" s="557">
        <f t="shared" si="15"/>
        <v>8</v>
      </c>
      <c r="O29" s="557">
        <f t="shared" si="16"/>
        <v>4.5</v>
      </c>
      <c r="P29" s="557">
        <f>IF(Stamoplysninger!$H$29="JA",Marts!DG29,CX29)</f>
        <v>1.0833333333333335</v>
      </c>
      <c r="Q29" s="557">
        <f t="shared" si="17"/>
        <v>2.4166666666666665</v>
      </c>
      <c r="R29" s="558"/>
      <c r="S29" s="564"/>
      <c r="T29" s="565"/>
      <c r="U29" s="565"/>
      <c r="V29" s="559"/>
      <c r="W29" s="763"/>
      <c r="X29" s="560"/>
      <c r="Y29">
        <f t="shared" si="18"/>
        <v>0</v>
      </c>
      <c r="Z29">
        <f t="shared" si="2"/>
        <v>0</v>
      </c>
      <c r="AA29" s="1">
        <f t="shared" si="3"/>
        <v>0</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f>IF(AND(C29="Skema 2",B29="ti"),Arbejdstidsoversigt!$E$54,"")</f>
        <v>8</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8</v>
      </c>
      <c r="BB29" s="421">
        <f t="shared" si="8"/>
        <v>0</v>
      </c>
      <c r="BC29" s="1">
        <f t="shared" si="20"/>
        <v>0</v>
      </c>
      <c r="BD29" s="1">
        <f t="shared" si="9"/>
        <v>0</v>
      </c>
      <c r="BE29" s="1">
        <f t="shared" si="10"/>
        <v>0</v>
      </c>
      <c r="BF29" s="1">
        <f t="shared" si="11"/>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f>IF(AND(C29="Skema 2",B29="ti"),Skemaoplysninger!$P$28,"")</f>
        <v>0.1875</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4.5</v>
      </c>
      <c r="CB29" s="1">
        <f t="shared" si="12"/>
        <v>0</v>
      </c>
      <c r="CC29" s="1">
        <f t="shared" si="13"/>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f>IF(AND(C29="Skema 2",B29="ti"),Skemaoplysninger!$P$37,"")</f>
        <v>1.0833333333333335</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1.0833333333333335</v>
      </c>
      <c r="CY29" s="457">
        <f>IF(C29="Skema 1",Stamoplysninger!$H$30/200,0)</f>
        <v>0</v>
      </c>
      <c r="CZ29" s="457">
        <f>IF(C29="Skema 2",Stamoplysninger!$H$30/200,0)</f>
        <v>1</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4"/>
        <v>22</v>
      </c>
      <c r="B30" s="218" t="str">
        <f t="shared" si="0"/>
        <v>on</v>
      </c>
      <c r="C30" s="219" t="s">
        <v>242</v>
      </c>
      <c r="D30" s="220" t="str">
        <f t="shared" si="1"/>
        <v/>
      </c>
      <c r="E30" s="906"/>
      <c r="F30" s="907"/>
      <c r="G30" s="908"/>
      <c r="H30" s="526"/>
      <c r="I30" s="855"/>
      <c r="J30" s="726"/>
      <c r="K30" s="669"/>
      <c r="L30" s="669"/>
      <c r="M30" s="669"/>
      <c r="N30" s="557">
        <f t="shared" si="15"/>
        <v>8</v>
      </c>
      <c r="O30" s="557">
        <f t="shared" si="16"/>
        <v>3</v>
      </c>
      <c r="P30" s="557">
        <f>IF(Stamoplysninger!$H$29="JA",Marts!DG30,CX30)</f>
        <v>0.5</v>
      </c>
      <c r="Q30" s="557">
        <f t="shared" si="17"/>
        <v>4.5</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f>IF(AND(C30="Skema 2",B30="on"),Arbejdstidsoversigt!$E$55,"")</f>
        <v>8</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f>IF(AND(C30="Skema 2",B30="on"),Skemaoplysninger!$Q$28,"")</f>
        <v>0.125</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3</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f>IF(AND(C30="Skema 2",B30="on"),Skemaoplysninger!$Q$37,"")</f>
        <v>0.5</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0.5</v>
      </c>
      <c r="CY30" s="457">
        <f>IF(C30="Skema 1",Stamoplysninger!$H$30/200,0)</f>
        <v>0</v>
      </c>
      <c r="CZ30" s="457">
        <f>IF(C30="Skema 2",Stamoplysninger!$H$30/200,0)</f>
        <v>1</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4"/>
        <v>23</v>
      </c>
      <c r="B31" s="218" t="str">
        <f t="shared" si="0"/>
        <v>to</v>
      </c>
      <c r="C31" s="219" t="s">
        <v>242</v>
      </c>
      <c r="D31" s="220" t="str">
        <f t="shared" si="1"/>
        <v/>
      </c>
      <c r="E31" s="906"/>
      <c r="F31" s="907"/>
      <c r="G31" s="908"/>
      <c r="H31" s="526"/>
      <c r="I31" s="855"/>
      <c r="J31" s="726"/>
      <c r="K31" s="669"/>
      <c r="L31" s="669"/>
      <c r="M31" s="669"/>
      <c r="N31" s="557">
        <f t="shared" si="15"/>
        <v>8</v>
      </c>
      <c r="O31" s="557">
        <f t="shared" si="16"/>
        <v>3</v>
      </c>
      <c r="P31" s="557">
        <f>IF(Stamoplysninger!$H$29="JA",Marts!DG31,CX31)</f>
        <v>0.5</v>
      </c>
      <c r="Q31" s="557">
        <f t="shared" si="17"/>
        <v>4.5</v>
      </c>
      <c r="R31" s="558"/>
      <c r="S31" s="564"/>
      <c r="T31" s="565"/>
      <c r="U31" s="565"/>
      <c r="V31" s="559"/>
      <c r="W31" s="763"/>
      <c r="X31" s="560"/>
      <c r="Y31">
        <f t="shared" si="18"/>
        <v>0</v>
      </c>
      <c r="Z31">
        <f t="shared" si="2"/>
        <v>0</v>
      </c>
      <c r="AA31" s="1">
        <f t="shared" si="3"/>
        <v>0</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f>IF(AND(C31="Skema 2",B31="to"),Arbejdstidsoversigt!$E$56,"")</f>
        <v>8</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8</v>
      </c>
      <c r="BB31" s="421">
        <f t="shared" si="8"/>
        <v>0</v>
      </c>
      <c r="BC31" s="1">
        <f t="shared" si="20"/>
        <v>0</v>
      </c>
      <c r="BD31" s="1">
        <f t="shared" si="9"/>
        <v>0</v>
      </c>
      <c r="BE31" s="1">
        <f t="shared" si="10"/>
        <v>0</v>
      </c>
      <c r="BF31" s="1">
        <f t="shared" si="11"/>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f>IF(AND(C31="Skema 2",B31="to"),Skemaoplysninger!$R$28,"")</f>
        <v>0.125</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3</v>
      </c>
      <c r="CB31" s="1">
        <f t="shared" si="12"/>
        <v>0</v>
      </c>
      <c r="CC31" s="1">
        <f t="shared" si="13"/>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f>IF(AND(C31="Skema 2",B31="to"),Skemaoplysninger!$R$37,"")</f>
        <v>0.5</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0.5</v>
      </c>
      <c r="CY31" s="457">
        <f>IF(C31="Skema 1",Stamoplysninger!$H$30/200,0)</f>
        <v>0</v>
      </c>
      <c r="CZ31" s="457">
        <f>IF(C31="Skema 2",Stamoplysninger!$H$30/200,0)</f>
        <v>1</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1</v>
      </c>
    </row>
    <row r="32" spans="1:111">
      <c r="A32" s="443">
        <f t="shared" si="14"/>
        <v>24</v>
      </c>
      <c r="B32" s="218" t="str">
        <f t="shared" si="0"/>
        <v>fr</v>
      </c>
      <c r="C32" s="219" t="s">
        <v>242</v>
      </c>
      <c r="D32" s="220" t="str">
        <f t="shared" si="1"/>
        <v/>
      </c>
      <c r="E32" s="449"/>
      <c r="F32" s="450"/>
      <c r="G32" s="451"/>
      <c r="H32" s="526"/>
      <c r="I32" s="855"/>
      <c r="J32" s="726"/>
      <c r="K32" s="669"/>
      <c r="L32" s="669"/>
      <c r="M32" s="669"/>
      <c r="N32" s="557">
        <f t="shared" si="15"/>
        <v>6.5</v>
      </c>
      <c r="O32" s="557">
        <f t="shared" si="16"/>
        <v>3</v>
      </c>
      <c r="P32" s="557">
        <f>IF(Stamoplysninger!$H$29="JA",Marts!DG32,CX32)</f>
        <v>0.5</v>
      </c>
      <c r="Q32" s="557">
        <f t="shared" si="17"/>
        <v>3</v>
      </c>
      <c r="R32" s="558"/>
      <c r="S32" s="564"/>
      <c r="T32" s="565"/>
      <c r="U32" s="565"/>
      <c r="V32" s="559"/>
      <c r="W32" s="763"/>
      <c r="X32" s="560"/>
      <c r="Y32">
        <f t="shared" si="18"/>
        <v>0</v>
      </c>
      <c r="Z32">
        <f t="shared" si="2"/>
        <v>0</v>
      </c>
      <c r="AA32" s="1">
        <f t="shared" si="3"/>
        <v>0</v>
      </c>
      <c r="AB32" s="1">
        <f t="shared" si="4"/>
        <v>0</v>
      </c>
      <c r="AC32" s="1">
        <f t="shared" si="5"/>
        <v>0</v>
      </c>
      <c r="AD32" s="1">
        <f t="shared" si="6"/>
        <v>0</v>
      </c>
      <c r="AE32" s="1">
        <f t="shared" si="7"/>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f>IF(AND(C32="Skema 2",B32="fr"),Arbejdstidsoversigt!$E$57,"")</f>
        <v>6.5</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6.5</v>
      </c>
      <c r="BB32" s="421">
        <f t="shared" si="8"/>
        <v>0</v>
      </c>
      <c r="BC32" s="1">
        <f t="shared" si="20"/>
        <v>0</v>
      </c>
      <c r="BD32" s="1">
        <f t="shared" si="9"/>
        <v>0</v>
      </c>
      <c r="BE32" s="1">
        <f t="shared" si="10"/>
        <v>0</v>
      </c>
      <c r="BF32" s="1">
        <f t="shared" si="11"/>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f>IF(AND(C32="Skema 2",B32="fr"),Skemaoplysninger!$S$28,"")</f>
        <v>0.125</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3</v>
      </c>
      <c r="CB32" s="1">
        <f t="shared" si="12"/>
        <v>0</v>
      </c>
      <c r="CC32" s="1">
        <f t="shared" si="13"/>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f>IF(AND(C32="Skema 2",B32="fr"),Skemaoplysninger!$S$37,"")</f>
        <v>0.5</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0.5</v>
      </c>
      <c r="CY32" s="457">
        <f>IF(C32="Skema 1",Stamoplysninger!$H$30/200,0)</f>
        <v>0</v>
      </c>
      <c r="CZ32" s="457">
        <f>IF(C32="Skema 2",Stamoplysninger!$H$30/200,0)</f>
        <v>1</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4"/>
        <v>25</v>
      </c>
      <c r="B33" s="218" t="str">
        <f t="shared" si="0"/>
        <v>lø</v>
      </c>
      <c r="C33" s="219" t="s">
        <v>138</v>
      </c>
      <c r="D33" s="220" t="str">
        <f t="shared" si="1"/>
        <v/>
      </c>
      <c r="E33" s="906"/>
      <c r="F33" s="907"/>
      <c r="G33" s="908"/>
      <c r="H33" s="526"/>
      <c r="I33" s="726"/>
      <c r="J33" s="726"/>
      <c r="K33" s="669"/>
      <c r="L33" s="669"/>
      <c r="M33" s="669"/>
      <c r="N33" s="557">
        <f t="shared" si="15"/>
        <v>0</v>
      </c>
      <c r="O33" s="557">
        <f t="shared" si="16"/>
        <v>0</v>
      </c>
      <c r="P33" s="557">
        <f>IF(Stamoplysninger!$H$29="JA",Marts!DG33,CX33)</f>
        <v>0</v>
      </c>
      <c r="Q33" s="557">
        <f t="shared" si="17"/>
        <v>0</v>
      </c>
      <c r="R33" s="558"/>
      <c r="S33" s="564"/>
      <c r="T33" s="565"/>
      <c r="U33" s="565"/>
      <c r="V33" s="559"/>
      <c r="W33" s="763"/>
      <c r="X33" s="560"/>
      <c r="Y33">
        <f t="shared" si="18"/>
        <v>0</v>
      </c>
      <c r="Z33">
        <f t="shared" si="2"/>
        <v>0</v>
      </c>
      <c r="AA33" s="1">
        <f t="shared" si="3"/>
        <v>0</v>
      </c>
      <c r="AB33" s="1">
        <f t="shared" si="4"/>
        <v>0</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8"/>
        <v>0</v>
      </c>
      <c r="BC33" s="1">
        <f t="shared" si="20"/>
        <v>0</v>
      </c>
      <c r="BD33" s="1">
        <f t="shared" si="9"/>
        <v>0</v>
      </c>
      <c r="BE33" s="1">
        <f t="shared" si="10"/>
        <v>0</v>
      </c>
      <c r="BF33" s="1">
        <f t="shared" si="11"/>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2"/>
        <v>0</v>
      </c>
      <c r="CC33" s="1">
        <f t="shared" si="13"/>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4"/>
        <v>26</v>
      </c>
      <c r="B34" s="218" t="str">
        <f t="shared" si="0"/>
        <v>sø</v>
      </c>
      <c r="C34" s="219" t="s">
        <v>138</v>
      </c>
      <c r="D34" s="220" t="str">
        <f t="shared" si="1"/>
        <v/>
      </c>
      <c r="E34" s="906"/>
      <c r="F34" s="907"/>
      <c r="G34" s="908"/>
      <c r="H34" s="526"/>
      <c r="I34" s="726"/>
      <c r="J34" s="726"/>
      <c r="K34" s="669"/>
      <c r="L34" s="669"/>
      <c r="M34" s="669"/>
      <c r="N34" s="557">
        <f t="shared" si="15"/>
        <v>0</v>
      </c>
      <c r="O34" s="557">
        <f t="shared" si="16"/>
        <v>0</v>
      </c>
      <c r="P34" s="557">
        <f>IF(Stamoplysninger!$H$29="JA",Marts!DG34,CX34)</f>
        <v>0</v>
      </c>
      <c r="Q34" s="557">
        <f t="shared" si="17"/>
        <v>0</v>
      </c>
      <c r="R34" s="558"/>
      <c r="S34" s="564"/>
      <c r="T34" s="565"/>
      <c r="U34" s="565"/>
      <c r="V34" s="559"/>
      <c r="W34" s="763"/>
      <c r="X34" s="560"/>
      <c r="Y34">
        <f t="shared" si="18"/>
        <v>0</v>
      </c>
      <c r="Z34">
        <f t="shared" si="2"/>
        <v>0</v>
      </c>
      <c r="AA34" s="1">
        <f t="shared" si="3"/>
        <v>0</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0</v>
      </c>
      <c r="BB34" s="421">
        <f t="shared" si="8"/>
        <v>0</v>
      </c>
      <c r="BC34" s="1">
        <f t="shared" si="20"/>
        <v>0</v>
      </c>
      <c r="BD34" s="1">
        <f t="shared" si="9"/>
        <v>0</v>
      </c>
      <c r="BE34" s="1">
        <f t="shared" si="10"/>
        <v>0</v>
      </c>
      <c r="BF34" s="1">
        <f t="shared" si="11"/>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2"/>
        <v>0</v>
      </c>
      <c r="CC34" s="1">
        <f t="shared" si="13"/>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4"/>
        <v>27</v>
      </c>
      <c r="B35" s="218" t="str">
        <f t="shared" si="0"/>
        <v>ma</v>
      </c>
      <c r="C35" s="219" t="s">
        <v>242</v>
      </c>
      <c r="D35" s="220">
        <f t="shared" si="1"/>
        <v>13.142857142857142</v>
      </c>
      <c r="E35" s="906"/>
      <c r="F35" s="907"/>
      <c r="G35" s="908"/>
      <c r="H35" s="526"/>
      <c r="I35" s="855"/>
      <c r="J35" s="726"/>
      <c r="K35" s="669"/>
      <c r="L35" s="669"/>
      <c r="M35" s="669"/>
      <c r="N35" s="557">
        <f t="shared" si="15"/>
        <v>8</v>
      </c>
      <c r="O35" s="557">
        <f t="shared" si="16"/>
        <v>4.5</v>
      </c>
      <c r="P35" s="557">
        <f>IF(Stamoplysninger!$H$29="JA",Marts!DG35,CX35)</f>
        <v>1.0833333333333335</v>
      </c>
      <c r="Q35" s="557">
        <f t="shared" si="17"/>
        <v>2.4166666666666665</v>
      </c>
      <c r="R35" s="558"/>
      <c r="S35" s="564"/>
      <c r="T35" s="565"/>
      <c r="U35" s="565"/>
      <c r="V35" s="559"/>
      <c r="W35" s="763"/>
      <c r="X35" s="560"/>
      <c r="Y35">
        <f t="shared" si="18"/>
        <v>0</v>
      </c>
      <c r="Z35">
        <f t="shared" si="2"/>
        <v>0</v>
      </c>
      <c r="AA35" s="1">
        <f t="shared" si="3"/>
        <v>0</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f>IF(AND(C35="Skema 2",B35="ma"),Arbejdstidsoversigt!$E$53,"")</f>
        <v>8</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8</v>
      </c>
      <c r="BB35" s="421">
        <f t="shared" si="8"/>
        <v>0</v>
      </c>
      <c r="BC35" s="1">
        <f t="shared" si="20"/>
        <v>0</v>
      </c>
      <c r="BD35" s="1">
        <f t="shared" si="9"/>
        <v>0</v>
      </c>
      <c r="BE35" s="1">
        <f t="shared" si="10"/>
        <v>0</v>
      </c>
      <c r="BF35" s="1">
        <f t="shared" si="11"/>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f>IF(AND(C35="Skema 2",B35="ma"),Skemaoplysninger!$O$28,"")</f>
        <v>0.1875</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4.5</v>
      </c>
      <c r="CB35" s="1">
        <f t="shared" si="12"/>
        <v>0</v>
      </c>
      <c r="CC35" s="1">
        <f t="shared" si="13"/>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f>IF(AND(C35="Skema 2",B35="ma"),Skemaoplysninger!$O$37,"")</f>
        <v>1.0833333333333335</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1.0833333333333335</v>
      </c>
      <c r="CY35" s="457">
        <f>IF(C35="Skema 1",Stamoplysninger!$H$30/200,0)</f>
        <v>0</v>
      </c>
      <c r="CZ35" s="457">
        <f>IF(C35="Skema 2",Stamoplysninger!$H$30/200,0)</f>
        <v>1</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row>
    <row r="36" spans="1:111">
      <c r="A36" s="443">
        <f t="shared" si="14"/>
        <v>28</v>
      </c>
      <c r="B36" s="218" t="str">
        <f t="shared" si="0"/>
        <v>ti</v>
      </c>
      <c r="C36" s="219" t="s">
        <v>155</v>
      </c>
      <c r="D36" s="220" t="str">
        <f t="shared" si="1"/>
        <v/>
      </c>
      <c r="E36" s="906" t="s">
        <v>44</v>
      </c>
      <c r="F36" s="907"/>
      <c r="G36" s="908"/>
      <c r="H36" s="526"/>
      <c r="I36" s="855"/>
      <c r="J36" s="726"/>
      <c r="K36" s="669">
        <v>8</v>
      </c>
      <c r="L36" s="669">
        <v>4.5</v>
      </c>
      <c r="M36" s="669">
        <v>1</v>
      </c>
      <c r="N36" s="557">
        <f t="shared" si="15"/>
        <v>8</v>
      </c>
      <c r="O36" s="557">
        <f t="shared" si="16"/>
        <v>4.5</v>
      </c>
      <c r="P36" s="557">
        <f>IF(Stamoplysninger!$H$29="JA",Marts!DG36,CX36)</f>
        <v>1</v>
      </c>
      <c r="Q36" s="557">
        <f t="shared" si="17"/>
        <v>2.5</v>
      </c>
      <c r="R36" s="558"/>
      <c r="S36" s="564"/>
      <c r="T36" s="565"/>
      <c r="U36" s="565"/>
      <c r="V36" s="559"/>
      <c r="W36" s="763"/>
      <c r="X36" s="560"/>
      <c r="Y36">
        <f t="shared" si="18"/>
        <v>0</v>
      </c>
      <c r="Z36">
        <f t="shared" si="2"/>
        <v>0</v>
      </c>
      <c r="AA36" s="1">
        <f t="shared" si="3"/>
        <v>0</v>
      </c>
      <c r="AB36" s="1">
        <f t="shared" si="4"/>
        <v>8</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8</v>
      </c>
      <c r="BB36" s="421">
        <f t="shared" si="8"/>
        <v>0</v>
      </c>
      <c r="BC36" s="1">
        <f t="shared" si="20"/>
        <v>0</v>
      </c>
      <c r="BD36" s="1">
        <f t="shared" si="9"/>
        <v>0</v>
      </c>
      <c r="BE36" s="1">
        <f t="shared" si="10"/>
        <v>4.5</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4.5</v>
      </c>
      <c r="CB36" s="1">
        <f t="shared" si="12"/>
        <v>1</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1</v>
      </c>
      <c r="CY36" s="457">
        <f>IF(C36="Skema 1",Stamoplysninger!$H$30/200,0)</f>
        <v>0</v>
      </c>
      <c r="CZ36" s="457">
        <f>IF(C36="Skema 2",Stamoplysninger!$H$30/200,0)</f>
        <v>0</v>
      </c>
      <c r="DA36" s="457">
        <f>IF(C36="Skema 3",Stamoplysninger!$H$30/200,0)</f>
        <v>0</v>
      </c>
      <c r="DB36" s="457">
        <f>IF(C36="Skema 4",Stamoplysninger!$H$30/200,0)</f>
        <v>0</v>
      </c>
      <c r="DC36" s="457">
        <f>IF(C36="fagdag",Stamoplysninger!$H$30/200,0)</f>
        <v>1</v>
      </c>
      <c r="DD36" s="457">
        <f>IF(C36="emnedag",Stamoplysninger!$H$30/200,0)</f>
        <v>0</v>
      </c>
      <c r="DE36" s="457">
        <f>IF(C36="lejrskole",Stamoplysninger!$H$30/200,0)</f>
        <v>0</v>
      </c>
      <c r="DF36" s="457">
        <f>IF(C36="ekskursion",Stamoplysninger!$H$30/200,0)</f>
        <v>0</v>
      </c>
      <c r="DG36" s="457">
        <f t="shared" si="22"/>
        <v>1</v>
      </c>
    </row>
    <row r="37" spans="1:111">
      <c r="A37" s="443">
        <f>IF(ISNUMBER(A36),A36+1,1)</f>
        <v>29</v>
      </c>
      <c r="B37" s="218" t="str">
        <f t="shared" si="0"/>
        <v>on</v>
      </c>
      <c r="C37" s="219" t="s">
        <v>242</v>
      </c>
      <c r="D37" s="220" t="str">
        <f t="shared" si="1"/>
        <v/>
      </c>
      <c r="E37" s="906"/>
      <c r="F37" s="907"/>
      <c r="G37" s="908"/>
      <c r="H37" s="526"/>
      <c r="I37" s="855"/>
      <c r="J37" s="726"/>
      <c r="K37" s="669"/>
      <c r="L37" s="669"/>
      <c r="M37" s="669"/>
      <c r="N37" s="557">
        <f t="shared" si="15"/>
        <v>8</v>
      </c>
      <c r="O37" s="557">
        <f t="shared" si="16"/>
        <v>3</v>
      </c>
      <c r="P37" s="557">
        <f>IF(Stamoplysninger!$H$29="JA",Marts!DG37,CX37)</f>
        <v>0.5</v>
      </c>
      <c r="Q37" s="557">
        <f t="shared" si="17"/>
        <v>4.5</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f>IF(AND(C37="Skema 2",B37="on"),Arbejdstidsoversigt!$E$55,"")</f>
        <v>8</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8</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f>IF(AND(C37="Skema 2",B37="on"),Skemaoplysninger!$Q$28,"")</f>
        <v>0.125</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3</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f>IF(AND(C37="Skema 2",B37="on"),Skemaoplysninger!$Q$37,"")</f>
        <v>0.5</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0.5</v>
      </c>
      <c r="CY37" s="457">
        <f>IF(C37="Skema 1",Stamoplysninger!$H$30/200,0)</f>
        <v>0</v>
      </c>
      <c r="CZ37" s="457">
        <f>IF(C37="Skema 2",Stamoplysninger!$H$30/200,0)</f>
        <v>1</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1</v>
      </c>
    </row>
    <row r="38" spans="1:111">
      <c r="A38" s="443">
        <f t="shared" si="14"/>
        <v>30</v>
      </c>
      <c r="B38" s="218" t="str">
        <f t="shared" si="0"/>
        <v>to</v>
      </c>
      <c r="C38" s="219" t="s">
        <v>242</v>
      </c>
      <c r="D38" s="220" t="str">
        <f t="shared" si="1"/>
        <v/>
      </c>
      <c r="E38" s="906"/>
      <c r="F38" s="907"/>
      <c r="G38" s="908"/>
      <c r="H38" s="526"/>
      <c r="I38" s="855"/>
      <c r="J38" s="726"/>
      <c r="K38" s="669"/>
      <c r="L38" s="669"/>
      <c r="M38" s="669"/>
      <c r="N38" s="557">
        <f t="shared" si="15"/>
        <v>8</v>
      </c>
      <c r="O38" s="557">
        <f t="shared" si="16"/>
        <v>3</v>
      </c>
      <c r="P38" s="557">
        <f>IF(Stamoplysninger!$H$29="JA",Marts!DG38,CX38)</f>
        <v>0.5</v>
      </c>
      <c r="Q38" s="557">
        <f t="shared" si="17"/>
        <v>4.5</v>
      </c>
      <c r="R38" s="558"/>
      <c r="S38" s="564"/>
      <c r="T38" s="565"/>
      <c r="U38" s="762"/>
      <c r="V38" s="559"/>
      <c r="W38" s="763"/>
      <c r="X38" s="560"/>
      <c r="Y38">
        <f t="shared" si="18"/>
        <v>0</v>
      </c>
      <c r="Z38">
        <f t="shared" si="2"/>
        <v>0</v>
      </c>
      <c r="AA38" s="1">
        <f t="shared" si="3"/>
        <v>0</v>
      </c>
      <c r="AB38" s="1">
        <f t="shared" si="4"/>
        <v>0</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f>IF(AND(C38="Skema 2",B38="to"),Arbejdstidsoversigt!$E$56,"")</f>
        <v>8</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8</v>
      </c>
      <c r="BB38" s="421">
        <f t="shared" si="8"/>
        <v>0</v>
      </c>
      <c r="BC38" s="1">
        <f t="shared" si="20"/>
        <v>0</v>
      </c>
      <c r="BD38" s="1">
        <f t="shared" si="9"/>
        <v>0</v>
      </c>
      <c r="BE38" s="1">
        <f t="shared" si="10"/>
        <v>0</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f>IF(AND(C38="Skema 2",B38="to"),Skemaoplysninger!$R$28,"")</f>
        <v>0.125</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3</v>
      </c>
      <c r="CB38" s="1">
        <f t="shared" si="12"/>
        <v>0</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f>IF(AND(C38="Skema 2",B38="to"),Skemaoplysninger!$R$37,"")</f>
        <v>0.5</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0.5</v>
      </c>
      <c r="CY38" s="457">
        <f>IF(C38="Skema 1",Stamoplysninger!$H$30/200,0)</f>
        <v>0</v>
      </c>
      <c r="CZ38" s="457">
        <f>IF(C38="Skema 2",Stamoplysninger!$H$30/200,0)</f>
        <v>1</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1</v>
      </c>
    </row>
    <row r="39" spans="1:111">
      <c r="A39" s="443">
        <f>IF(ISNUMBER(A38),A38+1,1)</f>
        <v>31</v>
      </c>
      <c r="B39" s="218" t="str">
        <f t="shared" si="0"/>
        <v>fr</v>
      </c>
      <c r="C39" s="219" t="s">
        <v>242</v>
      </c>
      <c r="D39" s="220" t="str">
        <f t="shared" si="1"/>
        <v/>
      </c>
      <c r="E39" s="909"/>
      <c r="F39" s="910"/>
      <c r="G39" s="911"/>
      <c r="H39" s="525"/>
      <c r="I39" s="855"/>
      <c r="J39" s="726"/>
      <c r="K39" s="669"/>
      <c r="L39" s="669"/>
      <c r="M39" s="669"/>
      <c r="N39" s="557">
        <f t="shared" si="15"/>
        <v>6.5</v>
      </c>
      <c r="O39" s="557">
        <f t="shared" si="16"/>
        <v>3</v>
      </c>
      <c r="P39" s="557">
        <f>IF(Stamoplysninger!$H$29="JA",Marts!DG39,CX39)</f>
        <v>0.5</v>
      </c>
      <c r="Q39" s="557">
        <f t="shared" si="17"/>
        <v>3</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t="str">
        <f>IF(AND(C39="Skema 1",B39="ma"),Arbejdstidsoversigt!$E$44,"")</f>
        <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t="str">
        <f>IF(AND(C39="Skema 2",B39="on"),Arbejdstidsoversigt!$E$55,"")</f>
        <v/>
      </c>
      <c r="AO39" s="383" t="str">
        <f>IF(AND(C39="Skema 2",B39="to"),Arbejdstidsoversigt!$E$56,"")</f>
        <v/>
      </c>
      <c r="AP39" s="383">
        <f>IF(AND(C39="Skema 2",B39="fr"),Arbejdstidsoversigt!$E$57,"")</f>
        <v>6.5</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6.5</v>
      </c>
      <c r="BB39" s="421">
        <f t="shared" si="8"/>
        <v>0</v>
      </c>
      <c r="BC39" s="1">
        <f t="shared" si="20"/>
        <v>0</v>
      </c>
      <c r="BD39" s="1">
        <f t="shared" si="9"/>
        <v>0</v>
      </c>
      <c r="BE39" s="1">
        <f t="shared" si="10"/>
        <v>0</v>
      </c>
      <c r="BF39" s="1">
        <f t="shared" si="11"/>
        <v>0</v>
      </c>
      <c r="BG39" s="382" t="str">
        <f>IF(AND(C39="Skema 1",B39="ma"),Skemaoplysninger!$E$28,"")</f>
        <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t="str">
        <f>IF(AND(C39="Skema 2",B39="on"),Skemaoplysninger!$Q$28,"")</f>
        <v/>
      </c>
      <c r="BO39" s="382" t="str">
        <f>IF(AND(C39="Skema 2",B39="to"),Skemaoplysninger!$R$28,"")</f>
        <v/>
      </c>
      <c r="BP39" s="382">
        <f>IF(AND(C39="Skema 2",B39="fr"),Skemaoplysninger!$S$28,"")</f>
        <v>0.125</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3</v>
      </c>
      <c r="CB39" s="1">
        <f t="shared" si="12"/>
        <v>0</v>
      </c>
      <c r="CC39" s="1">
        <f t="shared" si="13"/>
        <v>0</v>
      </c>
      <c r="CD39" s="382" t="str">
        <f>IF(AND(C39="Skema 1",B39="ma"),Skemaoplysninger!$E$37,"")</f>
        <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t="str">
        <f>IF(AND(C39="Skema 2",B39="on"),Skemaoplysninger!$Q$37,"")</f>
        <v/>
      </c>
      <c r="CL39" s="382" t="str">
        <f>IF(AND(C39="Skema 2",B39="to"),Skemaoplysninger!$R$37,"")</f>
        <v/>
      </c>
      <c r="CM39" s="382">
        <f>IF(AND(C39="Skema 2",B39="fr"),Skemaoplysninger!$S$37,"")</f>
        <v>0.5</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0.5</v>
      </c>
      <c r="CY39" s="457">
        <f>IF(C39="Skema 1",Stamoplysninger!$H$30/200,0)</f>
        <v>0</v>
      </c>
      <c r="CZ39" s="457">
        <f>IF(C39="Skema 2",Stamoplysninger!$H$30/200,0)</f>
        <v>1</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1</v>
      </c>
    </row>
    <row r="40" spans="1:111" ht="17" thickBot="1">
      <c r="A40" s="1101" t="s">
        <v>308</v>
      </c>
      <c r="B40" s="1102"/>
      <c r="C40" s="1102"/>
      <c r="D40" s="1102"/>
      <c r="E40" s="1102"/>
      <c r="F40" s="1102"/>
      <c r="G40" s="1102"/>
      <c r="H40" s="1102"/>
      <c r="I40" s="1103"/>
      <c r="J40" s="552"/>
      <c r="K40" s="561"/>
      <c r="L40" s="561"/>
      <c r="M40" s="561"/>
      <c r="N40" s="562">
        <f t="shared" ref="N40:Q40" si="23">SUM(N9:N39)</f>
        <v>184.5</v>
      </c>
      <c r="O40" s="562">
        <f t="shared" si="23"/>
        <v>81</v>
      </c>
      <c r="P40" s="562">
        <f t="shared" si="23"/>
        <v>16.083333333333336</v>
      </c>
      <c r="Q40" s="562">
        <f t="shared" si="23"/>
        <v>87.416666666666657</v>
      </c>
      <c r="R40"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-2</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-2</v>
      </c>
      <c r="Z40" s="706">
        <f>Z9+Z10+Z11+Z12+Z13+Z14+Z15+Z16+Z17+Z18+Z19+Z20+Z21+Z22+Z23+Z24+Z25+Z26+Z27+Z28+Z29+Z30+Z31+Z32+Z33+Z34+Z35+Z36+Z37+Z38+Z39</f>
        <v>0</v>
      </c>
      <c r="AA40" s="431">
        <f t="shared" ref="AA40:AF40" si="24">SUM(AA9:AA39)</f>
        <v>0</v>
      </c>
      <c r="AB40" s="431">
        <f t="shared" si="24"/>
        <v>8</v>
      </c>
      <c r="AC40" s="431">
        <f t="shared" si="24"/>
        <v>8</v>
      </c>
      <c r="AD40" s="431">
        <f t="shared" si="24"/>
        <v>0</v>
      </c>
      <c r="AE40" s="431">
        <f t="shared" si="24"/>
        <v>0</v>
      </c>
      <c r="AF40" s="585">
        <f t="shared" si="24"/>
        <v>0</v>
      </c>
      <c r="AQ40" s="383"/>
      <c r="AR40" s="383"/>
      <c r="AS40" s="383"/>
      <c r="AT40" s="383"/>
      <c r="AU40" s="383"/>
      <c r="AV40" s="383"/>
      <c r="AW40" s="383"/>
      <c r="AX40" s="383"/>
      <c r="AY40" s="383"/>
      <c r="AZ40" s="383"/>
      <c r="BA40" s="1">
        <f>SUM(BA9:BA39)</f>
        <v>184.5</v>
      </c>
      <c r="BB40" s="180"/>
      <c r="BC40" s="431">
        <f>SUM(BC9:BC39)</f>
        <v>0</v>
      </c>
      <c r="BD40" s="431">
        <f>SUM(BD9:BD39)</f>
        <v>0</v>
      </c>
      <c r="BE40" s="431">
        <f t="shared" ref="BE40:BF40" si="25">SUM(BE9:BE39)</f>
        <v>4.5</v>
      </c>
      <c r="BF40" s="431">
        <f t="shared" si="25"/>
        <v>0</v>
      </c>
      <c r="BQ40" s="383"/>
      <c r="BR40" s="383"/>
      <c r="BS40" s="383"/>
      <c r="BT40" s="383"/>
      <c r="BU40" s="383"/>
      <c r="BV40" s="383"/>
      <c r="BW40" s="383"/>
      <c r="BX40" s="383"/>
      <c r="BY40" s="383"/>
      <c r="BZ40" s="383"/>
      <c r="CA40" s="431">
        <f>SUM(CA9:CA39)</f>
        <v>81</v>
      </c>
      <c r="CB40" s="431">
        <f t="shared" ref="CB40:CC40" si="26">SUM(CB9:CB39)</f>
        <v>1</v>
      </c>
      <c r="CC40" s="431">
        <f t="shared" si="26"/>
        <v>0</v>
      </c>
      <c r="CN40" s="383"/>
      <c r="CO40" s="383"/>
      <c r="CP40" s="383"/>
      <c r="CQ40" s="383"/>
      <c r="CR40" s="383"/>
      <c r="CS40" s="383"/>
      <c r="CT40" s="383"/>
      <c r="CU40" s="383"/>
      <c r="CV40" s="383"/>
      <c r="CW40" s="383"/>
      <c r="CX40" s="457"/>
      <c r="CY40" s="457">
        <f t="shared" ref="CY40:DG40" si="27">SUM(CY9:CY39)</f>
        <v>0</v>
      </c>
      <c r="CZ40" s="457">
        <f t="shared" si="27"/>
        <v>22</v>
      </c>
      <c r="DA40" s="457">
        <f t="shared" si="27"/>
        <v>0</v>
      </c>
      <c r="DB40" s="457">
        <f t="shared" si="27"/>
        <v>0</v>
      </c>
      <c r="DC40" s="457">
        <f t="shared" si="27"/>
        <v>1</v>
      </c>
      <c r="DD40" s="457">
        <f t="shared" si="27"/>
        <v>0</v>
      </c>
      <c r="DE40" s="457">
        <f t="shared" si="27"/>
        <v>0</v>
      </c>
      <c r="DF40" s="457">
        <f t="shared" si="27"/>
        <v>0</v>
      </c>
      <c r="DG40" s="457">
        <f t="shared" si="27"/>
        <v>23</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6"/>
      <c r="AB41" s="445"/>
      <c r="AC41" s="445"/>
      <c r="AD41" s="446"/>
      <c r="AE41" s="446"/>
      <c r="AF41"/>
      <c r="AG41" s="446"/>
      <c r="AR41" s="447"/>
      <c r="AS41" s="447"/>
      <c r="AT41" s="447"/>
      <c r="AU41" s="447"/>
      <c r="AV41" s="447"/>
      <c r="AW41" s="447"/>
      <c r="AX41" s="447"/>
      <c r="AY41" s="447"/>
      <c r="AZ41" s="447"/>
      <c r="BA41" s="447"/>
      <c r="BB41" s="447"/>
      <c r="BC41" s="446"/>
      <c r="BD41" s="446"/>
      <c r="BE41" s="446"/>
      <c r="BF41" s="446"/>
      <c r="BG41" s="448"/>
      <c r="BR41" s="447"/>
      <c r="BS41" s="447"/>
      <c r="BT41" s="447"/>
      <c r="BU41" s="447"/>
      <c r="BV41" s="447"/>
      <c r="BW41" s="447"/>
      <c r="BX41" s="447"/>
      <c r="BY41" s="447"/>
      <c r="BZ41" s="447"/>
      <c r="CA41" s="447"/>
      <c r="CB41" s="446"/>
      <c r="CC41" s="446"/>
      <c r="CD41" s="448"/>
      <c r="CO41" s="447"/>
      <c r="CP41" s="447"/>
      <c r="CQ41" s="447"/>
      <c r="CR41" s="447"/>
      <c r="CS41" s="447"/>
      <c r="CT41" s="447"/>
      <c r="CU41" s="447"/>
      <c r="CV41" s="447"/>
      <c r="CW41" s="447"/>
      <c r="CX41" s="458"/>
      <c r="CY41" s="458"/>
    </row>
    <row r="42" spans="1:111" ht="70" customHeight="1">
      <c r="A42" s="1138" t="str">
        <f>"Arbejdstid for "&amp;A7&amp;" måned:"</f>
        <v>Arbejdstid for Marts måned:</v>
      </c>
      <c r="B42" s="1139"/>
      <c r="C42" s="1139"/>
      <c r="D42" s="1139"/>
      <c r="E42" s="1139"/>
      <c r="F42" s="1139"/>
      <c r="G42" s="1139"/>
      <c r="H42" s="571" t="s">
        <v>303</v>
      </c>
      <c r="I42" s="1139" t="s">
        <v>264</v>
      </c>
      <c r="J42" s="1140"/>
      <c r="K42" s="1141"/>
      <c r="L42" s="472"/>
      <c r="M42" s="1164" t="str">
        <f>"Ulempetimer og weekendtimer i "&amp;A5&amp;""</f>
        <v>Ulempetimer og weekendtimer i Marts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23</v>
      </c>
      <c r="I43" s="1107">
        <f>IF(Stamoplysninger!$E$12="Ja",1924/Arbejdstidsoversigt!$K$9*Stamoplysninger!$E$15*H43,H43*7.4*Stamoplysninger!$E$13)</f>
        <v>169.54789272030652</v>
      </c>
      <c r="J43" s="1108"/>
      <c r="K43" s="1109"/>
      <c r="L43" s="468"/>
      <c r="M43" s="1167" t="s">
        <v>368</v>
      </c>
      <c r="N43" s="1168"/>
      <c r="O43" s="1168"/>
      <c r="P43" s="1168"/>
      <c r="Q43" s="1168"/>
      <c r="R43" s="1168"/>
      <c r="S43" s="1168"/>
      <c r="T43" s="1168"/>
      <c r="U43" s="1168"/>
      <c r="V43" s="1169">
        <f>M62+S61+T61+M65+M69+M63+N62+N69</f>
        <v>1.5</v>
      </c>
      <c r="W43" s="1169"/>
      <c r="X43" s="1170"/>
      <c r="Y43" s="437"/>
      <c r="Z43" s="437"/>
      <c r="AD43" s="124"/>
      <c r="AE43" s="124"/>
      <c r="AZ43" s="436"/>
      <c r="BM43" s="1"/>
      <c r="CJ43" s="1"/>
      <c r="CU43" s="455"/>
      <c r="CV43" s="455"/>
      <c r="CY43"/>
      <c r="CZ43"/>
    </row>
    <row r="44" spans="1:111">
      <c r="A44" s="1105" t="str">
        <f>"Ferie "&amp;A7&amp;" måned"</f>
        <v>Ferie Marts måned</v>
      </c>
      <c r="B44" s="1106"/>
      <c r="C44" s="1106"/>
      <c r="D44" s="1106"/>
      <c r="E44" s="1106"/>
      <c r="F44" s="1106"/>
      <c r="G44" s="1106"/>
      <c r="H44" s="467" t="str">
        <f>IF(D62&gt;0,$D$62,"0")</f>
        <v>0</v>
      </c>
      <c r="I44" s="1110">
        <f>H44*7.4*Stamoplysninger!$E$15</f>
        <v>0</v>
      </c>
      <c r="J44" s="1111"/>
      <c r="K44" s="1112"/>
      <c r="L44" s="468"/>
      <c r="M44" s="1171" t="s">
        <v>307</v>
      </c>
      <c r="N44" s="1172"/>
      <c r="O44" s="1172"/>
      <c r="P44" s="1172"/>
      <c r="Q44" s="1172"/>
      <c r="R44" s="1172"/>
      <c r="S44" s="1172"/>
      <c r="T44" s="1172"/>
      <c r="U44" s="1172"/>
      <c r="V44" s="1173">
        <f>M61+S60+T60+M64+M68+M60+N60+N68</f>
        <v>9</v>
      </c>
      <c r="W44" s="1173"/>
      <c r="X44" s="1174"/>
      <c r="Y44" s="437"/>
      <c r="Z44" s="437"/>
      <c r="AD44" s="124"/>
      <c r="AE44" s="124"/>
      <c r="AZ44" s="436"/>
      <c r="BM44" s="1"/>
      <c r="CJ44" s="1"/>
      <c r="CU44" s="455"/>
      <c r="CV44" s="455"/>
      <c r="CY44"/>
      <c r="CZ44"/>
    </row>
    <row r="45" spans="1:111">
      <c r="A45" s="1105" t="str">
        <f>"Søgnehelligdage i "&amp;A7&amp;" måned"</f>
        <v>Søgnehelligdage i Marts måned</v>
      </c>
      <c r="B45" s="1106"/>
      <c r="C45" s="1106"/>
      <c r="D45" s="1106"/>
      <c r="E45" s="1106"/>
      <c r="F45" s="1106"/>
      <c r="G45" s="1106"/>
      <c r="H45" s="467">
        <f>IF(D61&gt;0,D61,0)</f>
        <v>0</v>
      </c>
      <c r="I45" s="1110">
        <f>H45*7.4*Stamoplysninger!$E$15</f>
        <v>0</v>
      </c>
      <c r="J45" s="1111"/>
      <c r="K45" s="1112"/>
      <c r="L45" s="469"/>
      <c r="M45" s="1175" t="s">
        <v>347</v>
      </c>
      <c r="N45" s="1176"/>
      <c r="O45" s="1176"/>
      <c r="P45" s="1176"/>
      <c r="Q45" s="1176"/>
      <c r="R45" s="1176"/>
      <c r="S45" s="1176"/>
      <c r="T45" s="1176"/>
      <c r="U45" s="1176"/>
      <c r="V45" s="1186">
        <f>Februar!V52</f>
        <v>0</v>
      </c>
      <c r="W45" s="1186"/>
      <c r="X45" s="1187"/>
      <c r="Y45" s="437"/>
      <c r="Z45" s="437"/>
      <c r="AD45" s="124"/>
      <c r="AE45" s="124"/>
      <c r="AZ45" s="436"/>
      <c r="BM45" s="1"/>
      <c r="CJ45" s="1"/>
      <c r="CU45" s="455"/>
      <c r="CV45" s="455"/>
      <c r="CY45"/>
      <c r="CZ45"/>
    </row>
    <row r="46" spans="1:111">
      <c r="A46" s="1105" t="str">
        <f>"Nettoarbejdstid ialt i "&amp;A7&amp;" måned"</f>
        <v>Nettoarbejdstid ialt i Marts måned</v>
      </c>
      <c r="B46" s="1106"/>
      <c r="C46" s="1106"/>
      <c r="D46" s="1106"/>
      <c r="E46" s="1106"/>
      <c r="F46" s="1106"/>
      <c r="G46" s="1106"/>
      <c r="H46" s="470">
        <f>H43-H44-H45</f>
        <v>23</v>
      </c>
      <c r="I46" s="1110">
        <f>I43-I44-I45</f>
        <v>169.54789272030652</v>
      </c>
      <c r="J46" s="1111"/>
      <c r="K46" s="1112"/>
      <c r="L46" s="469"/>
      <c r="M46" s="1134" t="s">
        <v>354</v>
      </c>
      <c r="N46" s="1135"/>
      <c r="O46" s="1135"/>
      <c r="P46" s="1135"/>
      <c r="Q46" s="1135"/>
      <c r="R46" s="1135"/>
      <c r="S46" s="1135"/>
      <c r="T46" s="1135"/>
      <c r="U46" s="1135"/>
      <c r="V46" s="1136">
        <f>V44+V45</f>
        <v>9</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Marts måned kalender</v>
      </c>
      <c r="B47" s="1114"/>
      <c r="C47" s="1114"/>
      <c r="D47" s="1114"/>
      <c r="E47" s="1114"/>
      <c r="F47" s="1114"/>
      <c r="G47" s="1114"/>
      <c r="H47" s="866">
        <f>D53+D54+D55+D56+D57+D58+D59</f>
        <v>24</v>
      </c>
      <c r="I47" s="1115">
        <f>N40+R40-J56</f>
        <v>184.5</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-8</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09">
      <c r="A49" s="1126" t="str">
        <f>"Arbejde særligt planlagt for "&amp;A7&amp;" måned efter fanen skemaoplysninger"</f>
        <v>Arbejde særligt planlagt for Marts måned efter fanen skemaoplysninger</v>
      </c>
      <c r="B49" s="1127"/>
      <c r="C49" s="1127"/>
      <c r="D49" s="1127"/>
      <c r="E49" s="1127"/>
      <c r="F49" s="1127"/>
      <c r="G49" s="1127"/>
      <c r="H49" s="1128"/>
      <c r="I49" s="1116">
        <f>Skemaoplysninger!R67</f>
        <v>0</v>
      </c>
      <c r="J49" s="1124"/>
      <c r="K49" s="1125"/>
      <c r="L49" s="439"/>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09">
      <c r="A50" s="1142" t="s">
        <v>342</v>
      </c>
      <c r="B50" s="1143"/>
      <c r="C50" s="1143"/>
      <c r="D50" s="1143"/>
      <c r="E50" s="1143"/>
      <c r="F50" s="1143"/>
      <c r="G50" s="1143"/>
      <c r="H50" s="1143"/>
      <c r="I50" s="1194">
        <f>V40+X40-N57</f>
        <v>0</v>
      </c>
      <c r="J50" s="1118"/>
      <c r="K50" s="1195"/>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09" ht="17" thickBot="1">
      <c r="A51" s="471" t="str">
        <f>"Faktisk arbejdstid ialt i "&amp;A7&amp;" måned"</f>
        <v>Faktisk arbejdstid ialt i Marts måned</v>
      </c>
      <c r="B51" s="553"/>
      <c r="C51" s="554"/>
      <c r="D51" s="554"/>
      <c r="E51" s="554"/>
      <c r="F51" s="554"/>
      <c r="G51" s="554"/>
      <c r="H51" s="555"/>
      <c r="I51" s="1129">
        <f>I47+I50+I49+I48</f>
        <v>176.5</v>
      </c>
      <c r="J51" s="1130"/>
      <c r="K51" s="1131"/>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465"/>
      <c r="B52" s="465"/>
      <c r="C52" s="465"/>
      <c r="D52" s="465"/>
      <c r="E52" s="465"/>
      <c r="F52" s="465"/>
      <c r="G52" s="465"/>
      <c r="H52" s="452"/>
      <c r="I52" s="683"/>
      <c r="J52" s="683"/>
      <c r="K52" s="473" t="s">
        <v>343</v>
      </c>
      <c r="L52" s="439"/>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683" t="s">
        <v>241</v>
      </c>
      <c r="B53" s="689"/>
      <c r="C53" s="689"/>
      <c r="D53" s="683">
        <f>COUNTIF([0]!Marts,"Skema 1")</f>
        <v>0</v>
      </c>
      <c r="E53" s="690"/>
      <c r="F53" s="576" t="s">
        <v>221</v>
      </c>
      <c r="G53" s="576">
        <f>COUNTIFS($B$9:$B$39,"ma",[0]!Marts,"Skema 1")</f>
        <v>0</v>
      </c>
      <c r="H53" s="576"/>
      <c r="I53" s="576"/>
      <c r="J53" s="577"/>
      <c r="K53" s="439"/>
      <c r="L53" s="439"/>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c r="A54" s="1188" t="s">
        <v>242</v>
      </c>
      <c r="B54" s="1188"/>
      <c r="C54" s="1188"/>
      <c r="D54" s="683">
        <f>COUNTIF([0]!Marts,"Skema 2")</f>
        <v>22</v>
      </c>
      <c r="E54" s="690"/>
      <c r="F54" s="576" t="s">
        <v>222</v>
      </c>
      <c r="G54" s="576">
        <f>COUNTIFS($B$9:$B$39,"ti",[0]!Marts,"Skema 1")</f>
        <v>0</v>
      </c>
      <c r="H54" s="576"/>
      <c r="I54" s="576"/>
      <c r="J54" s="577"/>
      <c r="K54" s="581"/>
      <c r="L54" s="581"/>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09" ht="17" thickBot="1">
      <c r="A55" s="1188" t="s">
        <v>243</v>
      </c>
      <c r="B55" s="1188"/>
      <c r="C55" s="1188"/>
      <c r="D55" s="683">
        <f>COUNTIF([0]!Marts,"Skema 3")</f>
        <v>0</v>
      </c>
      <c r="E55" s="690"/>
      <c r="F55" s="576" t="s">
        <v>223</v>
      </c>
      <c r="G55" s="576">
        <f>COUNTIFS($B$9:$B$39,"on",[0]!Marts,"Skema 1")</f>
        <v>0</v>
      </c>
      <c r="H55" s="576"/>
      <c r="I55" s="576"/>
      <c r="J55" s="577"/>
      <c r="K55" s="581"/>
      <c r="L55" s="768"/>
      <c r="M55" s="1151" t="s">
        <v>346</v>
      </c>
      <c r="N55" s="1152"/>
      <c r="O55" s="1152"/>
      <c r="P55" s="1152"/>
      <c r="Q55" s="1152"/>
      <c r="R55" s="1152"/>
      <c r="S55" s="1152"/>
      <c r="T55" s="1152"/>
      <c r="U55" s="1153"/>
      <c r="V55" s="1154">
        <f>V46-SUM(V49:W54)</f>
        <v>9</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09" hidden="1">
      <c r="A56" s="1188" t="s">
        <v>244</v>
      </c>
      <c r="B56" s="1188"/>
      <c r="C56" s="1188"/>
      <c r="D56" s="683">
        <f>COUNTIF([0]!Marts,"Skema 4")</f>
        <v>0</v>
      </c>
      <c r="E56" s="690"/>
      <c r="F56" s="576" t="s">
        <v>225</v>
      </c>
      <c r="G56" s="576">
        <f>COUNTIFS($B$9:$B$39,"to",[0]!Marts,"Skema 1")</f>
        <v>0</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769"/>
      <c r="L56" s="768"/>
      <c r="M56" s="761" t="s">
        <v>378</v>
      </c>
      <c r="N56" s="761" t="s">
        <v>482</v>
      </c>
      <c r="O56" s="465"/>
      <c r="P56" s="465"/>
      <c r="Q56" s="465"/>
      <c r="R56" s="465"/>
      <c r="S56" s="465"/>
      <c r="T56" s="465"/>
      <c r="U56" s="465"/>
      <c r="V56" s="465"/>
      <c r="W56" s="465"/>
      <c r="X56" s="465"/>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83" t="s">
        <v>117</v>
      </c>
      <c r="B57" s="683"/>
      <c r="C57" s="683"/>
      <c r="D57" s="683">
        <f>COUNTIF([0]!Marts,"Fagdag")+COUNTIF([0]!Marts,"emnedag")</f>
        <v>1</v>
      </c>
      <c r="E57" s="690"/>
      <c r="F57" s="576" t="s">
        <v>224</v>
      </c>
      <c r="G57" s="576">
        <f>COUNTIFS($B$9:$B$39,"fr",[0]!Marts,"Skema 1")</f>
        <v>0</v>
      </c>
      <c r="H57" s="576"/>
      <c r="I57" s="578" t="s">
        <v>380</v>
      </c>
      <c r="J57" s="577"/>
      <c r="K57" s="768"/>
      <c r="L57" s="769"/>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8</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-2</v>
      </c>
      <c r="O57" s="754"/>
      <c r="P57" s="581"/>
      <c r="Q57" s="757" t="s">
        <v>382</v>
      </c>
      <c r="R57" s="459"/>
      <c r="S57" s="459"/>
      <c r="T57" s="459" t="s">
        <v>383</v>
      </c>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91" t="s">
        <v>116</v>
      </c>
      <c r="B58" s="683"/>
      <c r="C58" s="683"/>
      <c r="D58" s="683">
        <f>COUNTIF([0]!Marts,"Lejrskole")+COUNTIF([0]!Marts,"Ekskursion")</f>
        <v>0</v>
      </c>
      <c r="E58" s="690"/>
      <c r="F58" s="576"/>
      <c r="G58" s="576"/>
      <c r="H58" s="576"/>
      <c r="I58" s="578" t="s">
        <v>394</v>
      </c>
      <c r="J58" s="577"/>
      <c r="K58" s="768"/>
      <c r="L58" s="769"/>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115</v>
      </c>
      <c r="B59" s="683"/>
      <c r="C59" s="683"/>
      <c r="D59" s="683">
        <f>COUNTIF([0]!Marts,"Pæd.dag")</f>
        <v>1</v>
      </c>
      <c r="E59" s="690"/>
      <c r="F59" s="576" t="s">
        <v>226</v>
      </c>
      <c r="G59" s="576">
        <f>COUNTIFS($B$9:$B$39,"ma",[0]!Marts,"Skema 2")</f>
        <v>4</v>
      </c>
      <c r="H59" s="576"/>
      <c r="I59" s="576" t="s">
        <v>393</v>
      </c>
      <c r="J59" s="577"/>
      <c r="K59" s="769"/>
      <c r="L59" s="769"/>
      <c r="M59" s="754">
        <f>SUM(M57:M58)</f>
        <v>8</v>
      </c>
      <c r="N59" s="754">
        <f>SUM(N57:N58)</f>
        <v>-2</v>
      </c>
      <c r="O59" s="756">
        <f>(M59+N59)/2</f>
        <v>3</v>
      </c>
      <c r="P59" s="581">
        <f>SUM(M59:O59)</f>
        <v>9</v>
      </c>
      <c r="Q59" s="757">
        <f>(M59+N59)*25%</f>
        <v>1.5</v>
      </c>
      <c r="R59" s="459"/>
      <c r="S59" s="459"/>
      <c r="T59" s="459"/>
      <c r="U59" s="459"/>
      <c r="V59" s="459"/>
      <c r="W59" s="582"/>
      <c r="X59" s="582"/>
      <c r="Y59" s="437"/>
      <c r="Z59" s="437"/>
      <c r="AA59" s="437"/>
      <c r="AB59" s="387"/>
      <c r="AC59" s="454"/>
      <c r="AD59" s="454"/>
      <c r="AE59" s="454"/>
      <c r="AG59" s="437"/>
      <c r="AI59" s="437"/>
      <c r="AJ59" s="437"/>
      <c r="AN59" s="124"/>
      <c r="AO59" s="124"/>
      <c r="BI59" s="436"/>
      <c r="BV59" s="1"/>
      <c r="CS59" s="1"/>
      <c r="CY59"/>
      <c r="CZ59"/>
      <c r="DD59" s="455"/>
      <c r="DE59" s="455"/>
    </row>
    <row r="60" spans="1:109" hidden="1">
      <c r="A60" s="683" t="s">
        <v>138</v>
      </c>
      <c r="B60" s="683"/>
      <c r="C60" s="683"/>
      <c r="D60" s="683">
        <f>COUNTIF([0]!Marts,"Weekend")</f>
        <v>7</v>
      </c>
      <c r="E60" s="690"/>
      <c r="F60" s="576" t="s">
        <v>227</v>
      </c>
      <c r="G60" s="576">
        <f>COUNTIFS($B$9:$B$39,"ti",[0]!Marts,"Skema 2")</f>
        <v>3</v>
      </c>
      <c r="H60" s="576"/>
      <c r="I60" s="576" t="s">
        <v>564</v>
      </c>
      <c r="J60" s="577"/>
      <c r="K60" s="857"/>
      <c r="L60" s="857"/>
      <c r="M60" s="858">
        <f>IF(Stamoplysninger!$B$26="Weekendtimer og weekendtillæg afspadseres.",M57,0)</f>
        <v>8</v>
      </c>
      <c r="N60" s="858">
        <f>IF(Stamoplysninger!$B$26="Weekendtimer og weekendtillæg afspadseres.",N57,0)</f>
        <v>-2</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s="436"/>
      <c r="Z60"/>
      <c r="AM60" s="1"/>
      <c r="BJ60" s="1"/>
      <c r="BU60" s="455"/>
      <c r="BV60" s="455"/>
      <c r="CY60"/>
      <c r="CZ60"/>
    </row>
    <row r="61" spans="1:109" hidden="1">
      <c r="A61" s="683" t="s">
        <v>146</v>
      </c>
      <c r="B61" s="683"/>
      <c r="C61" s="683"/>
      <c r="D61" s="683">
        <f>COUNTIF([0]!Marts,"SH-dag")</f>
        <v>0</v>
      </c>
      <c r="E61" s="690"/>
      <c r="F61" s="576" t="s">
        <v>228</v>
      </c>
      <c r="G61" s="576">
        <f>COUNTIFS($B$9:$B$39,"on",[0]!Marts,"Skema 2")</f>
        <v>5</v>
      </c>
      <c r="H61" s="576"/>
      <c r="I61" s="854" t="s">
        <v>565</v>
      </c>
      <c r="J61" s="854"/>
      <c r="K61" s="864"/>
      <c r="L61" s="864"/>
      <c r="M61" s="858">
        <f>IF(Stamoplysninger!$B$26="Weekendtimer og weekendtillæg afspadseres.",O59,0)</f>
        <v>3</v>
      </c>
      <c r="N61" s="858">
        <f>IF(Stamoplysninger!$B$26="Weekendtimer og weekendtillæg afspadseres.",O59,0)</f>
        <v>3</v>
      </c>
      <c r="O61" s="754"/>
      <c r="P61" s="581"/>
      <c r="Q61" s="757" t="s">
        <v>381</v>
      </c>
      <c r="R61" s="459"/>
      <c r="S61" s="459">
        <f>IF(Stamoplysninger!B22="Ulempetillæg udbetales med 25% af nettotimelønnen.",Q59,0)</f>
        <v>1.5</v>
      </c>
      <c r="T61" s="459">
        <f>IF(Stamoplysninger!B22="Ulempetillæg udbetales med 25% af nettotimelønnen.",(R40+X40)*0.25,0)</f>
        <v>0</v>
      </c>
      <c r="U61" s="459"/>
      <c r="V61" s="459"/>
      <c r="W61" s="582"/>
      <c r="X61" s="582"/>
      <c r="Y61" s="436"/>
      <c r="Z61"/>
      <c r="AM61" s="1"/>
      <c r="BJ61" s="1"/>
      <c r="BU61" s="455"/>
      <c r="BV61" s="455"/>
      <c r="CY61"/>
      <c r="CZ61"/>
    </row>
    <row r="62" spans="1:109" hidden="1">
      <c r="A62" s="683" t="s">
        <v>114</v>
      </c>
      <c r="B62" s="683"/>
      <c r="C62" s="683"/>
      <c r="D62" s="683">
        <f>COUNTIF([0]!Marts,"Feriedag")</f>
        <v>0</v>
      </c>
      <c r="E62" s="690"/>
      <c r="F62" s="576" t="s">
        <v>229</v>
      </c>
      <c r="G62" s="576">
        <f>COUNTIFS($B$9:$B$39,"to",[0]!Marts,"Skema 2")</f>
        <v>5</v>
      </c>
      <c r="H62" s="576"/>
      <c r="I62" s="854" t="s">
        <v>566</v>
      </c>
      <c r="J62" s="854"/>
      <c r="K62" s="865"/>
      <c r="L62" s="865"/>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s="436"/>
      <c r="Z62"/>
      <c r="AM62" s="1"/>
      <c r="BJ62" s="1"/>
      <c r="BU62" s="455"/>
      <c r="BV62" s="455"/>
      <c r="CY62"/>
      <c r="CZ62"/>
    </row>
    <row r="63" spans="1:109" hidden="1">
      <c r="A63" s="683" t="s">
        <v>210</v>
      </c>
      <c r="B63" s="683"/>
      <c r="C63" s="683"/>
      <c r="D63" s="683">
        <f>COUNTIF([0]!Marts,"Nul-dag")</f>
        <v>0</v>
      </c>
      <c r="E63" s="690"/>
      <c r="F63" s="576" t="s">
        <v>230</v>
      </c>
      <c r="G63" s="576">
        <f>COUNTIFS($B$9:$B$39,"fr",[0]!Marts,"Skema 2")</f>
        <v>5</v>
      </c>
      <c r="H63" s="576"/>
      <c r="I63" s="854" t="s">
        <v>567</v>
      </c>
      <c r="J63" s="854"/>
      <c r="K63" s="865"/>
      <c r="L63" s="865"/>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s="436"/>
      <c r="Z63"/>
      <c r="AM63" s="1"/>
      <c r="BJ63" s="1"/>
      <c r="BU63" s="455"/>
      <c r="BV63" s="455"/>
      <c r="CY63"/>
      <c r="CZ63"/>
    </row>
    <row r="64" spans="1:109" hidden="1">
      <c r="A64" s="683" t="s">
        <v>505</v>
      </c>
      <c r="B64" s="683"/>
      <c r="C64" s="683"/>
      <c r="D64" s="683">
        <f>COUNTIF([0]!Marts,"Orlov")</f>
        <v>0</v>
      </c>
      <c r="E64" s="690"/>
      <c r="F64" s="692"/>
      <c r="G64" s="692"/>
      <c r="H64" s="692"/>
      <c r="I64" s="854" t="s">
        <v>385</v>
      </c>
      <c r="J64" s="854"/>
      <c r="K64" s="861"/>
      <c r="L64" s="861"/>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c r="Z64"/>
      <c r="AM64" s="1"/>
      <c r="BJ64" s="1"/>
      <c r="BU64" s="455"/>
      <c r="BV64" s="455"/>
      <c r="CY64"/>
      <c r="CZ64"/>
    </row>
    <row r="65" spans="1:104" hidden="1">
      <c r="A65" s="683" t="s">
        <v>185</v>
      </c>
      <c r="B65" s="683"/>
      <c r="C65" s="683"/>
      <c r="D65" s="683">
        <f>COUNTIF([0]!Marts,"Ikke relevant")</f>
        <v>0</v>
      </c>
      <c r="E65" s="690"/>
      <c r="F65" s="576" t="s">
        <v>231</v>
      </c>
      <c r="G65" s="576">
        <f>COUNTIFS($B$9:$B$39,"ma",[0]!Marts,"Skema 3")</f>
        <v>0</v>
      </c>
      <c r="H65" s="576">
        <v>1</v>
      </c>
      <c r="I65" s="854" t="s">
        <v>386</v>
      </c>
      <c r="J65" s="854"/>
      <c r="K65" s="861"/>
      <c r="L65" s="861"/>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c r="Z65"/>
      <c r="AM65" s="1"/>
      <c r="BJ65" s="1"/>
      <c r="BU65" s="455"/>
      <c r="BV65" s="455"/>
      <c r="CY65"/>
      <c r="CZ65"/>
    </row>
    <row r="66" spans="1:104" hidden="1">
      <c r="A66" s="683" t="s">
        <v>113</v>
      </c>
      <c r="B66" s="683"/>
      <c r="C66" s="683"/>
      <c r="D66" s="693">
        <f>SUM(D53:D65)</f>
        <v>31</v>
      </c>
      <c r="E66" s="693"/>
      <c r="F66" s="576" t="s">
        <v>232</v>
      </c>
      <c r="G66" s="576">
        <f>COUNTIFS($B$9:$B$39,"ti",[0]!Marts,"Skema 3")</f>
        <v>0</v>
      </c>
      <c r="H66" s="576">
        <v>2</v>
      </c>
      <c r="I66" s="854" t="s">
        <v>569</v>
      </c>
      <c r="J66" s="854"/>
      <c r="K66" s="861"/>
      <c r="L66" s="861"/>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c r="Z66" s="1"/>
      <c r="AX66" s="1"/>
      <c r="BI66" s="455"/>
      <c r="BJ66" s="455"/>
      <c r="CY66"/>
      <c r="CZ66"/>
    </row>
    <row r="67" spans="1:104" hidden="1">
      <c r="A67" s="683" t="s">
        <v>282</v>
      </c>
      <c r="B67" s="683"/>
      <c r="C67" s="683"/>
      <c r="D67" s="693">
        <f>D66-D60-A76-D65</f>
        <v>23</v>
      </c>
      <c r="E67" s="695"/>
      <c r="F67" s="576" t="s">
        <v>233</v>
      </c>
      <c r="G67" s="576">
        <f>COUNTIFS($B$9:$B$39,"on",[0]!Marts,"Skema 3")</f>
        <v>0</v>
      </c>
      <c r="H67" s="576"/>
      <c r="I67" s="854" t="s">
        <v>570</v>
      </c>
      <c r="J67" s="854"/>
      <c r="K67" s="861"/>
      <c r="L67" s="861"/>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s="1"/>
      <c r="AX67" s="1"/>
      <c r="BI67" s="455"/>
      <c r="BJ67" s="455"/>
      <c r="CY67"/>
      <c r="CZ67"/>
    </row>
    <row r="68" spans="1:104" hidden="1">
      <c r="A68" s="576"/>
      <c r="B68" s="576"/>
      <c r="C68" s="576"/>
      <c r="D68" s="694"/>
      <c r="E68" s="576"/>
      <c r="F68" s="576" t="s">
        <v>234</v>
      </c>
      <c r="G68" s="576">
        <f>COUNTIFS($B$9:$B$39,"to",[0]!Marts,"Skema 3")</f>
        <v>0</v>
      </c>
      <c r="H68" s="576"/>
      <c r="I68" s="854" t="s">
        <v>387</v>
      </c>
      <c r="J68" s="854"/>
      <c r="K68" s="863"/>
      <c r="L68" s="863"/>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s="1"/>
      <c r="AO68" s="1"/>
      <c r="BL68" s="1"/>
      <c r="BW68" s="455"/>
      <c r="BX68" s="455"/>
      <c r="CY68"/>
      <c r="CZ68"/>
    </row>
    <row r="69" spans="1:104" hidden="1">
      <c r="A69" s="576"/>
      <c r="B69" s="576"/>
      <c r="C69" s="576"/>
      <c r="D69" s="694"/>
      <c r="E69" s="576"/>
      <c r="F69" s="576" t="s">
        <v>235</v>
      </c>
      <c r="G69" s="576">
        <f>COUNTIFS($B$9:$B$39,"fr",[0]!Marts,"Skema 3")</f>
        <v>0</v>
      </c>
      <c r="H69" s="576">
        <v>1</v>
      </c>
      <c r="I69" s="854" t="s">
        <v>388</v>
      </c>
      <c r="J69" s="854"/>
      <c r="K69" s="863"/>
      <c r="L69" s="863"/>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s="1"/>
      <c r="AO69" s="1"/>
      <c r="BL69" s="1"/>
      <c r="BW69" s="455"/>
      <c r="BX69" s="455"/>
      <c r="CY69"/>
      <c r="CZ69"/>
    </row>
    <row r="70" spans="1:104" hidden="1">
      <c r="A70" s="576" t="s">
        <v>344</v>
      </c>
      <c r="B70" s="576"/>
      <c r="C70" s="576"/>
      <c r="D70" s="694"/>
      <c r="E70" s="694"/>
      <c r="F70" s="576"/>
      <c r="G70" s="576"/>
      <c r="H70" s="576">
        <v>2</v>
      </c>
      <c r="I70" s="854" t="s">
        <v>571</v>
      </c>
      <c r="J70" s="854"/>
      <c r="K70" s="863"/>
      <c r="L70" s="863"/>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s="1"/>
      <c r="AO70" s="1"/>
      <c r="BL70" s="1"/>
      <c r="BW70" s="455"/>
      <c r="BX70" s="455"/>
      <c r="CY70"/>
      <c r="CZ70"/>
    </row>
    <row r="71" spans="1:104" hidden="1">
      <c r="A71" s="576">
        <f>COUNTIF($C$12:$C$13,"Skema 1")+COUNTIF($C$12:$C$13,"Skema 2")+COUNTIF($C$12:$C$13,"Skema 3")+COUNTIF($C$12:$C$13,"Skema 4")+COUNTIF($C$12:$C$13,"Fagdag")+COUNTIF($C$12:$C$13,"Emnedag")+COUNTIF($C$12:$C$13,"Lejrskole")+COUNTIF($C$12:$C$13,"Ekskursion")+COUNTIF($C$12:$C$13,"Pæd.dag")</f>
        <v>0</v>
      </c>
      <c r="B71" s="576"/>
      <c r="C71" s="576"/>
      <c r="D71" s="576"/>
      <c r="E71" s="694"/>
      <c r="F71" s="576" t="s">
        <v>236</v>
      </c>
      <c r="G71" s="576">
        <f>COUNTIFS($B$9:$B$39,"ma",[0]!Marts,"Skema 4")</f>
        <v>0</v>
      </c>
      <c r="H71" s="576"/>
      <c r="I71" s="854" t="s">
        <v>572</v>
      </c>
      <c r="J71" s="854"/>
      <c r="K71" s="863"/>
      <c r="L71" s="863"/>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s="1"/>
      <c r="AO71" s="1"/>
      <c r="BL71" s="1"/>
      <c r="BW71" s="455"/>
      <c r="BX71" s="455"/>
      <c r="CY71"/>
      <c r="CZ71"/>
    </row>
    <row r="72" spans="1:104" hidden="1">
      <c r="A72" s="576">
        <f>COUNTIF($C$19:$C$20,"Skema 1")+COUNTIF($C$19:$C$20,"Skema 2")+COUNTIF($C$19:$C$20,"Skema 3")+COUNTIF($C$19:$C$20,"Skema 4")+COUNTIF($C$19:$C$20,"Fagdag")+COUNTIF($C$19:$C$20,"Emnedag")+COUNTIF($C$19:$C$20,"Lejrskole")+COUNTIF($C$19:$C$20,"Ekskursion")+COUNTIF($C$19:$C$20,"Pæd.dag")</f>
        <v>1</v>
      </c>
      <c r="B72" s="576"/>
      <c r="C72" s="576"/>
      <c r="D72" s="576"/>
      <c r="E72" s="694"/>
      <c r="F72" s="576" t="s">
        <v>237</v>
      </c>
      <c r="G72" s="576">
        <f>COUNTIFS($B$9:$B$39,"ti",[0]!Marts,"Skema 4")</f>
        <v>0</v>
      </c>
      <c r="H72" s="576"/>
      <c r="I72" s="576" t="s">
        <v>568</v>
      </c>
      <c r="J72" s="45"/>
      <c r="K72" s="769"/>
      <c r="L72" s="769"/>
      <c r="M72" s="754">
        <f>IF(Stamoplysninger!$B$26="Der er indgået lokalaftale omkring weekendtimer og weekendtillæg.(Kræver aftale med TR/FSL).",M57,0)</f>
        <v>0</v>
      </c>
      <c r="N72" s="754"/>
      <c r="O72" s="580"/>
      <c r="P72" s="580"/>
      <c r="Q72" s="580"/>
      <c r="R72" s="580"/>
      <c r="S72" s="580"/>
      <c r="T72" s="580"/>
      <c r="V72" s="580"/>
      <c r="X72" s="580"/>
      <c r="Y72"/>
      <c r="Z72" s="1"/>
      <c r="AO72" s="1"/>
      <c r="BL72" s="1"/>
      <c r="BW72" s="455"/>
      <c r="BX72" s="455"/>
      <c r="CY72"/>
      <c r="CZ72"/>
    </row>
    <row r="73" spans="1:104">
      <c r="A73" s="576">
        <f>COUNTIF($C$26:$C$27,"Skema 1")+COUNTIF($C$26:$C$27,"Skema 2")+COUNTIF($C$26:$C$27,"Skema 3")+COUNTIF($C$26:$C$27,"Skema 4")+COUNTIF($C$26:$C$27,"Fagdag")+COUNTIF($C$26:$C$27,"Emnedag")+COUNTIF($C$26:$C$27,"Lejrskole")+COUNTIF($C$26:$C$27,"Ekskursion")+COUNTIF($C$26:$C$27,"Pæd.dag")</f>
        <v>0</v>
      </c>
      <c r="B73" s="576"/>
      <c r="C73" s="576"/>
      <c r="D73" s="576"/>
      <c r="E73" s="694"/>
      <c r="F73" s="576" t="s">
        <v>238</v>
      </c>
      <c r="G73" s="576">
        <f>COUNTIFS($B$9:$B$39,"on",[0]!Marts,"Skema 4")</f>
        <v>0</v>
      </c>
      <c r="H73" s="576"/>
      <c r="I73" s="576"/>
      <c r="J73" s="45"/>
      <c r="K73" s="769"/>
      <c r="L73" s="769"/>
      <c r="M73" s="580"/>
      <c r="N73" s="580"/>
      <c r="O73" s="580"/>
      <c r="P73" s="580"/>
      <c r="Q73" s="580"/>
      <c r="R73" s="580"/>
      <c r="S73" s="580"/>
      <c r="T73" s="580"/>
      <c r="V73" s="580"/>
      <c r="Y73"/>
      <c r="Z73" s="1"/>
      <c r="AO73" s="1"/>
      <c r="BL73" s="1"/>
      <c r="BW73" s="455"/>
      <c r="BX73" s="455"/>
      <c r="CY73"/>
      <c r="CZ73"/>
    </row>
    <row r="74" spans="1:104">
      <c r="A74" s="576">
        <f>COUNTIF($C$33:$C$34,"Skema 1")+COUNTIF($C$33:$C$34,"Skema 2")+COUNTIF($C$33:$C$34,"Skema 3")+COUNTIF($C$33:$C$34,"Skema 4")+COUNTIF($C$33:$C$34,"Fagdag")+COUNTIF($C$33:$C$34,"Emnedag")+COUNTIF($C$33:$C$34,"Lejrskole")+COUNTIF($C$33:$C$34,"Ekskursion")+COUNTIF($C$33:$C$34,"Pæd.dag")</f>
        <v>0</v>
      </c>
      <c r="B74" s="576"/>
      <c r="C74" s="576"/>
      <c r="D74" s="576"/>
      <c r="E74" s="694"/>
      <c r="F74" s="576" t="s">
        <v>239</v>
      </c>
      <c r="G74" s="576">
        <f>COUNTIFS($B$9:$B$39,"to",[0]!Marts,"Skema 4")</f>
        <v>0</v>
      </c>
      <c r="H74" s="576"/>
      <c r="I74" s="576"/>
      <c r="J74" s="45"/>
      <c r="K74" s="769"/>
      <c r="L74" s="769"/>
      <c r="M74" s="580"/>
      <c r="N74" s="580"/>
      <c r="O74" s="580"/>
      <c r="P74" s="580"/>
      <c r="Q74" s="580"/>
      <c r="R74" s="580"/>
      <c r="S74" s="580"/>
      <c r="T74" s="580"/>
      <c r="V74" s="580"/>
      <c r="Y74"/>
      <c r="Z74"/>
      <c r="AO74" s="1">
        <f>SUM(N74:AN74)</f>
        <v>0</v>
      </c>
      <c r="BL74" s="1">
        <f>SUM(AI74:BK74)</f>
        <v>0</v>
      </c>
      <c r="BW74" s="455"/>
      <c r="BX74" s="455"/>
      <c r="CY74"/>
      <c r="CZ74"/>
    </row>
    <row r="75" spans="1:104">
      <c r="A75" s="576"/>
      <c r="B75" s="576"/>
      <c r="C75" s="576"/>
      <c r="D75" s="576"/>
      <c r="E75" s="694"/>
      <c r="F75" s="576" t="s">
        <v>240</v>
      </c>
      <c r="G75" s="576">
        <f>COUNTIFS($B$9:$B$39,"fr",[0]!Marts,"Skema 4")</f>
        <v>0</v>
      </c>
      <c r="H75" s="576"/>
      <c r="I75" s="45"/>
      <c r="J75" s="45"/>
      <c r="K75" s="769"/>
      <c r="L75" s="769"/>
      <c r="M75" s="580"/>
      <c r="N75" s="580"/>
      <c r="O75" s="580"/>
      <c r="P75" s="580"/>
      <c r="Q75" s="580"/>
      <c r="R75" s="580"/>
      <c r="S75" s="580"/>
      <c r="T75" s="580"/>
      <c r="V75" s="580"/>
      <c r="Y75"/>
      <c r="Z75"/>
      <c r="AO75" s="1">
        <f>SUM(N75:AN75)</f>
        <v>0</v>
      </c>
      <c r="BL75" s="1">
        <f>SUM(AI75:BK75)</f>
        <v>0</v>
      </c>
      <c r="BW75" s="455"/>
      <c r="BX75" s="455"/>
      <c r="CY75"/>
      <c r="CZ75"/>
    </row>
    <row r="76" spans="1:104">
      <c r="A76" s="576">
        <f>SUM(A71:A75)</f>
        <v>1</v>
      </c>
      <c r="B76" s="576"/>
      <c r="C76" s="576"/>
      <c r="D76" s="576"/>
      <c r="E76" s="694"/>
      <c r="F76" s="694"/>
      <c r="G76" s="697">
        <f>SUM(G53:G75)</f>
        <v>22</v>
      </c>
      <c r="H76" s="45"/>
      <c r="I76" s="45"/>
      <c r="J76" s="45"/>
      <c r="K76" s="769"/>
      <c r="L76" s="769"/>
      <c r="Y76"/>
      <c r="Z76"/>
      <c r="AO76" s="1">
        <f>SUM(N76:AN76)</f>
        <v>0</v>
      </c>
      <c r="BL76" s="1">
        <f>SUM(AI76:BK76)</f>
        <v>0</v>
      </c>
      <c r="BW76" s="455"/>
      <c r="BX76" s="455"/>
      <c r="CY76"/>
      <c r="CZ76"/>
    </row>
    <row r="77" spans="1:104">
      <c r="A77" s="779"/>
      <c r="B77" s="779"/>
      <c r="C77" s="779"/>
      <c r="D77" s="779"/>
      <c r="E77" s="778"/>
      <c r="F77" s="778"/>
      <c r="G77" s="778"/>
      <c r="H77" s="769"/>
      <c r="I77" s="769"/>
      <c r="J77" s="769"/>
      <c r="K77" s="769"/>
      <c r="L77" s="769"/>
      <c r="Y77"/>
      <c r="Z77"/>
      <c r="AO77" s="1">
        <f>SUM(N77:AN77)</f>
        <v>0</v>
      </c>
      <c r="BL77" s="1">
        <f>SUM(AI77:BK77)</f>
        <v>0</v>
      </c>
      <c r="BW77" s="455"/>
      <c r="BX77" s="455"/>
      <c r="CY77"/>
      <c r="CZ77"/>
    </row>
    <row r="78" spans="1:104">
      <c r="A78" s="779"/>
      <c r="B78" s="779"/>
      <c r="C78" s="779"/>
      <c r="D78" s="779"/>
      <c r="E78" s="778"/>
      <c r="F78" s="778"/>
      <c r="G78" s="778"/>
      <c r="H78" s="769"/>
      <c r="I78" s="769"/>
      <c r="J78" s="769"/>
      <c r="K78" s="769"/>
      <c r="L78" s="769"/>
      <c r="Y78"/>
      <c r="Z78"/>
      <c r="BW78" s="455"/>
      <c r="BX78" s="455"/>
      <c r="CY78"/>
      <c r="CZ78"/>
    </row>
    <row r="79" spans="1:104">
      <c r="A79" s="779"/>
      <c r="B79" s="779"/>
      <c r="C79" s="779"/>
      <c r="D79" s="779"/>
      <c r="E79" s="777"/>
      <c r="F79" s="777"/>
      <c r="G79" s="777"/>
      <c r="H79" s="769"/>
      <c r="I79" s="769"/>
      <c r="J79" s="769"/>
      <c r="K79" s="769"/>
      <c r="L79" s="769"/>
      <c r="Y79"/>
      <c r="Z79"/>
      <c r="BW79" s="455"/>
      <c r="BX79" s="455"/>
      <c r="CY79"/>
      <c r="CZ79"/>
    </row>
    <row r="80" spans="1:104">
      <c r="A80" s="769"/>
      <c r="B80" s="769"/>
      <c r="C80" s="769"/>
      <c r="D80" s="769"/>
      <c r="E80" s="777"/>
      <c r="F80" s="777"/>
      <c r="G80" s="777"/>
      <c r="H80" s="769"/>
      <c r="I80" s="769"/>
      <c r="J80" s="769"/>
      <c r="K80" s="769"/>
      <c r="L80" s="769"/>
      <c r="Y80"/>
      <c r="Z80"/>
      <c r="BW80" s="455"/>
      <c r="BX80" s="455"/>
      <c r="CY80"/>
      <c r="CZ80"/>
    </row>
    <row r="81" spans="1:111">
      <c r="A81" s="769"/>
      <c r="B81" s="769"/>
      <c r="C81" s="769"/>
      <c r="D81" s="769"/>
      <c r="E81" s="188"/>
      <c r="F81" s="777"/>
      <c r="G81" s="777"/>
      <c r="H81" s="769"/>
      <c r="I81" s="769"/>
      <c r="J81" s="769"/>
      <c r="K81" s="769"/>
      <c r="L81" s="769"/>
      <c r="Y81"/>
      <c r="Z81"/>
      <c r="BW81" s="455"/>
      <c r="BX81" s="455"/>
      <c r="CY81"/>
      <c r="CZ81"/>
    </row>
    <row r="82" spans="1:111">
      <c r="A82" s="769"/>
      <c r="B82" s="769"/>
      <c r="C82" s="769"/>
      <c r="D82" s="769"/>
      <c r="E82" s="188"/>
      <c r="F82" s="777"/>
      <c r="G82" s="777"/>
      <c r="H82" s="769"/>
      <c r="L82" s="769"/>
      <c r="Y82"/>
      <c r="Z82"/>
      <c r="AF82" s="424"/>
      <c r="BW82" s="455"/>
      <c r="BX82" s="455"/>
      <c r="CY82"/>
      <c r="CZ82"/>
    </row>
    <row r="83" spans="1:111">
      <c r="E83" s="105"/>
      <c r="F83" s="109"/>
      <c r="G83" s="109"/>
      <c r="Y83"/>
      <c r="Z83"/>
      <c r="AD83" s="406"/>
      <c r="AE83" s="424"/>
      <c r="AF83" s="424"/>
      <c r="AG83" s="424"/>
      <c r="AH83" s="424"/>
      <c r="CY83"/>
      <c r="CZ83"/>
      <c r="DF83" s="455"/>
      <c r="DG83" s="455"/>
    </row>
    <row r="84" spans="1:111">
      <c r="E84" s="105"/>
      <c r="F84" s="109"/>
      <c r="G84" s="109"/>
      <c r="Y84"/>
      <c r="Z84"/>
      <c r="AD84" s="406"/>
      <c r="AE84" s="424"/>
      <c r="AG84" s="424"/>
      <c r="AH84" s="424"/>
      <c r="CY84"/>
      <c r="CZ84"/>
      <c r="DF84" s="455"/>
      <c r="DG84" s="455"/>
    </row>
    <row r="85" spans="1:111">
      <c r="E85" s="105"/>
      <c r="F85" s="105"/>
      <c r="G85" s="105"/>
    </row>
    <row r="86" spans="1:111">
      <c r="E86" s="105"/>
      <c r="F86" s="105"/>
      <c r="G86" s="105"/>
    </row>
  </sheetData>
  <sheetProtection sheet="1" objects="1" scenarios="1"/>
  <mergeCells count="117">
    <mergeCell ref="A48:H48"/>
    <mergeCell ref="A54:C54"/>
    <mergeCell ref="V46:X46"/>
    <mergeCell ref="M47:X47"/>
    <mergeCell ref="M48:U48"/>
    <mergeCell ref="V48:X48"/>
    <mergeCell ref="M49:U49"/>
    <mergeCell ref="V49:X49"/>
    <mergeCell ref="A56:C56"/>
    <mergeCell ref="M55:U55"/>
    <mergeCell ref="V55:X55"/>
    <mergeCell ref="A55:C55"/>
    <mergeCell ref="I51:K51"/>
    <mergeCell ref="M50:U50"/>
    <mergeCell ref="V50:X50"/>
    <mergeCell ref="M51:U51"/>
    <mergeCell ref="V51:X51"/>
    <mergeCell ref="M52:U52"/>
    <mergeCell ref="V52:X52"/>
    <mergeCell ref="M53:U53"/>
    <mergeCell ref="V53:X53"/>
    <mergeCell ref="M54:U54"/>
    <mergeCell ref="V54:X54"/>
    <mergeCell ref="A50:H50"/>
    <mergeCell ref="I50:K50"/>
    <mergeCell ref="E28:G28"/>
    <mergeCell ref="A44:G44"/>
    <mergeCell ref="I44:K44"/>
    <mergeCell ref="A45:G45"/>
    <mergeCell ref="I45:K45"/>
    <mergeCell ref="M45:U45"/>
    <mergeCell ref="V45:X45"/>
    <mergeCell ref="A49:H49"/>
    <mergeCell ref="I49:K49"/>
    <mergeCell ref="A42:G42"/>
    <mergeCell ref="I42:K42"/>
    <mergeCell ref="A43:G43"/>
    <mergeCell ref="I43:K43"/>
    <mergeCell ref="M42:X42"/>
    <mergeCell ref="M43:U43"/>
    <mergeCell ref="V43:X43"/>
    <mergeCell ref="M44:U44"/>
    <mergeCell ref="V44:X44"/>
    <mergeCell ref="I48:K48"/>
    <mergeCell ref="A46:G46"/>
    <mergeCell ref="I46:K46"/>
    <mergeCell ref="A47:G47"/>
    <mergeCell ref="I47:K47"/>
    <mergeCell ref="M46:U46"/>
    <mergeCell ref="E36:G36"/>
    <mergeCell ref="E37:G37"/>
    <mergeCell ref="E38:G38"/>
    <mergeCell ref="E39:G39"/>
    <mergeCell ref="A40:I40"/>
    <mergeCell ref="E29:G29"/>
    <mergeCell ref="E30:G30"/>
    <mergeCell ref="E31:G31"/>
    <mergeCell ref="E33:G33"/>
    <mergeCell ref="E34:G34"/>
    <mergeCell ref="E35:G35"/>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S5:X5"/>
    <mergeCell ref="A3:X3"/>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E12:G12"/>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s>
  <phoneticPr fontId="5" type="noConversion"/>
  <conditionalFormatting sqref="E20">
    <cfRule type="expression" dxfId="600" priority="56">
      <formula>OR($D19="pæd.dag")</formula>
    </cfRule>
    <cfRule type="expression" dxfId="599" priority="57">
      <formula>OR($D19="nul-dag")</formula>
    </cfRule>
    <cfRule type="expression" dxfId="598" priority="58">
      <formula>OR($D19="SH-dag")</formula>
    </cfRule>
    <cfRule type="expression" dxfId="597" priority="59">
      <formula>OR($D19="ekskursion")</formula>
    </cfRule>
    <cfRule type="expression" dxfId="596" priority="60">
      <formula>OR($D19="lejrskole")</formula>
    </cfRule>
    <cfRule type="expression" dxfId="595" priority="61">
      <formula>OR($D19="emnedag")</formula>
    </cfRule>
    <cfRule type="expression" dxfId="594" priority="62">
      <formula>OR($D19="fagdag")</formula>
    </cfRule>
    <cfRule type="expression" dxfId="593" priority="63">
      <formula>OR($D19="feriedag")</formula>
    </cfRule>
    <cfRule type="expression" dxfId="592" priority="64">
      <formula>OR($D19="weekend")</formula>
    </cfRule>
    <cfRule type="expression" dxfId="591" priority="65" stopIfTrue="1">
      <formula>OR($D19="skoledag")</formula>
    </cfRule>
  </conditionalFormatting>
  <conditionalFormatting sqref="E20">
    <cfRule type="expression" dxfId="590" priority="66">
      <formula>OR($D19="Ikke relevant")</formula>
    </cfRule>
  </conditionalFormatting>
  <conditionalFormatting sqref="K9:M39">
    <cfRule type="expression" dxfId="589" priority="36">
      <formula>OR($C9="fagdag",)</formula>
    </cfRule>
    <cfRule type="expression" dxfId="588" priority="37">
      <formula>OR($C9="emnedag",)</formula>
    </cfRule>
  </conditionalFormatting>
  <conditionalFormatting sqref="K9:K39">
    <cfRule type="expression" dxfId="587" priority="38">
      <formula>OR($C9="Pæd.dag",)</formula>
    </cfRule>
  </conditionalFormatting>
  <conditionalFormatting sqref="K9:L39">
    <cfRule type="expression" dxfId="586" priority="39">
      <formula>OR($C9="Lejrskole",)</formula>
    </cfRule>
    <cfRule type="expression" dxfId="585" priority="40">
      <formula>OR($C9="Ekskursion",)</formula>
    </cfRule>
  </conditionalFormatting>
  <conditionalFormatting sqref="R9:R39">
    <cfRule type="expression" dxfId="584" priority="67">
      <formula>OR($H9&gt;"0",)</formula>
    </cfRule>
  </conditionalFormatting>
  <conditionalFormatting sqref="A9:H39">
    <cfRule type="expression" dxfId="583" priority="41">
      <formula>OR($C9="Skema 1")</formula>
    </cfRule>
    <cfRule type="expression" dxfId="582" priority="42">
      <formula>OR($C9="skema 2")</formula>
    </cfRule>
    <cfRule type="expression" dxfId="581" priority="43">
      <formula>OR($C9="Skema 3")</formula>
    </cfRule>
    <cfRule type="expression" dxfId="580" priority="44">
      <formula>OR($C9="Skema 4")</formula>
    </cfRule>
    <cfRule type="expression" dxfId="579" priority="45">
      <formula>OR($C9="Ikke relevant")</formula>
    </cfRule>
    <cfRule type="expression" dxfId="578" priority="46">
      <formula>OR($C9="pæd.dag")</formula>
    </cfRule>
    <cfRule type="expression" dxfId="577" priority="47">
      <formula>OR($C9="nul-dag")</formula>
    </cfRule>
    <cfRule type="expression" dxfId="576" priority="48">
      <formula>OR($C9="SH-dag")</formula>
    </cfRule>
    <cfRule type="expression" dxfId="575" priority="49">
      <formula>OR($C9="ekskursion")</formula>
    </cfRule>
    <cfRule type="expression" dxfId="574" priority="50">
      <formula>OR($C9="lejrskole")</formula>
    </cfRule>
    <cfRule type="expression" dxfId="573" priority="51">
      <formula>OR($C9="emnedag")</formula>
    </cfRule>
    <cfRule type="expression" dxfId="572" priority="52">
      <formula>OR($C9="fagdag")</formula>
    </cfRule>
    <cfRule type="expression" dxfId="571" priority="53">
      <formula>OR($C9="feriedag")</formula>
    </cfRule>
    <cfRule type="expression" dxfId="570" priority="54">
      <formula>OR($C9="weekend")</formula>
    </cfRule>
    <cfRule type="expression" dxfId="569" priority="55" stopIfTrue="1">
      <formula>OR($C9="Orlov")</formula>
    </cfRule>
  </conditionalFormatting>
  <conditionalFormatting sqref="V9:V39">
    <cfRule type="expression" dxfId="568" priority="3">
      <formula>OR($S9="X",)</formula>
    </cfRule>
  </conditionalFormatting>
  <conditionalFormatting sqref="W9:W39">
    <cfRule type="expression" dxfId="567" priority="2">
      <formula>OR($T9="X",)</formula>
    </cfRule>
  </conditionalFormatting>
  <conditionalFormatting sqref="X9:X39">
    <cfRule type="expression" dxfId="566" priority="1">
      <formula>OR($U9="X",)</formula>
    </cfRule>
  </conditionalFormatting>
  <dataValidations count="3">
    <dataValidation type="list" allowBlank="1" showInputMessage="1" showErrorMessage="1" sqref="S9:T39 U9:U37"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2:I13 I19:I20 I26:I27 I33:I34"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August!$A$79:$A$93</xm:f>
          </x14:formula1>
          <xm:sqref>C9:C39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HC85"/>
  <sheetViews>
    <sheetView zoomScale="90" workbookViewId="0">
      <selection activeCell="E9" sqref="E9:G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113"/>
      <c r="Y1"/>
      <c r="Z1" s="113"/>
      <c r="AB1" s="113"/>
      <c r="AC1" s="113"/>
      <c r="AH1" s="113"/>
      <c r="AI1" s="113"/>
      <c r="CX1" s="455"/>
      <c r="CZ1"/>
    </row>
    <row r="2" spans="1:211" ht="20">
      <c r="A2" s="155">
        <v>4</v>
      </c>
      <c r="B2" s="1180"/>
      <c r="C2" s="1180"/>
      <c r="D2" s="1180"/>
      <c r="E2" s="1180"/>
      <c r="F2" s="113"/>
      <c r="G2" s="113"/>
      <c r="H2" s="505"/>
      <c r="I2" s="504"/>
      <c r="J2" s="423"/>
      <c r="K2" s="423"/>
      <c r="L2" s="423"/>
      <c r="M2" s="423"/>
      <c r="N2" s="423"/>
      <c r="O2" s="423"/>
      <c r="P2" s="113"/>
      <c r="Q2" s="113"/>
      <c r="R2" s="113"/>
      <c r="S2" s="113"/>
      <c r="T2" s="113"/>
      <c r="U2" s="113"/>
      <c r="V2" s="113"/>
      <c r="W2" s="299" t="s">
        <v>31</v>
      </c>
      <c r="X2" s="299" t="s">
        <v>31</v>
      </c>
      <c r="Y2"/>
      <c r="Z2" s="113"/>
      <c r="AB2" s="113"/>
      <c r="AC2" s="113"/>
      <c r="AH2" s="113"/>
      <c r="AI2" s="113"/>
      <c r="CX2" s="455"/>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April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483</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7" customHeight="1">
      <c r="A7" s="1078" t="s">
        <v>335</v>
      </c>
      <c r="B7" s="1079"/>
      <c r="C7" s="1079"/>
      <c r="D7" s="1080"/>
      <c r="E7" s="1095"/>
      <c r="F7" s="1096"/>
      <c r="G7" s="1097"/>
      <c r="H7" s="1087" t="s">
        <v>395</v>
      </c>
      <c r="I7" s="1077"/>
      <c r="J7" s="1459"/>
      <c r="K7" s="568" t="s">
        <v>356</v>
      </c>
      <c r="L7" s="568" t="s">
        <v>357</v>
      </c>
      <c r="M7" s="885" t="s">
        <v>624</v>
      </c>
      <c r="N7" s="1059"/>
      <c r="O7" s="1059"/>
      <c r="P7" s="1059"/>
      <c r="Q7" s="1059"/>
      <c r="R7" s="1193"/>
      <c r="S7" s="569" t="s">
        <v>635</v>
      </c>
      <c r="T7" s="567" t="s">
        <v>362</v>
      </c>
      <c r="U7" s="567" t="s">
        <v>487</v>
      </c>
      <c r="V7" s="766" t="s">
        <v>540</v>
      </c>
      <c r="W7" s="766" t="s">
        <v>539</v>
      </c>
      <c r="X7" s="767" t="s">
        <v>484</v>
      </c>
      <c r="Y7" s="385" t="s">
        <v>328</v>
      </c>
      <c r="Z7" s="758"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177" t="s">
        <v>469</v>
      </c>
      <c r="W8" s="1178"/>
      <c r="X8" s="1179"/>
      <c r="Y8" s="385"/>
      <c r="Z8" s="758"/>
      <c r="AA8" s="531"/>
      <c r="BB8" s="420"/>
      <c r="CA8" s="180"/>
      <c r="CB8" s="430"/>
      <c r="CC8" s="531"/>
      <c r="CX8" s="455"/>
      <c r="DA8" s="455"/>
      <c r="DB8" s="455"/>
      <c r="DC8" s="455"/>
      <c r="DD8" s="455"/>
      <c r="DE8" s="455"/>
      <c r="DF8" s="455"/>
      <c r="DG8" s="455"/>
    </row>
    <row r="9" spans="1:211">
      <c r="A9" s="443">
        <f>IF(ISNUMBER(A7),A7+1,1)</f>
        <v>1</v>
      </c>
      <c r="B9" s="218" t="str">
        <f t="shared" ref="B9:B38" si="0">CHOOSE(MOD(WEEKDAY(DATE(A$6,A$2,A9)),7)+1,"lø","sø","ma","ti","on","to","fr",)</f>
        <v>lø</v>
      </c>
      <c r="C9" s="219" t="s">
        <v>138</v>
      </c>
      <c r="D9" s="220" t="str">
        <f t="shared" ref="D9:D38" si="1">IF(B9="ma",(DATE(A$6,A$2,A9)-DATE(A$6,1,1)+7)/7,"")</f>
        <v/>
      </c>
      <c r="E9" s="906"/>
      <c r="F9" s="907"/>
      <c r="G9" s="908"/>
      <c r="H9" s="526"/>
      <c r="I9" s="726"/>
      <c r="J9" s="726"/>
      <c r="K9" s="669"/>
      <c r="L9" s="669"/>
      <c r="M9" s="669"/>
      <c r="N9" s="557">
        <f>BA9</f>
        <v>0</v>
      </c>
      <c r="O9" s="557">
        <f>CA9</f>
        <v>0</v>
      </c>
      <c r="P9" s="557">
        <f>IF(Stamoplysninger!$H$29="JA",April!DG9,CX9)</f>
        <v>0</v>
      </c>
      <c r="Q9" s="557">
        <f>IF(OR(C9="Lejrskole",C9="Ekskursion"),0,N9-O9-P9)</f>
        <v>0</v>
      </c>
      <c r="R9" s="558"/>
      <c r="S9" s="564"/>
      <c r="T9" s="565"/>
      <c r="U9" s="565"/>
      <c r="V9" s="753"/>
      <c r="W9" s="559"/>
      <c r="X9" s="760"/>
      <c r="Y9">
        <f>IF($S$9="x",V9-N9,0)</f>
        <v>0</v>
      </c>
      <c r="Z9" s="759">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0</v>
      </c>
      <c r="BB9" s="421">
        <f t="shared" ref="BB9:BB38" si="7">SUM(AG9:AK9)*24</f>
        <v>0</v>
      </c>
      <c r="BC9" s="1">
        <f>IF($C$9="Lejrskole",$L$9,0)</f>
        <v>0</v>
      </c>
      <c r="BD9" s="1">
        <f t="shared" ref="BD9:BD38" si="8">IF(C9="Ekskursion",L9,0)</f>
        <v>0</v>
      </c>
      <c r="BE9" s="1">
        <f t="shared" ref="BE9:BE38" si="9">IF(C9="fagdag",L9,0)</f>
        <v>0</v>
      </c>
      <c r="BF9" s="1">
        <f t="shared" ref="BF9:BF38" si="10">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0</v>
      </c>
      <c r="CB9" s="1">
        <f t="shared" ref="CB9:CB38" si="11">IF(C9="fagdag",M9,0)</f>
        <v>0</v>
      </c>
      <c r="CC9" s="1">
        <f t="shared" ref="CC9:CC38" si="12">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v>
      </c>
      <c r="CY9" s="457">
        <f>IF(C9="Skema 1",Stamoplysninger!$H$30/200,0)</f>
        <v>0</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0</v>
      </c>
    </row>
    <row r="10" spans="1:211">
      <c r="A10" s="443">
        <f t="shared" ref="A10:A38" si="13">IF(ISNUMBER(A9),A9+1,1)</f>
        <v>2</v>
      </c>
      <c r="B10" s="218" t="str">
        <f t="shared" si="0"/>
        <v>sø</v>
      </c>
      <c r="C10" s="219" t="s">
        <v>138</v>
      </c>
      <c r="D10" s="220" t="str">
        <f t="shared" si="1"/>
        <v/>
      </c>
      <c r="E10" s="906" t="s">
        <v>208</v>
      </c>
      <c r="F10" s="907"/>
      <c r="G10" s="908"/>
      <c r="H10" s="526"/>
      <c r="I10" s="726"/>
      <c r="J10" s="726"/>
      <c r="K10" s="669"/>
      <c r="L10" s="669"/>
      <c r="M10" s="669"/>
      <c r="N10" s="557">
        <f t="shared" ref="N10:N38" si="14">BA10</f>
        <v>0</v>
      </c>
      <c r="O10" s="557">
        <f t="shared" ref="O10:O38" si="15">CA10</f>
        <v>0</v>
      </c>
      <c r="P10" s="557">
        <f>IF(Stamoplysninger!$H$29="JA",April!DG10,CX10)</f>
        <v>0</v>
      </c>
      <c r="Q10" s="557">
        <f t="shared" ref="Q10:Q38" si="16">IF(OR(C10="Lejrskole",C10="Ekskursion"),0,N10-O10-P10)</f>
        <v>0</v>
      </c>
      <c r="R10" s="558"/>
      <c r="S10" s="564"/>
      <c r="T10" s="565"/>
      <c r="U10" s="565"/>
      <c r="V10" s="753"/>
      <c r="W10" s="559"/>
      <c r="X10" s="760"/>
      <c r="Y10">
        <f t="shared" ref="Y10:Y38" si="17">IF(S10="x",V10-N10,0)</f>
        <v>0</v>
      </c>
      <c r="Z10" s="759">
        <f t="shared" ref="Z10:Z38" si="18">W10</f>
        <v>0</v>
      </c>
      <c r="AA10" s="1">
        <f t="shared" si="2"/>
        <v>0</v>
      </c>
      <c r="AB10" s="1">
        <f t="shared" si="3"/>
        <v>0</v>
      </c>
      <c r="AC10" s="1">
        <f t="shared" si="4"/>
        <v>0</v>
      </c>
      <c r="AD10" s="1">
        <f t="shared" si="5"/>
        <v>0</v>
      </c>
      <c r="AE10" s="1">
        <f t="shared" si="6"/>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8" si="19">SUM(AA10:AZ10)</f>
        <v>0</v>
      </c>
      <c r="BB10" s="421">
        <f t="shared" si="7"/>
        <v>0</v>
      </c>
      <c r="BC10" s="1">
        <f t="shared" ref="BC10:BC38" si="20">IF(C10="Lejrskole",L10,0)</f>
        <v>0</v>
      </c>
      <c r="BD10" s="1">
        <f t="shared" si="8"/>
        <v>0</v>
      </c>
      <c r="BE10" s="1">
        <f t="shared" si="9"/>
        <v>0</v>
      </c>
      <c r="BF10" s="1">
        <f t="shared" si="10"/>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8" si="21">SUM(BG10:BZ10)*24+SUM(BC10:BF10)</f>
        <v>0</v>
      </c>
      <c r="CB10" s="1">
        <f t="shared" si="11"/>
        <v>0</v>
      </c>
      <c r="CC10" s="1">
        <f t="shared" si="12"/>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v>
      </c>
      <c r="CY10" s="457">
        <f>IF(C10="Skema 1",Stamoplysninger!$H$30/200,0)</f>
        <v>0</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8" si="22">SUM(CY10:DF10)</f>
        <v>0</v>
      </c>
    </row>
    <row r="11" spans="1:211">
      <c r="A11" s="443">
        <f t="shared" si="13"/>
        <v>3</v>
      </c>
      <c r="B11" s="218" t="str">
        <f t="shared" si="0"/>
        <v>ma</v>
      </c>
      <c r="C11" s="219" t="s">
        <v>147</v>
      </c>
      <c r="D11" s="220">
        <f t="shared" si="1"/>
        <v>14.142857142857142</v>
      </c>
      <c r="E11" s="906"/>
      <c r="F11" s="907"/>
      <c r="G11" s="908"/>
      <c r="H11" s="526"/>
      <c r="I11" s="855"/>
      <c r="J11" s="726"/>
      <c r="K11" s="669"/>
      <c r="L11" s="669"/>
      <c r="M11" s="669"/>
      <c r="N11" s="557">
        <f t="shared" si="14"/>
        <v>0</v>
      </c>
      <c r="O11" s="557">
        <f t="shared" si="15"/>
        <v>0</v>
      </c>
      <c r="P11" s="557">
        <f>IF(Stamoplysninger!$H$29="JA",April!DG11,CX11)</f>
        <v>0</v>
      </c>
      <c r="Q11" s="557">
        <f t="shared" si="16"/>
        <v>0</v>
      </c>
      <c r="R11" s="558"/>
      <c r="S11" s="564"/>
      <c r="T11" s="565"/>
      <c r="U11" s="565"/>
      <c r="V11" s="753"/>
      <c r="W11" s="559"/>
      <c r="X11" s="760"/>
      <c r="Y11">
        <f t="shared" si="17"/>
        <v>0</v>
      </c>
      <c r="Z11" s="759">
        <f t="shared" si="18"/>
        <v>0</v>
      </c>
      <c r="AA11" s="1">
        <f t="shared" si="2"/>
        <v>0</v>
      </c>
      <c r="AB11" s="1">
        <f t="shared" si="3"/>
        <v>0</v>
      </c>
      <c r="AC11" s="1">
        <f t="shared" si="4"/>
        <v>0</v>
      </c>
      <c r="AD11" s="1">
        <f t="shared" si="5"/>
        <v>0</v>
      </c>
      <c r="AE11" s="1">
        <f t="shared" si="6"/>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7"/>
        <v>0</v>
      </c>
      <c r="BC11" s="1">
        <f t="shared" si="20"/>
        <v>0</v>
      </c>
      <c r="BD11" s="1">
        <f t="shared" si="8"/>
        <v>0</v>
      </c>
      <c r="BE11" s="1">
        <f t="shared" si="9"/>
        <v>0</v>
      </c>
      <c r="BF11" s="1">
        <f t="shared" si="10"/>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1"/>
        <v>0</v>
      </c>
      <c r="CC11" s="1">
        <f t="shared" si="12"/>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3"/>
        <v>4</v>
      </c>
      <c r="B12" s="218" t="str">
        <f t="shared" si="0"/>
        <v>ti</v>
      </c>
      <c r="C12" s="219" t="s">
        <v>147</v>
      </c>
      <c r="D12" s="220" t="str">
        <f t="shared" si="1"/>
        <v/>
      </c>
      <c r="E12" s="906"/>
      <c r="F12" s="907"/>
      <c r="G12" s="908"/>
      <c r="H12" s="526"/>
      <c r="I12" s="855"/>
      <c r="J12" s="726"/>
      <c r="K12" s="669"/>
      <c r="L12" s="669"/>
      <c r="M12" s="669"/>
      <c r="N12" s="557">
        <f t="shared" si="14"/>
        <v>0</v>
      </c>
      <c r="O12" s="557">
        <f t="shared" si="15"/>
        <v>0</v>
      </c>
      <c r="P12" s="557">
        <f>IF(Stamoplysninger!$H$29="JA",April!DG12,CX12)</f>
        <v>0</v>
      </c>
      <c r="Q12" s="557">
        <f t="shared" si="16"/>
        <v>0</v>
      </c>
      <c r="R12" s="558"/>
      <c r="S12" s="564"/>
      <c r="T12" s="565"/>
      <c r="U12" s="565"/>
      <c r="V12" s="753"/>
      <c r="W12" s="559"/>
      <c r="X12" s="760"/>
      <c r="Y12">
        <f t="shared" si="17"/>
        <v>0</v>
      </c>
      <c r="Z12" s="759">
        <f t="shared" si="18"/>
        <v>0</v>
      </c>
      <c r="AA12" s="1">
        <f t="shared" si="2"/>
        <v>0</v>
      </c>
      <c r="AB12" s="1">
        <f t="shared" si="3"/>
        <v>0</v>
      </c>
      <c r="AC12" s="1">
        <f t="shared" si="4"/>
        <v>0</v>
      </c>
      <c r="AD12" s="1">
        <f t="shared" si="5"/>
        <v>0</v>
      </c>
      <c r="AE12" s="1">
        <f t="shared" si="6"/>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7"/>
        <v>0</v>
      </c>
      <c r="BC12" s="1">
        <f t="shared" si="20"/>
        <v>0</v>
      </c>
      <c r="BD12" s="1">
        <f t="shared" si="8"/>
        <v>0</v>
      </c>
      <c r="BE12" s="1">
        <f t="shared" si="9"/>
        <v>0</v>
      </c>
      <c r="BF12" s="1">
        <f t="shared" si="10"/>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1"/>
        <v>0</v>
      </c>
      <c r="CC12" s="1">
        <f t="shared" si="12"/>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3"/>
        <v>5</v>
      </c>
      <c r="B13" s="218" t="str">
        <f t="shared" si="0"/>
        <v>on</v>
      </c>
      <c r="C13" s="219" t="s">
        <v>147</v>
      </c>
      <c r="D13" s="220" t="str">
        <f t="shared" si="1"/>
        <v/>
      </c>
      <c r="E13" s="906"/>
      <c r="F13" s="907"/>
      <c r="G13" s="908"/>
      <c r="H13" s="526"/>
      <c r="I13" s="855"/>
      <c r="J13" s="726"/>
      <c r="K13" s="669"/>
      <c r="L13" s="669"/>
      <c r="M13" s="669"/>
      <c r="N13" s="557">
        <f t="shared" si="14"/>
        <v>0</v>
      </c>
      <c r="O13" s="557">
        <f t="shared" si="15"/>
        <v>0</v>
      </c>
      <c r="P13" s="557">
        <f>IF(Stamoplysninger!$H$29="JA",April!DG13,CX13)</f>
        <v>0</v>
      </c>
      <c r="Q13" s="557">
        <f t="shared" si="16"/>
        <v>0</v>
      </c>
      <c r="R13" s="558"/>
      <c r="S13" s="564"/>
      <c r="T13" s="565"/>
      <c r="U13" s="565"/>
      <c r="V13" s="753"/>
      <c r="W13" s="559"/>
      <c r="X13" s="760"/>
      <c r="Y13">
        <f t="shared" si="17"/>
        <v>0</v>
      </c>
      <c r="Z13" s="759">
        <f t="shared" si="18"/>
        <v>0</v>
      </c>
      <c r="AA13" s="1">
        <f t="shared" si="2"/>
        <v>0</v>
      </c>
      <c r="AB13" s="1">
        <f t="shared" si="3"/>
        <v>0</v>
      </c>
      <c r="AC13" s="1">
        <f t="shared" si="4"/>
        <v>0</v>
      </c>
      <c r="AD13" s="1">
        <f t="shared" si="5"/>
        <v>0</v>
      </c>
      <c r="AE13" s="1">
        <f t="shared" si="6"/>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7"/>
        <v>0</v>
      </c>
      <c r="BC13" s="1">
        <f t="shared" si="20"/>
        <v>0</v>
      </c>
      <c r="BD13" s="1">
        <f t="shared" si="8"/>
        <v>0</v>
      </c>
      <c r="BE13" s="1">
        <f t="shared" si="9"/>
        <v>0</v>
      </c>
      <c r="BF13" s="1">
        <f t="shared" si="10"/>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1"/>
        <v>0</v>
      </c>
      <c r="CC13" s="1">
        <f t="shared" si="12"/>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3"/>
        <v>6</v>
      </c>
      <c r="B14" s="218" t="str">
        <f t="shared" si="0"/>
        <v>to</v>
      </c>
      <c r="C14" s="219" t="s">
        <v>137</v>
      </c>
      <c r="D14" s="220" t="str">
        <f t="shared" si="1"/>
        <v/>
      </c>
      <c r="E14" s="906" t="s">
        <v>110</v>
      </c>
      <c r="F14" s="907"/>
      <c r="G14" s="908"/>
      <c r="H14" s="526"/>
      <c r="I14" s="726"/>
      <c r="J14" s="726"/>
      <c r="K14" s="669"/>
      <c r="L14" s="669"/>
      <c r="M14" s="669"/>
      <c r="N14" s="557">
        <f t="shared" si="14"/>
        <v>0</v>
      </c>
      <c r="O14" s="557">
        <f t="shared" si="15"/>
        <v>0</v>
      </c>
      <c r="P14" s="557">
        <f>IF(Stamoplysninger!$H$29="JA",April!DG14,CX14)</f>
        <v>0</v>
      </c>
      <c r="Q14" s="557">
        <f t="shared" si="16"/>
        <v>0</v>
      </c>
      <c r="R14" s="558"/>
      <c r="S14" s="564"/>
      <c r="T14" s="565"/>
      <c r="U14" s="565"/>
      <c r="V14" s="753"/>
      <c r="W14" s="559"/>
      <c r="X14" s="760"/>
      <c r="Y14">
        <f t="shared" si="17"/>
        <v>0</v>
      </c>
      <c r="Z14" s="759">
        <f t="shared" si="18"/>
        <v>0</v>
      </c>
      <c r="AA14" s="1">
        <f t="shared" si="2"/>
        <v>0</v>
      </c>
      <c r="AB14" s="1">
        <f t="shared" si="3"/>
        <v>0</v>
      </c>
      <c r="AC14" s="1">
        <f t="shared" si="4"/>
        <v>0</v>
      </c>
      <c r="AD14" s="1">
        <f t="shared" si="5"/>
        <v>0</v>
      </c>
      <c r="AE14" s="1">
        <f t="shared" si="6"/>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0</v>
      </c>
      <c r="BB14" s="421">
        <f t="shared" si="7"/>
        <v>0</v>
      </c>
      <c r="BC14" s="1">
        <f t="shared" si="20"/>
        <v>0</v>
      </c>
      <c r="BD14" s="1">
        <f t="shared" si="8"/>
        <v>0</v>
      </c>
      <c r="BE14" s="1">
        <f t="shared" si="9"/>
        <v>0</v>
      </c>
      <c r="BF14" s="1">
        <f t="shared" si="10"/>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0</v>
      </c>
      <c r="CB14" s="1">
        <f t="shared" si="11"/>
        <v>0</v>
      </c>
      <c r="CC14" s="1">
        <f t="shared" si="12"/>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0</v>
      </c>
    </row>
    <row r="15" spans="1:211" ht="16" customHeight="1">
      <c r="A15" s="443">
        <f t="shared" si="13"/>
        <v>7</v>
      </c>
      <c r="B15" s="218" t="str">
        <f t="shared" si="0"/>
        <v>fr</v>
      </c>
      <c r="C15" s="219" t="s">
        <v>137</v>
      </c>
      <c r="D15" s="220" t="str">
        <f t="shared" si="1"/>
        <v/>
      </c>
      <c r="E15" s="906" t="s">
        <v>193</v>
      </c>
      <c r="F15" s="907"/>
      <c r="G15" s="908"/>
      <c r="H15" s="526"/>
      <c r="I15" s="726"/>
      <c r="J15" s="726"/>
      <c r="K15" s="669"/>
      <c r="L15" s="669"/>
      <c r="M15" s="669"/>
      <c r="N15" s="557">
        <f t="shared" si="14"/>
        <v>0</v>
      </c>
      <c r="O15" s="557">
        <f t="shared" si="15"/>
        <v>0</v>
      </c>
      <c r="P15" s="557">
        <f>IF(Stamoplysninger!$H$29="JA",April!DG15,CX15)</f>
        <v>0</v>
      </c>
      <c r="Q15" s="557">
        <f t="shared" si="16"/>
        <v>0</v>
      </c>
      <c r="R15" s="558"/>
      <c r="S15" s="564"/>
      <c r="T15" s="565"/>
      <c r="U15" s="565"/>
      <c r="V15" s="753"/>
      <c r="W15" s="559"/>
      <c r="X15" s="760"/>
      <c r="Y15">
        <f t="shared" si="17"/>
        <v>0</v>
      </c>
      <c r="Z15" s="759">
        <f t="shared" si="18"/>
        <v>0</v>
      </c>
      <c r="AA15" s="1">
        <f t="shared" si="2"/>
        <v>0</v>
      </c>
      <c r="AB15" s="1">
        <f t="shared" si="3"/>
        <v>0</v>
      </c>
      <c r="AC15" s="1">
        <f t="shared" si="4"/>
        <v>0</v>
      </c>
      <c r="AD15" s="1">
        <f t="shared" si="5"/>
        <v>0</v>
      </c>
      <c r="AE15" s="1">
        <f t="shared" si="6"/>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0</v>
      </c>
      <c r="BB15" s="421">
        <f t="shared" si="7"/>
        <v>0</v>
      </c>
      <c r="BC15" s="1">
        <f t="shared" si="20"/>
        <v>0</v>
      </c>
      <c r="BD15" s="1">
        <f t="shared" si="8"/>
        <v>0</v>
      </c>
      <c r="BE15" s="1">
        <f t="shared" si="9"/>
        <v>0</v>
      </c>
      <c r="BF15" s="1">
        <f t="shared" si="10"/>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0</v>
      </c>
      <c r="CB15" s="1">
        <f t="shared" si="11"/>
        <v>0</v>
      </c>
      <c r="CC15" s="1">
        <f t="shared" si="12"/>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0</v>
      </c>
    </row>
    <row r="16" spans="1:211">
      <c r="A16" s="443">
        <f t="shared" si="13"/>
        <v>8</v>
      </c>
      <c r="B16" s="218" t="str">
        <f t="shared" si="0"/>
        <v>lø</v>
      </c>
      <c r="C16" s="219" t="s">
        <v>138</v>
      </c>
      <c r="D16" s="220" t="str">
        <f t="shared" si="1"/>
        <v/>
      </c>
      <c r="E16" s="906"/>
      <c r="F16" s="907"/>
      <c r="G16" s="908"/>
      <c r="H16" s="526"/>
      <c r="I16" s="726"/>
      <c r="J16" s="726"/>
      <c r="K16" s="669"/>
      <c r="L16" s="669"/>
      <c r="M16" s="669"/>
      <c r="N16" s="557">
        <f t="shared" si="14"/>
        <v>0</v>
      </c>
      <c r="O16" s="557">
        <f t="shared" si="15"/>
        <v>0</v>
      </c>
      <c r="P16" s="557">
        <f>IF(Stamoplysninger!$H$29="JA",April!DG16,CX16)</f>
        <v>0</v>
      </c>
      <c r="Q16" s="557">
        <f t="shared" si="16"/>
        <v>0</v>
      </c>
      <c r="R16" s="558"/>
      <c r="S16" s="564"/>
      <c r="T16" s="565"/>
      <c r="U16" s="565"/>
      <c r="V16" s="753"/>
      <c r="W16" s="559"/>
      <c r="X16" s="760"/>
      <c r="Y16">
        <f t="shared" si="17"/>
        <v>0</v>
      </c>
      <c r="Z16" s="759">
        <f t="shared" si="18"/>
        <v>0</v>
      </c>
      <c r="AA16" s="1">
        <f t="shared" si="2"/>
        <v>0</v>
      </c>
      <c r="AB16" s="1">
        <f t="shared" si="3"/>
        <v>0</v>
      </c>
      <c r="AC16" s="1">
        <f t="shared" si="4"/>
        <v>0</v>
      </c>
      <c r="AD16" s="1">
        <f t="shared" si="5"/>
        <v>0</v>
      </c>
      <c r="AE16" s="1">
        <f t="shared" si="6"/>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0</v>
      </c>
      <c r="BB16" s="421">
        <f t="shared" si="7"/>
        <v>0</v>
      </c>
      <c r="BC16" s="1">
        <f t="shared" si="20"/>
        <v>0</v>
      </c>
      <c r="BD16" s="1">
        <f t="shared" si="8"/>
        <v>0</v>
      </c>
      <c r="BE16" s="1">
        <f t="shared" si="9"/>
        <v>0</v>
      </c>
      <c r="BF16" s="1">
        <f t="shared" si="10"/>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0</v>
      </c>
      <c r="CB16" s="1">
        <f t="shared" si="11"/>
        <v>0</v>
      </c>
      <c r="CC16" s="1">
        <f t="shared" si="12"/>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0</v>
      </c>
    </row>
    <row r="17" spans="1:111">
      <c r="A17" s="443">
        <f t="shared" si="13"/>
        <v>9</v>
      </c>
      <c r="B17" s="218" t="str">
        <f t="shared" si="0"/>
        <v>sø</v>
      </c>
      <c r="C17" s="219" t="s">
        <v>138</v>
      </c>
      <c r="D17" s="220" t="str">
        <f t="shared" si="1"/>
        <v/>
      </c>
      <c r="E17" s="906" t="s">
        <v>129</v>
      </c>
      <c r="F17" s="907"/>
      <c r="G17" s="908"/>
      <c r="H17" s="526"/>
      <c r="I17" s="726"/>
      <c r="J17" s="726"/>
      <c r="K17" s="669"/>
      <c r="L17" s="669"/>
      <c r="M17" s="669"/>
      <c r="N17" s="557">
        <f t="shared" si="14"/>
        <v>0</v>
      </c>
      <c r="O17" s="557">
        <f t="shared" si="15"/>
        <v>0</v>
      </c>
      <c r="P17" s="557">
        <f>IF(Stamoplysninger!$H$29="JA",April!DG17,CX17)</f>
        <v>0</v>
      </c>
      <c r="Q17" s="557">
        <f t="shared" si="16"/>
        <v>0</v>
      </c>
      <c r="R17" s="558"/>
      <c r="S17" s="564"/>
      <c r="T17" s="565"/>
      <c r="U17" s="565"/>
      <c r="V17" s="753"/>
      <c r="W17" s="559"/>
      <c r="X17" s="760"/>
      <c r="Y17">
        <f t="shared" si="17"/>
        <v>0</v>
      </c>
      <c r="Z17" s="759">
        <f t="shared" si="18"/>
        <v>0</v>
      </c>
      <c r="AA17" s="1">
        <f t="shared" si="2"/>
        <v>0</v>
      </c>
      <c r="AB17" s="1">
        <f t="shared" si="3"/>
        <v>0</v>
      </c>
      <c r="AC17" s="1">
        <f t="shared" si="4"/>
        <v>0</v>
      </c>
      <c r="AD17" s="1">
        <f t="shared" si="5"/>
        <v>0</v>
      </c>
      <c r="AE17" s="1">
        <f t="shared" si="6"/>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0</v>
      </c>
      <c r="BB17" s="421">
        <f t="shared" si="7"/>
        <v>0</v>
      </c>
      <c r="BC17" s="1">
        <f t="shared" si="20"/>
        <v>0</v>
      </c>
      <c r="BD17" s="1">
        <f t="shared" si="8"/>
        <v>0</v>
      </c>
      <c r="BE17" s="1">
        <f t="shared" si="9"/>
        <v>0</v>
      </c>
      <c r="BF17" s="1">
        <f t="shared" si="10"/>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0</v>
      </c>
      <c r="CB17" s="1">
        <f t="shared" si="11"/>
        <v>0</v>
      </c>
      <c r="CC17" s="1">
        <f t="shared" si="12"/>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0</v>
      </c>
    </row>
    <row r="18" spans="1:111">
      <c r="A18" s="443">
        <f t="shared" si="13"/>
        <v>10</v>
      </c>
      <c r="B18" s="218" t="str">
        <f t="shared" si="0"/>
        <v>ma</v>
      </c>
      <c r="C18" s="219" t="s">
        <v>137</v>
      </c>
      <c r="D18" s="220">
        <f t="shared" si="1"/>
        <v>15.142857142857142</v>
      </c>
      <c r="E18" s="906" t="s">
        <v>369</v>
      </c>
      <c r="F18" s="907"/>
      <c r="G18" s="908"/>
      <c r="H18" s="526"/>
      <c r="I18" s="726"/>
      <c r="J18" s="726"/>
      <c r="K18" s="669"/>
      <c r="L18" s="669"/>
      <c r="M18" s="669"/>
      <c r="N18" s="557">
        <f t="shared" si="14"/>
        <v>0</v>
      </c>
      <c r="O18" s="557">
        <f t="shared" si="15"/>
        <v>0</v>
      </c>
      <c r="P18" s="557">
        <f>IF(Stamoplysninger!$H$29="JA",April!DG18,CX18)</f>
        <v>0</v>
      </c>
      <c r="Q18" s="557">
        <f t="shared" si="16"/>
        <v>0</v>
      </c>
      <c r="R18" s="558"/>
      <c r="S18" s="564"/>
      <c r="T18" s="565"/>
      <c r="U18" s="565"/>
      <c r="V18" s="753"/>
      <c r="W18" s="559"/>
      <c r="X18" s="760"/>
      <c r="Y18">
        <f t="shared" si="17"/>
        <v>0</v>
      </c>
      <c r="Z18" s="759">
        <f t="shared" si="18"/>
        <v>0</v>
      </c>
      <c r="AA18" s="1">
        <f t="shared" si="2"/>
        <v>0</v>
      </c>
      <c r="AB18" s="1">
        <f t="shared" si="3"/>
        <v>0</v>
      </c>
      <c r="AC18" s="1">
        <f t="shared" si="4"/>
        <v>0</v>
      </c>
      <c r="AD18" s="1">
        <f t="shared" si="5"/>
        <v>0</v>
      </c>
      <c r="AE18" s="1">
        <f t="shared" si="6"/>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0</v>
      </c>
      <c r="BB18" s="421">
        <f t="shared" si="7"/>
        <v>0</v>
      </c>
      <c r="BC18" s="1">
        <f t="shared" si="20"/>
        <v>0</v>
      </c>
      <c r="BD18" s="1">
        <f t="shared" si="8"/>
        <v>0</v>
      </c>
      <c r="BE18" s="1">
        <f t="shared" si="9"/>
        <v>0</v>
      </c>
      <c r="BF18" s="1">
        <f t="shared" si="10"/>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0</v>
      </c>
      <c r="CB18" s="1">
        <f t="shared" si="11"/>
        <v>0</v>
      </c>
      <c r="CC18" s="1">
        <f t="shared" si="12"/>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v>
      </c>
      <c r="CY18" s="457">
        <f>IF(C18="Skema 1",Stamoplysninger!$H$30/200,0)</f>
        <v>0</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0</v>
      </c>
    </row>
    <row r="19" spans="1:111">
      <c r="A19" s="443">
        <f t="shared" si="13"/>
        <v>11</v>
      </c>
      <c r="B19" s="218" t="str">
        <f t="shared" si="0"/>
        <v>ti</v>
      </c>
      <c r="C19" s="219" t="s">
        <v>242</v>
      </c>
      <c r="D19" s="220" t="str">
        <f t="shared" si="1"/>
        <v/>
      </c>
      <c r="E19" s="906"/>
      <c r="F19" s="907"/>
      <c r="G19" s="908"/>
      <c r="H19" s="526"/>
      <c r="I19" s="855"/>
      <c r="J19" s="726"/>
      <c r="K19" s="669"/>
      <c r="L19" s="669"/>
      <c r="M19" s="669"/>
      <c r="N19" s="557">
        <f t="shared" si="14"/>
        <v>8</v>
      </c>
      <c r="O19" s="557">
        <f t="shared" si="15"/>
        <v>4.5</v>
      </c>
      <c r="P19" s="557">
        <f>IF(Stamoplysninger!$H$29="JA",April!DG19,CX19)</f>
        <v>1.0833333333333335</v>
      </c>
      <c r="Q19" s="557">
        <f t="shared" si="16"/>
        <v>2.4166666666666665</v>
      </c>
      <c r="R19" s="558"/>
      <c r="S19" s="564"/>
      <c r="T19" s="565"/>
      <c r="U19" s="565"/>
      <c r="V19" s="753"/>
      <c r="W19" s="559"/>
      <c r="X19" s="760"/>
      <c r="Y19">
        <f t="shared" si="17"/>
        <v>0</v>
      </c>
      <c r="Z19" s="759">
        <f t="shared" si="18"/>
        <v>0</v>
      </c>
      <c r="AA19" s="1">
        <f t="shared" si="2"/>
        <v>0</v>
      </c>
      <c r="AB19" s="1">
        <f t="shared" si="3"/>
        <v>0</v>
      </c>
      <c r="AC19" s="1">
        <f t="shared" si="4"/>
        <v>0</v>
      </c>
      <c r="AD19" s="1">
        <f t="shared" si="5"/>
        <v>0</v>
      </c>
      <c r="AE19" s="1">
        <f t="shared" si="6"/>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f>IF(AND(C19="Skema 2",B19="ti"),Arbejdstidsoversigt!$E$54,"")</f>
        <v>8</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8</v>
      </c>
      <c r="BB19" s="421">
        <f t="shared" si="7"/>
        <v>0</v>
      </c>
      <c r="BC19" s="1">
        <f t="shared" si="20"/>
        <v>0</v>
      </c>
      <c r="BD19" s="1">
        <f t="shared" si="8"/>
        <v>0</v>
      </c>
      <c r="BE19" s="1">
        <f t="shared" si="9"/>
        <v>0</v>
      </c>
      <c r="BF19" s="1">
        <f t="shared" si="10"/>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f>IF(AND(C19="Skema 2",B19="ti"),Skemaoplysninger!$P$28,"")</f>
        <v>0.1875</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4.5</v>
      </c>
      <c r="CB19" s="1">
        <f t="shared" si="11"/>
        <v>0</v>
      </c>
      <c r="CC19" s="1">
        <f t="shared" si="12"/>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f>IF(AND(C19="Skema 2",B19="ti"),Skemaoplysninger!$P$37,"")</f>
        <v>1.0833333333333335</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1.0833333333333335</v>
      </c>
      <c r="CY19" s="457">
        <f>IF(C19="Skema 1",Stamoplysninger!$H$30/200,0)</f>
        <v>0</v>
      </c>
      <c r="CZ19" s="457">
        <f>IF(C19="Skema 2",Stamoplysninger!$H$30/200,0)</f>
        <v>1</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1</v>
      </c>
    </row>
    <row r="20" spans="1:111">
      <c r="A20" s="443">
        <f>IF(ISNUMBER(A19),A19+1,1)</f>
        <v>12</v>
      </c>
      <c r="B20" s="218" t="str">
        <f t="shared" si="0"/>
        <v>on</v>
      </c>
      <c r="C20" s="219" t="s">
        <v>242</v>
      </c>
      <c r="D20" s="220" t="str">
        <f t="shared" si="1"/>
        <v/>
      </c>
      <c r="E20" s="906"/>
      <c r="F20" s="907"/>
      <c r="G20" s="908"/>
      <c r="H20" s="526"/>
      <c r="I20" s="855"/>
      <c r="J20" s="726"/>
      <c r="K20" s="669"/>
      <c r="L20" s="669"/>
      <c r="M20" s="669"/>
      <c r="N20" s="557">
        <f t="shared" si="14"/>
        <v>8</v>
      </c>
      <c r="O20" s="557">
        <f t="shared" si="15"/>
        <v>3</v>
      </c>
      <c r="P20" s="557">
        <f>IF(Stamoplysninger!$H$29="JA",April!DG20,CX20)</f>
        <v>0.5</v>
      </c>
      <c r="Q20" s="557">
        <f t="shared" si="16"/>
        <v>4.5</v>
      </c>
      <c r="R20" s="558"/>
      <c r="S20" s="564"/>
      <c r="T20" s="565"/>
      <c r="U20" s="565"/>
      <c r="V20" s="753"/>
      <c r="W20" s="559"/>
      <c r="X20" s="760"/>
      <c r="Y20">
        <f t="shared" si="17"/>
        <v>0</v>
      </c>
      <c r="Z20" s="759">
        <f t="shared" si="18"/>
        <v>0</v>
      </c>
      <c r="AA20" s="1">
        <f t="shared" si="2"/>
        <v>0</v>
      </c>
      <c r="AB20" s="1">
        <f t="shared" si="3"/>
        <v>0</v>
      </c>
      <c r="AC20" s="1">
        <f t="shared" si="4"/>
        <v>0</v>
      </c>
      <c r="AD20" s="1">
        <f t="shared" si="5"/>
        <v>0</v>
      </c>
      <c r="AE20" s="1">
        <f t="shared" si="6"/>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f>IF(AND(C20="Skema 2",B20="on"),Arbejdstidsoversigt!$E$55,"")</f>
        <v>8</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7"/>
        <v>0</v>
      </c>
      <c r="BC20" s="1">
        <f t="shared" si="20"/>
        <v>0</v>
      </c>
      <c r="BD20" s="1">
        <f t="shared" si="8"/>
        <v>0</v>
      </c>
      <c r="BE20" s="1">
        <f t="shared" si="9"/>
        <v>0</v>
      </c>
      <c r="BF20" s="1">
        <f t="shared" si="10"/>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f>IF(AND(C20="Skema 2",B20="on"),Skemaoplysninger!$Q$28,"")</f>
        <v>0.125</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v>
      </c>
      <c r="CB20" s="1">
        <f t="shared" si="11"/>
        <v>0</v>
      </c>
      <c r="CC20" s="1">
        <f t="shared" si="12"/>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f>IF(AND(C20="Skema 2",B20="on"),Skemaoplysninger!$Q$37,"")</f>
        <v>0.5</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0.5</v>
      </c>
      <c r="CY20" s="457">
        <f>IF(C20="Skema 1",Stamoplysninger!$H$30/200,0)</f>
        <v>0</v>
      </c>
      <c r="CZ20" s="457">
        <f>IF(C20="Skema 2",Stamoplysninger!$H$30/200,0)</f>
        <v>1</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to</v>
      </c>
      <c r="C21" s="219" t="s">
        <v>242</v>
      </c>
      <c r="D21" s="220" t="str">
        <f t="shared" si="1"/>
        <v/>
      </c>
      <c r="E21" s="909"/>
      <c r="F21" s="910"/>
      <c r="G21" s="911"/>
      <c r="H21" s="525"/>
      <c r="I21" s="855"/>
      <c r="J21" s="726"/>
      <c r="K21" s="669"/>
      <c r="L21" s="669"/>
      <c r="M21" s="669"/>
      <c r="N21" s="557">
        <f t="shared" si="14"/>
        <v>8</v>
      </c>
      <c r="O21" s="557">
        <f t="shared" si="15"/>
        <v>3</v>
      </c>
      <c r="P21" s="557">
        <f>IF(Stamoplysninger!$H$29="JA",April!DG21,CX21)</f>
        <v>0.5</v>
      </c>
      <c r="Q21" s="557">
        <f t="shared" si="16"/>
        <v>4.5</v>
      </c>
      <c r="R21" s="558"/>
      <c r="S21" s="564"/>
      <c r="T21" s="565"/>
      <c r="U21" s="565"/>
      <c r="V21" s="753"/>
      <c r="W21" s="559"/>
      <c r="X21" s="760"/>
      <c r="Y21">
        <f t="shared" si="17"/>
        <v>0</v>
      </c>
      <c r="Z21" s="759">
        <f t="shared" si="18"/>
        <v>0</v>
      </c>
      <c r="AA21" s="1">
        <f t="shared" si="2"/>
        <v>0</v>
      </c>
      <c r="AB21" s="1">
        <f t="shared" si="3"/>
        <v>0</v>
      </c>
      <c r="AC21" s="1">
        <f t="shared" si="4"/>
        <v>0</v>
      </c>
      <c r="AD21" s="1">
        <f t="shared" si="5"/>
        <v>0</v>
      </c>
      <c r="AE21" s="1">
        <f t="shared" si="6"/>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f>IF(AND(C21="Skema 2",B21="to"),Arbejdstidsoversigt!$E$56,"")</f>
        <v>8</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7"/>
        <v>0</v>
      </c>
      <c r="BC21" s="1">
        <f t="shared" si="20"/>
        <v>0</v>
      </c>
      <c r="BD21" s="1">
        <f t="shared" si="8"/>
        <v>0</v>
      </c>
      <c r="BE21" s="1">
        <f t="shared" si="9"/>
        <v>0</v>
      </c>
      <c r="BF21" s="1">
        <f t="shared" si="10"/>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f>IF(AND(C21="Skema 2",B21="to"),Skemaoplysninger!$R$28,"")</f>
        <v>0.125</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3</v>
      </c>
      <c r="CB21" s="1">
        <f t="shared" si="11"/>
        <v>0</v>
      </c>
      <c r="CC21" s="1">
        <f t="shared" si="12"/>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f>IF(AND(C21="Skema 2",B21="to"),Skemaoplysninger!$R$37,"")</f>
        <v>0.5</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0.5</v>
      </c>
      <c r="CY21" s="457">
        <f>IF(C21="Skema 1",Stamoplysninger!$H$30/200,0)</f>
        <v>0</v>
      </c>
      <c r="CZ21" s="457">
        <f>IF(C21="Skema 2",Stamoplysninger!$H$30/200,0)</f>
        <v>1</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3"/>
        <v>14</v>
      </c>
      <c r="B22" s="218" t="str">
        <f t="shared" si="0"/>
        <v>fr</v>
      </c>
      <c r="C22" s="219" t="s">
        <v>242</v>
      </c>
      <c r="D22" s="220" t="str">
        <f t="shared" si="1"/>
        <v/>
      </c>
      <c r="E22" s="909"/>
      <c r="F22" s="910"/>
      <c r="G22" s="911"/>
      <c r="H22" s="525"/>
      <c r="I22" s="855"/>
      <c r="J22" s="726"/>
      <c r="K22" s="669"/>
      <c r="L22" s="669"/>
      <c r="M22" s="669"/>
      <c r="N22" s="557">
        <f t="shared" si="14"/>
        <v>6.5</v>
      </c>
      <c r="O22" s="557">
        <f t="shared" si="15"/>
        <v>3</v>
      </c>
      <c r="P22" s="557">
        <f>IF(Stamoplysninger!$H$29="JA",April!DG22,CX22)</f>
        <v>0.5</v>
      </c>
      <c r="Q22" s="557">
        <f t="shared" si="16"/>
        <v>3</v>
      </c>
      <c r="R22" s="558"/>
      <c r="S22" s="564"/>
      <c r="T22" s="565"/>
      <c r="U22" s="565"/>
      <c r="V22" s="753"/>
      <c r="W22" s="559"/>
      <c r="X22" s="760"/>
      <c r="Y22">
        <f t="shared" si="17"/>
        <v>0</v>
      </c>
      <c r="Z22" s="759">
        <f t="shared" si="18"/>
        <v>0</v>
      </c>
      <c r="AA22" s="1">
        <f t="shared" si="2"/>
        <v>0</v>
      </c>
      <c r="AB22" s="1">
        <f t="shared" si="3"/>
        <v>0</v>
      </c>
      <c r="AC22" s="1">
        <f t="shared" si="4"/>
        <v>0</v>
      </c>
      <c r="AD22" s="1">
        <f t="shared" si="5"/>
        <v>0</v>
      </c>
      <c r="AE22" s="1">
        <f t="shared" si="6"/>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f>IF(AND(C22="Skema 2",B22="fr"),Arbejdstidsoversigt!$E$57,"")</f>
        <v>6.5</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6.5</v>
      </c>
      <c r="BB22" s="421">
        <f t="shared" si="7"/>
        <v>0</v>
      </c>
      <c r="BC22" s="1">
        <f t="shared" si="20"/>
        <v>0</v>
      </c>
      <c r="BD22" s="1">
        <f t="shared" si="8"/>
        <v>0</v>
      </c>
      <c r="BE22" s="1">
        <f t="shared" si="9"/>
        <v>0</v>
      </c>
      <c r="BF22" s="1">
        <f t="shared" si="10"/>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f>IF(AND(C22="Skema 2",B22="fr"),Skemaoplysninger!$S$28,"")</f>
        <v>0.125</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v>
      </c>
      <c r="CB22" s="1">
        <f t="shared" si="11"/>
        <v>0</v>
      </c>
      <c r="CC22" s="1">
        <f t="shared" si="12"/>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f>IF(AND(C22="Skema 2",B22="fr"),Skemaoplysninger!$S$37,"")</f>
        <v>0.5</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0.5</v>
      </c>
      <c r="CY22" s="457">
        <f>IF(C22="Skema 1",Stamoplysninger!$H$30/200,0)</f>
        <v>0</v>
      </c>
      <c r="CZ22" s="457">
        <f>IF(C22="Skema 2",Stamoplysninger!$H$30/200,0)</f>
        <v>1</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3"/>
        <v>15</v>
      </c>
      <c r="B23" s="218" t="str">
        <f t="shared" si="0"/>
        <v>lø</v>
      </c>
      <c r="C23" s="219" t="s">
        <v>138</v>
      </c>
      <c r="D23" s="220" t="str">
        <f t="shared" si="1"/>
        <v/>
      </c>
      <c r="E23" s="909"/>
      <c r="F23" s="910"/>
      <c r="G23" s="911"/>
      <c r="H23" s="525"/>
      <c r="I23" s="726"/>
      <c r="J23" s="726"/>
      <c r="K23" s="669"/>
      <c r="L23" s="669"/>
      <c r="M23" s="669"/>
      <c r="N23" s="557">
        <f t="shared" si="14"/>
        <v>0</v>
      </c>
      <c r="O23" s="557">
        <f t="shared" si="15"/>
        <v>0</v>
      </c>
      <c r="P23" s="557">
        <f>IF(Stamoplysninger!$H$29="JA",April!DG23,CX23)</f>
        <v>0</v>
      </c>
      <c r="Q23" s="557">
        <f t="shared" si="16"/>
        <v>0</v>
      </c>
      <c r="R23" s="558"/>
      <c r="S23" s="564"/>
      <c r="T23" s="565"/>
      <c r="U23" s="565"/>
      <c r="V23" s="753"/>
      <c r="W23" s="559"/>
      <c r="X23" s="760"/>
      <c r="Y23">
        <f t="shared" si="17"/>
        <v>0</v>
      </c>
      <c r="Z23" s="759">
        <f t="shared" si="18"/>
        <v>0</v>
      </c>
      <c r="AA23" s="1">
        <f t="shared" si="2"/>
        <v>0</v>
      </c>
      <c r="AB23" s="1">
        <f t="shared" si="3"/>
        <v>0</v>
      </c>
      <c r="AC23" s="1">
        <f t="shared" si="4"/>
        <v>0</v>
      </c>
      <c r="AD23" s="1">
        <f t="shared" si="5"/>
        <v>0</v>
      </c>
      <c r="AE23" s="1">
        <f t="shared" si="6"/>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0</v>
      </c>
      <c r="BB23" s="421">
        <f t="shared" si="7"/>
        <v>0</v>
      </c>
      <c r="BC23" s="1">
        <f t="shared" si="20"/>
        <v>0</v>
      </c>
      <c r="BD23" s="1">
        <f t="shared" si="8"/>
        <v>0</v>
      </c>
      <c r="BE23" s="1">
        <f t="shared" si="9"/>
        <v>0</v>
      </c>
      <c r="BF23" s="1">
        <f t="shared" si="10"/>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1"/>
        <v>0</v>
      </c>
      <c r="CC23" s="1">
        <f t="shared" si="12"/>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row>
    <row r="24" spans="1:111">
      <c r="A24" s="443">
        <f>IF(ISNUMBER(A23),A23+1,1)</f>
        <v>16</v>
      </c>
      <c r="B24" s="218" t="str">
        <f t="shared" si="0"/>
        <v>sø</v>
      </c>
      <c r="C24" s="219" t="s">
        <v>138</v>
      </c>
      <c r="D24" s="220" t="str">
        <f t="shared" si="1"/>
        <v/>
      </c>
      <c r="E24" s="906"/>
      <c r="F24" s="907"/>
      <c r="G24" s="908"/>
      <c r="H24" s="526"/>
      <c r="I24" s="726"/>
      <c r="J24" s="726"/>
      <c r="K24" s="669"/>
      <c r="L24" s="669"/>
      <c r="M24" s="669"/>
      <c r="N24" s="557">
        <f t="shared" si="14"/>
        <v>0</v>
      </c>
      <c r="O24" s="557">
        <f t="shared" si="15"/>
        <v>0</v>
      </c>
      <c r="P24" s="557">
        <f>IF(Stamoplysninger!$H$29="JA",April!DG24,CX24)</f>
        <v>0</v>
      </c>
      <c r="Q24" s="557">
        <f t="shared" si="16"/>
        <v>0</v>
      </c>
      <c r="R24" s="558"/>
      <c r="S24" s="564"/>
      <c r="T24" s="565"/>
      <c r="U24" s="565"/>
      <c r="V24" s="753"/>
      <c r="W24" s="559"/>
      <c r="X24" s="760"/>
      <c r="Y24">
        <f t="shared" si="17"/>
        <v>0</v>
      </c>
      <c r="Z24" s="759">
        <f t="shared" si="18"/>
        <v>0</v>
      </c>
      <c r="AA24" s="1">
        <f t="shared" si="2"/>
        <v>0</v>
      </c>
      <c r="AB24" s="1">
        <f t="shared" si="3"/>
        <v>0</v>
      </c>
      <c r="AC24" s="1">
        <f t="shared" si="4"/>
        <v>0</v>
      </c>
      <c r="AD24" s="1">
        <f t="shared" si="5"/>
        <v>0</v>
      </c>
      <c r="AE24" s="1">
        <f t="shared" si="6"/>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0</v>
      </c>
      <c r="BB24" s="421">
        <f t="shared" si="7"/>
        <v>0</v>
      </c>
      <c r="BC24" s="1">
        <f t="shared" si="20"/>
        <v>0</v>
      </c>
      <c r="BD24" s="1">
        <f t="shared" si="8"/>
        <v>0</v>
      </c>
      <c r="BE24" s="1">
        <f t="shared" si="9"/>
        <v>0</v>
      </c>
      <c r="BF24" s="1">
        <f t="shared" si="10"/>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0</v>
      </c>
      <c r="CB24" s="1">
        <f t="shared" si="11"/>
        <v>0</v>
      </c>
      <c r="CC24" s="1">
        <f t="shared" si="12"/>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v>
      </c>
      <c r="CY24" s="457">
        <f>IF(C24="Skema 1",Stamoplysninger!$H$30/200,0)</f>
        <v>0</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0</v>
      </c>
    </row>
    <row r="25" spans="1:111">
      <c r="A25" s="443">
        <f t="shared" si="13"/>
        <v>17</v>
      </c>
      <c r="B25" s="218" t="str">
        <f t="shared" si="0"/>
        <v>ma</v>
      </c>
      <c r="C25" s="219" t="s">
        <v>242</v>
      </c>
      <c r="D25" s="220">
        <f t="shared" si="1"/>
        <v>16.142857142857142</v>
      </c>
      <c r="E25" s="906"/>
      <c r="F25" s="907"/>
      <c r="G25" s="908"/>
      <c r="H25" s="526"/>
      <c r="I25" s="855"/>
      <c r="J25" s="726"/>
      <c r="K25" s="669"/>
      <c r="L25" s="669"/>
      <c r="M25" s="669"/>
      <c r="N25" s="557">
        <f t="shared" si="14"/>
        <v>8</v>
      </c>
      <c r="O25" s="557">
        <f t="shared" si="15"/>
        <v>4.5</v>
      </c>
      <c r="P25" s="557">
        <f>IF(Stamoplysninger!$H$29="JA",April!DG25,CX25)</f>
        <v>1.0833333333333335</v>
      </c>
      <c r="Q25" s="557">
        <f t="shared" si="16"/>
        <v>2.4166666666666665</v>
      </c>
      <c r="R25" s="558"/>
      <c r="S25" s="564"/>
      <c r="T25" s="565"/>
      <c r="U25" s="565"/>
      <c r="V25" s="753"/>
      <c r="W25" s="559"/>
      <c r="X25" s="760"/>
      <c r="Y25">
        <f t="shared" si="17"/>
        <v>0</v>
      </c>
      <c r="Z25" s="759">
        <f t="shared" si="18"/>
        <v>0</v>
      </c>
      <c r="AA25" s="1">
        <f t="shared" si="2"/>
        <v>0</v>
      </c>
      <c r="AB25" s="1">
        <f t="shared" si="3"/>
        <v>0</v>
      </c>
      <c r="AC25" s="1">
        <f t="shared" si="4"/>
        <v>0</v>
      </c>
      <c r="AD25" s="1">
        <f t="shared" si="5"/>
        <v>0</v>
      </c>
      <c r="AE25" s="1">
        <f t="shared" si="6"/>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f>IF(AND(C25="Skema 2",B25="ma"),Arbejdstidsoversigt!$E$53,"")</f>
        <v>8</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8</v>
      </c>
      <c r="BB25" s="421">
        <f t="shared" si="7"/>
        <v>0</v>
      </c>
      <c r="BC25" s="1">
        <f t="shared" si="20"/>
        <v>0</v>
      </c>
      <c r="BD25" s="1">
        <f t="shared" si="8"/>
        <v>0</v>
      </c>
      <c r="BE25" s="1">
        <f t="shared" si="9"/>
        <v>0</v>
      </c>
      <c r="BF25" s="1">
        <f t="shared" si="10"/>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f>IF(AND(C25="Skema 2",B25="ma"),Skemaoplysninger!$O$28,"")</f>
        <v>0.1875</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4.5</v>
      </c>
      <c r="CB25" s="1">
        <f t="shared" si="11"/>
        <v>0</v>
      </c>
      <c r="CC25" s="1">
        <f t="shared" si="12"/>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f>IF(AND(C25="Skema 2",B25="ma"),Skemaoplysninger!$O$37,"")</f>
        <v>1.0833333333333335</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1.0833333333333335</v>
      </c>
      <c r="CY25" s="457">
        <f>IF(C25="Skema 1",Stamoplysninger!$H$30/200,0)</f>
        <v>0</v>
      </c>
      <c r="CZ25" s="457">
        <f>IF(C25="Skema 2",Stamoplysninger!$H$30/200,0)</f>
        <v>1</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row>
    <row r="26" spans="1:111">
      <c r="A26" s="443">
        <f t="shared" si="13"/>
        <v>18</v>
      </c>
      <c r="B26" s="218" t="str">
        <f t="shared" si="0"/>
        <v>ti</v>
      </c>
      <c r="C26" s="219" t="s">
        <v>246</v>
      </c>
      <c r="D26" s="220" t="str">
        <f t="shared" si="1"/>
        <v/>
      </c>
      <c r="E26" s="906" t="s">
        <v>598</v>
      </c>
      <c r="F26" s="907"/>
      <c r="G26" s="908"/>
      <c r="H26" s="526"/>
      <c r="I26" s="855"/>
      <c r="J26" s="726"/>
      <c r="K26" s="669">
        <v>8</v>
      </c>
      <c r="L26" s="669">
        <v>4.5</v>
      </c>
      <c r="M26" s="669">
        <v>1</v>
      </c>
      <c r="N26" s="557">
        <f t="shared" si="14"/>
        <v>8</v>
      </c>
      <c r="O26" s="557">
        <f t="shared" si="15"/>
        <v>4.5</v>
      </c>
      <c r="P26" s="557">
        <f>IF(Stamoplysninger!$H$29="JA",April!DG26,CX26)</f>
        <v>1</v>
      </c>
      <c r="Q26" s="557">
        <f t="shared" si="16"/>
        <v>2.5</v>
      </c>
      <c r="R26" s="558"/>
      <c r="S26" s="564"/>
      <c r="T26" s="565"/>
      <c r="U26" s="565"/>
      <c r="V26" s="753"/>
      <c r="W26" s="559"/>
      <c r="X26" s="760"/>
      <c r="Y26">
        <f t="shared" si="17"/>
        <v>0</v>
      </c>
      <c r="Z26" s="759">
        <f t="shared" si="18"/>
        <v>0</v>
      </c>
      <c r="AA26" s="1">
        <f t="shared" si="2"/>
        <v>8</v>
      </c>
      <c r="AB26" s="1">
        <f t="shared" si="3"/>
        <v>0</v>
      </c>
      <c r="AC26" s="1">
        <f t="shared" si="4"/>
        <v>0</v>
      </c>
      <c r="AD26" s="1">
        <f t="shared" si="5"/>
        <v>0</v>
      </c>
      <c r="AE26" s="1">
        <f t="shared" si="6"/>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8</v>
      </c>
      <c r="BB26" s="421">
        <f t="shared" si="7"/>
        <v>0</v>
      </c>
      <c r="BC26" s="1">
        <f t="shared" si="20"/>
        <v>0</v>
      </c>
      <c r="BD26" s="1">
        <f t="shared" si="8"/>
        <v>0</v>
      </c>
      <c r="BE26" s="1">
        <f t="shared" si="9"/>
        <v>0</v>
      </c>
      <c r="BF26" s="1">
        <f t="shared" si="10"/>
        <v>4.5</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4.5</v>
      </c>
      <c r="CB26" s="1">
        <f t="shared" si="11"/>
        <v>0</v>
      </c>
      <c r="CC26" s="1">
        <f t="shared" si="12"/>
        <v>1</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1</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1</v>
      </c>
      <c r="DE26" s="457">
        <f>IF(C26="lejrskole",Stamoplysninger!$H$30/200,0)</f>
        <v>0</v>
      </c>
      <c r="DF26" s="457">
        <f>IF(C26="ekskursion",Stamoplysninger!$H$30/200,0)</f>
        <v>0</v>
      </c>
      <c r="DG26" s="457">
        <f t="shared" si="22"/>
        <v>1</v>
      </c>
    </row>
    <row r="27" spans="1:111">
      <c r="A27" s="443">
        <f t="shared" si="13"/>
        <v>19</v>
      </c>
      <c r="B27" s="218" t="str">
        <f t="shared" si="0"/>
        <v>on</v>
      </c>
      <c r="C27" s="219" t="s">
        <v>246</v>
      </c>
      <c r="D27" s="220" t="str">
        <f t="shared" si="1"/>
        <v/>
      </c>
      <c r="E27" s="906" t="s">
        <v>598</v>
      </c>
      <c r="F27" s="907"/>
      <c r="G27" s="908"/>
      <c r="H27" s="526"/>
      <c r="I27" s="855"/>
      <c r="J27" s="726"/>
      <c r="K27" s="669">
        <v>8</v>
      </c>
      <c r="L27" s="669">
        <v>4.5</v>
      </c>
      <c r="M27" s="669">
        <v>1</v>
      </c>
      <c r="N27" s="557">
        <f t="shared" si="14"/>
        <v>8</v>
      </c>
      <c r="O27" s="557">
        <f t="shared" si="15"/>
        <v>4.5</v>
      </c>
      <c r="P27" s="557">
        <f>IF(Stamoplysninger!$H$29="JA",April!DG27,CX27)</f>
        <v>1</v>
      </c>
      <c r="Q27" s="557">
        <f t="shared" si="16"/>
        <v>2.5</v>
      </c>
      <c r="R27" s="558"/>
      <c r="S27" s="564"/>
      <c r="T27" s="565"/>
      <c r="U27" s="565"/>
      <c r="V27" s="753"/>
      <c r="W27" s="559"/>
      <c r="X27" s="760"/>
      <c r="Y27">
        <f t="shared" si="17"/>
        <v>0</v>
      </c>
      <c r="Z27" s="759">
        <f t="shared" si="18"/>
        <v>0</v>
      </c>
      <c r="AA27" s="1">
        <f t="shared" si="2"/>
        <v>8</v>
      </c>
      <c r="AB27" s="1">
        <f t="shared" si="3"/>
        <v>0</v>
      </c>
      <c r="AC27" s="1">
        <f t="shared" si="4"/>
        <v>0</v>
      </c>
      <c r="AD27" s="1">
        <f t="shared" si="5"/>
        <v>0</v>
      </c>
      <c r="AE27" s="1">
        <f t="shared" si="6"/>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8</v>
      </c>
      <c r="BB27" s="421">
        <f t="shared" si="7"/>
        <v>0</v>
      </c>
      <c r="BC27" s="1">
        <f t="shared" si="20"/>
        <v>0</v>
      </c>
      <c r="BD27" s="1">
        <f t="shared" si="8"/>
        <v>0</v>
      </c>
      <c r="BE27" s="1">
        <f t="shared" si="9"/>
        <v>0</v>
      </c>
      <c r="BF27" s="1">
        <f t="shared" si="10"/>
        <v>4.5</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4.5</v>
      </c>
      <c r="CB27" s="1">
        <f t="shared" si="11"/>
        <v>0</v>
      </c>
      <c r="CC27" s="1">
        <f t="shared" si="12"/>
        <v>1</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1</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1</v>
      </c>
      <c r="DE27" s="457">
        <f>IF(C27="lejrskole",Stamoplysninger!$H$30/200,0)</f>
        <v>0</v>
      </c>
      <c r="DF27" s="457">
        <f>IF(C27="ekskursion",Stamoplysninger!$H$30/200,0)</f>
        <v>0</v>
      </c>
      <c r="DG27" s="457">
        <f t="shared" si="22"/>
        <v>1</v>
      </c>
    </row>
    <row r="28" spans="1:111">
      <c r="A28" s="443">
        <f t="shared" si="13"/>
        <v>20</v>
      </c>
      <c r="B28" s="218" t="str">
        <f t="shared" si="0"/>
        <v>to</v>
      </c>
      <c r="C28" s="219" t="s">
        <v>242</v>
      </c>
      <c r="D28" s="220" t="str">
        <f t="shared" si="1"/>
        <v/>
      </c>
      <c r="E28" s="906"/>
      <c r="F28" s="907"/>
      <c r="G28" s="908"/>
      <c r="H28" s="526"/>
      <c r="I28" s="855"/>
      <c r="J28" s="726"/>
      <c r="K28" s="669"/>
      <c r="L28" s="669"/>
      <c r="M28" s="669"/>
      <c r="N28" s="557">
        <f t="shared" si="14"/>
        <v>8</v>
      </c>
      <c r="O28" s="557">
        <f t="shared" si="15"/>
        <v>3</v>
      </c>
      <c r="P28" s="557">
        <f>IF(Stamoplysninger!$H$29="JA",April!DG28,CX28)</f>
        <v>0.5</v>
      </c>
      <c r="Q28" s="557">
        <f t="shared" si="16"/>
        <v>4.5</v>
      </c>
      <c r="R28" s="558"/>
      <c r="S28" s="564"/>
      <c r="T28" s="565"/>
      <c r="U28" s="565"/>
      <c r="V28" s="753"/>
      <c r="W28" s="559"/>
      <c r="X28" s="760"/>
      <c r="Y28">
        <f t="shared" si="17"/>
        <v>0</v>
      </c>
      <c r="Z28" s="759">
        <f t="shared" si="18"/>
        <v>0</v>
      </c>
      <c r="AA28" s="1">
        <f t="shared" si="2"/>
        <v>0</v>
      </c>
      <c r="AB28" s="1">
        <f t="shared" si="3"/>
        <v>0</v>
      </c>
      <c r="AC28" s="1">
        <f t="shared" si="4"/>
        <v>0</v>
      </c>
      <c r="AD28" s="1">
        <f t="shared" si="5"/>
        <v>0</v>
      </c>
      <c r="AE28" s="1">
        <f t="shared" si="6"/>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f>IF(AND(C28="Skema 2",B28="to"),Arbejdstidsoversigt!$E$56,"")</f>
        <v>8</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7"/>
        <v>0</v>
      </c>
      <c r="BC28" s="1">
        <f t="shared" si="20"/>
        <v>0</v>
      </c>
      <c r="BD28" s="1">
        <f t="shared" si="8"/>
        <v>0</v>
      </c>
      <c r="BE28" s="1">
        <f t="shared" si="9"/>
        <v>0</v>
      </c>
      <c r="BF28" s="1">
        <f t="shared" si="10"/>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f>IF(AND(C28="Skema 2",B28="to"),Skemaoplysninger!$R$28,"")</f>
        <v>0.125</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3</v>
      </c>
      <c r="CB28" s="1">
        <f t="shared" si="11"/>
        <v>0</v>
      </c>
      <c r="CC28" s="1">
        <f t="shared" si="12"/>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f>IF(AND(C28="Skema 2",B28="to"),Skemaoplysninger!$R$37,"")</f>
        <v>0.5</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0.5</v>
      </c>
      <c r="CY28" s="457">
        <f>IF(C28="Skema 1",Stamoplysninger!$H$30/200,0)</f>
        <v>0</v>
      </c>
      <c r="CZ28" s="457">
        <f>IF(C28="Skema 2",Stamoplysninger!$H$30/200,0)</f>
        <v>1</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3"/>
        <v>21</v>
      </c>
      <c r="B29" s="218" t="str">
        <f t="shared" si="0"/>
        <v>fr</v>
      </c>
      <c r="C29" s="219" t="s">
        <v>242</v>
      </c>
      <c r="D29" s="220" t="str">
        <f t="shared" si="1"/>
        <v/>
      </c>
      <c r="E29" s="906"/>
      <c r="F29" s="907"/>
      <c r="G29" s="908"/>
      <c r="H29" s="526"/>
      <c r="I29" s="855"/>
      <c r="J29" s="726"/>
      <c r="K29" s="669"/>
      <c r="L29" s="669"/>
      <c r="M29" s="669"/>
      <c r="N29" s="557">
        <f t="shared" si="14"/>
        <v>6.5</v>
      </c>
      <c r="O29" s="557">
        <f t="shared" si="15"/>
        <v>3</v>
      </c>
      <c r="P29" s="557">
        <f>IF(Stamoplysninger!$H$29="JA",April!DG29,CX29)</f>
        <v>0.5</v>
      </c>
      <c r="Q29" s="557">
        <f t="shared" si="16"/>
        <v>3</v>
      </c>
      <c r="R29" s="558"/>
      <c r="S29" s="564"/>
      <c r="T29" s="565"/>
      <c r="U29" s="565"/>
      <c r="V29" s="753"/>
      <c r="W29" s="559"/>
      <c r="X29" s="760"/>
      <c r="Y29">
        <f t="shared" si="17"/>
        <v>0</v>
      </c>
      <c r="Z29" s="759">
        <f t="shared" si="18"/>
        <v>0</v>
      </c>
      <c r="AA29" s="1">
        <f t="shared" si="2"/>
        <v>0</v>
      </c>
      <c r="AB29" s="1">
        <f t="shared" si="3"/>
        <v>0</v>
      </c>
      <c r="AC29" s="1">
        <f t="shared" si="4"/>
        <v>0</v>
      </c>
      <c r="AD29" s="1">
        <f t="shared" si="5"/>
        <v>0</v>
      </c>
      <c r="AE29" s="1">
        <f t="shared" si="6"/>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f>IF(AND(C29="Skema 2",B29="fr"),Arbejdstidsoversigt!$E$57,"")</f>
        <v>6.5</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6.5</v>
      </c>
      <c r="BB29" s="421">
        <f t="shared" si="7"/>
        <v>0</v>
      </c>
      <c r="BC29" s="1">
        <f t="shared" si="20"/>
        <v>0</v>
      </c>
      <c r="BD29" s="1">
        <f t="shared" si="8"/>
        <v>0</v>
      </c>
      <c r="BE29" s="1">
        <f t="shared" si="9"/>
        <v>0</v>
      </c>
      <c r="BF29" s="1">
        <f t="shared" si="10"/>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f>IF(AND(C29="Skema 2",B29="fr"),Skemaoplysninger!$S$28,"")</f>
        <v>0.125</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3</v>
      </c>
      <c r="CB29" s="1">
        <f t="shared" si="11"/>
        <v>0</v>
      </c>
      <c r="CC29" s="1">
        <f t="shared" si="12"/>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f>IF(AND(C29="Skema 2",B29="fr"),Skemaoplysninger!$S$37,"")</f>
        <v>0.5</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0.5</v>
      </c>
      <c r="CY29" s="457">
        <f>IF(C29="Skema 1",Stamoplysninger!$H$30/200,0)</f>
        <v>0</v>
      </c>
      <c r="CZ29" s="457">
        <f>IF(C29="Skema 2",Stamoplysninger!$H$30/200,0)</f>
        <v>1</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3"/>
        <v>22</v>
      </c>
      <c r="B30" s="218" t="str">
        <f t="shared" si="0"/>
        <v>lø</v>
      </c>
      <c r="C30" s="219" t="s">
        <v>138</v>
      </c>
      <c r="D30" s="220" t="str">
        <f t="shared" si="1"/>
        <v/>
      </c>
      <c r="E30" s="906"/>
      <c r="F30" s="907"/>
      <c r="G30" s="908"/>
      <c r="H30" s="526"/>
      <c r="I30" s="726"/>
      <c r="J30" s="726"/>
      <c r="K30" s="669"/>
      <c r="L30" s="669"/>
      <c r="M30" s="669"/>
      <c r="N30" s="557">
        <f t="shared" si="14"/>
        <v>0</v>
      </c>
      <c r="O30" s="557">
        <f t="shared" si="15"/>
        <v>0</v>
      </c>
      <c r="P30" s="557">
        <f>IF(Stamoplysninger!$H$29="JA",April!DG30,CX30)</f>
        <v>0</v>
      </c>
      <c r="Q30" s="557">
        <f t="shared" si="16"/>
        <v>0</v>
      </c>
      <c r="R30" s="558"/>
      <c r="S30" s="564"/>
      <c r="T30" s="565"/>
      <c r="U30" s="565"/>
      <c r="V30" s="753"/>
      <c r="W30" s="559"/>
      <c r="X30" s="760"/>
      <c r="Y30">
        <f t="shared" si="17"/>
        <v>0</v>
      </c>
      <c r="Z30" s="759">
        <f t="shared" si="18"/>
        <v>0</v>
      </c>
      <c r="AA30" s="1">
        <f t="shared" si="2"/>
        <v>0</v>
      </c>
      <c r="AB30" s="1">
        <f t="shared" si="3"/>
        <v>0</v>
      </c>
      <c r="AC30" s="1">
        <f t="shared" si="4"/>
        <v>0</v>
      </c>
      <c r="AD30" s="1">
        <f t="shared" si="5"/>
        <v>0</v>
      </c>
      <c r="AE30" s="1">
        <f t="shared" si="6"/>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0</v>
      </c>
      <c r="BB30" s="421">
        <f t="shared" si="7"/>
        <v>0</v>
      </c>
      <c r="BC30" s="1">
        <f t="shared" si="20"/>
        <v>0</v>
      </c>
      <c r="BD30" s="1">
        <f t="shared" si="8"/>
        <v>0</v>
      </c>
      <c r="BE30" s="1">
        <f t="shared" si="9"/>
        <v>0</v>
      </c>
      <c r="BF30" s="1">
        <f t="shared" si="10"/>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1"/>
        <v>0</v>
      </c>
      <c r="CC30" s="1">
        <f t="shared" si="12"/>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row>
    <row r="31" spans="1:111">
      <c r="A31" s="443">
        <f t="shared" si="13"/>
        <v>23</v>
      </c>
      <c r="B31" s="218" t="str">
        <f t="shared" si="0"/>
        <v>sø</v>
      </c>
      <c r="C31" s="219" t="s">
        <v>138</v>
      </c>
      <c r="D31" s="220" t="str">
        <f t="shared" si="1"/>
        <v/>
      </c>
      <c r="E31" s="906"/>
      <c r="F31" s="907"/>
      <c r="G31" s="908"/>
      <c r="H31" s="526"/>
      <c r="I31" s="726"/>
      <c r="J31" s="726"/>
      <c r="K31" s="669"/>
      <c r="L31" s="669"/>
      <c r="M31" s="669"/>
      <c r="N31" s="557">
        <f t="shared" si="14"/>
        <v>0</v>
      </c>
      <c r="O31" s="557">
        <f t="shared" si="15"/>
        <v>0</v>
      </c>
      <c r="P31" s="557">
        <f>IF(Stamoplysninger!$H$29="JA",April!DG31,CX31)</f>
        <v>0</v>
      </c>
      <c r="Q31" s="557">
        <f t="shared" si="16"/>
        <v>0</v>
      </c>
      <c r="R31" s="558"/>
      <c r="S31" s="564"/>
      <c r="T31" s="565"/>
      <c r="U31" s="565"/>
      <c r="V31" s="753"/>
      <c r="W31" s="559"/>
      <c r="X31" s="760"/>
      <c r="Y31">
        <f t="shared" si="17"/>
        <v>0</v>
      </c>
      <c r="Z31" s="759">
        <f t="shared" si="18"/>
        <v>0</v>
      </c>
      <c r="AA31" s="1">
        <f t="shared" si="2"/>
        <v>0</v>
      </c>
      <c r="AB31" s="1">
        <f t="shared" si="3"/>
        <v>0</v>
      </c>
      <c r="AC31" s="1">
        <f t="shared" si="4"/>
        <v>0</v>
      </c>
      <c r="AD31" s="1">
        <f t="shared" si="5"/>
        <v>0</v>
      </c>
      <c r="AE31" s="1">
        <f t="shared" si="6"/>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0</v>
      </c>
      <c r="BB31" s="421">
        <f t="shared" si="7"/>
        <v>0</v>
      </c>
      <c r="BC31" s="1">
        <f t="shared" si="20"/>
        <v>0</v>
      </c>
      <c r="BD31" s="1">
        <f t="shared" si="8"/>
        <v>0</v>
      </c>
      <c r="BE31" s="1">
        <f t="shared" si="9"/>
        <v>0</v>
      </c>
      <c r="BF31" s="1">
        <f t="shared" si="10"/>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0</v>
      </c>
      <c r="CB31" s="1">
        <f t="shared" si="11"/>
        <v>0</v>
      </c>
      <c r="CC31" s="1">
        <f t="shared" si="12"/>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0</v>
      </c>
    </row>
    <row r="32" spans="1:111">
      <c r="A32" s="443">
        <f t="shared" si="13"/>
        <v>24</v>
      </c>
      <c r="B32" s="218" t="str">
        <f t="shared" si="0"/>
        <v>ma</v>
      </c>
      <c r="C32" s="219" t="s">
        <v>242</v>
      </c>
      <c r="D32" s="220">
        <f t="shared" si="1"/>
        <v>17.142857142857142</v>
      </c>
      <c r="E32" s="449"/>
      <c r="F32" s="450"/>
      <c r="G32" s="451"/>
      <c r="H32" s="526"/>
      <c r="I32" s="855"/>
      <c r="J32" s="726"/>
      <c r="K32" s="669"/>
      <c r="L32" s="669"/>
      <c r="M32" s="669"/>
      <c r="N32" s="557">
        <f t="shared" si="14"/>
        <v>8</v>
      </c>
      <c r="O32" s="557">
        <f t="shared" si="15"/>
        <v>4.5</v>
      </c>
      <c r="P32" s="557">
        <f>IF(Stamoplysninger!$H$29="JA",April!DG32,CX32)</f>
        <v>1.0833333333333335</v>
      </c>
      <c r="Q32" s="557">
        <f t="shared" si="16"/>
        <v>2.4166666666666665</v>
      </c>
      <c r="R32" s="558"/>
      <c r="S32" s="564"/>
      <c r="T32" s="565"/>
      <c r="U32" s="565"/>
      <c r="V32" s="753"/>
      <c r="W32" s="559"/>
      <c r="X32" s="760"/>
      <c r="Y32">
        <f t="shared" si="17"/>
        <v>0</v>
      </c>
      <c r="Z32" s="759">
        <f t="shared" si="18"/>
        <v>0</v>
      </c>
      <c r="AA32" s="1">
        <f t="shared" si="2"/>
        <v>0</v>
      </c>
      <c r="AB32" s="1">
        <f t="shared" si="3"/>
        <v>0</v>
      </c>
      <c r="AC32" s="1">
        <f t="shared" si="4"/>
        <v>0</v>
      </c>
      <c r="AD32" s="1">
        <f t="shared" si="5"/>
        <v>0</v>
      </c>
      <c r="AE32" s="1">
        <f t="shared" si="6"/>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f>IF(AND(C32="Skema 2",B32="ma"),Arbejdstidsoversigt!$E$53,"")</f>
        <v>8</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8</v>
      </c>
      <c r="BB32" s="421">
        <f t="shared" si="7"/>
        <v>0</v>
      </c>
      <c r="BC32" s="1">
        <f t="shared" si="20"/>
        <v>0</v>
      </c>
      <c r="BD32" s="1">
        <f t="shared" si="8"/>
        <v>0</v>
      </c>
      <c r="BE32" s="1">
        <f t="shared" si="9"/>
        <v>0</v>
      </c>
      <c r="BF32" s="1">
        <f t="shared" si="10"/>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f>IF(AND(C32="Skema 2",B32="ma"),Skemaoplysninger!$O$28,"")</f>
        <v>0.1875</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4.5</v>
      </c>
      <c r="CB32" s="1">
        <f t="shared" si="11"/>
        <v>0</v>
      </c>
      <c r="CC32" s="1">
        <f t="shared" si="12"/>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f>IF(AND(C32="Skema 2",B32="ma"),Skemaoplysninger!$O$37,"")</f>
        <v>1.0833333333333335</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1.0833333333333335</v>
      </c>
      <c r="CY32" s="457">
        <f>IF(C32="Skema 1",Stamoplysninger!$H$30/200,0)</f>
        <v>0</v>
      </c>
      <c r="CZ32" s="457">
        <f>IF(C32="Skema 2",Stamoplysninger!$H$30/200,0)</f>
        <v>1</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3"/>
        <v>25</v>
      </c>
      <c r="B33" s="218" t="str">
        <f t="shared" si="0"/>
        <v>ti</v>
      </c>
      <c r="C33" s="219" t="s">
        <v>242</v>
      </c>
      <c r="D33" s="220" t="str">
        <f t="shared" si="1"/>
        <v/>
      </c>
      <c r="E33" s="906"/>
      <c r="F33" s="907"/>
      <c r="G33" s="908"/>
      <c r="H33" s="526"/>
      <c r="I33" s="855"/>
      <c r="J33" s="726"/>
      <c r="K33" s="669"/>
      <c r="L33" s="669"/>
      <c r="M33" s="669"/>
      <c r="N33" s="557">
        <f t="shared" si="14"/>
        <v>8</v>
      </c>
      <c r="O33" s="557">
        <f t="shared" si="15"/>
        <v>4.5</v>
      </c>
      <c r="P33" s="557">
        <f>IF(Stamoplysninger!$H$29="JA",April!DG33,CX33)</f>
        <v>1.0833333333333335</v>
      </c>
      <c r="Q33" s="557">
        <f t="shared" si="16"/>
        <v>2.4166666666666665</v>
      </c>
      <c r="R33" s="558"/>
      <c r="S33" s="564"/>
      <c r="T33" s="565"/>
      <c r="U33" s="565"/>
      <c r="V33" s="753"/>
      <c r="W33" s="559"/>
      <c r="X33" s="760"/>
      <c r="Y33">
        <f t="shared" si="17"/>
        <v>0</v>
      </c>
      <c r="Z33" s="759">
        <f t="shared" si="18"/>
        <v>0</v>
      </c>
      <c r="AA33" s="1">
        <f t="shared" si="2"/>
        <v>0</v>
      </c>
      <c r="AB33" s="1">
        <f t="shared" si="3"/>
        <v>0</v>
      </c>
      <c r="AC33" s="1">
        <f t="shared" si="4"/>
        <v>0</v>
      </c>
      <c r="AD33" s="1">
        <f t="shared" si="5"/>
        <v>0</v>
      </c>
      <c r="AE33" s="1">
        <f t="shared" si="6"/>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f>IF(AND(C33="Skema 2",B33="ti"),Arbejdstidsoversigt!$E$54,"")</f>
        <v>8</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8</v>
      </c>
      <c r="BB33" s="421">
        <f t="shared" si="7"/>
        <v>0</v>
      </c>
      <c r="BC33" s="1">
        <f t="shared" si="20"/>
        <v>0</v>
      </c>
      <c r="BD33" s="1">
        <f t="shared" si="8"/>
        <v>0</v>
      </c>
      <c r="BE33" s="1">
        <f t="shared" si="9"/>
        <v>0</v>
      </c>
      <c r="BF33" s="1">
        <f t="shared" si="10"/>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f>IF(AND(C33="Skema 2",B33="ti"),Skemaoplysninger!$P$28,"")</f>
        <v>0.1875</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4.5</v>
      </c>
      <c r="CB33" s="1">
        <f t="shared" si="11"/>
        <v>0</v>
      </c>
      <c r="CC33" s="1">
        <f t="shared" si="12"/>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f>IF(AND(C33="Skema 2",B33="ti"),Skemaoplysninger!$P$37,"")</f>
        <v>1.0833333333333335</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1.0833333333333335</v>
      </c>
      <c r="CY33" s="457">
        <f>IF(C33="Skema 1",Stamoplysninger!$H$30/200,0)</f>
        <v>0</v>
      </c>
      <c r="CZ33" s="457">
        <f>IF(C33="Skema 2",Stamoplysninger!$H$30/200,0)</f>
        <v>1</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1</v>
      </c>
    </row>
    <row r="34" spans="1:111">
      <c r="A34" s="443">
        <f t="shared" si="13"/>
        <v>26</v>
      </c>
      <c r="B34" s="218" t="str">
        <f t="shared" si="0"/>
        <v>on</v>
      </c>
      <c r="C34" s="219" t="s">
        <v>242</v>
      </c>
      <c r="D34" s="220" t="str">
        <f t="shared" si="1"/>
        <v/>
      </c>
      <c r="E34" s="906"/>
      <c r="F34" s="907"/>
      <c r="G34" s="908"/>
      <c r="H34" s="526" t="s">
        <v>599</v>
      </c>
      <c r="I34" s="855"/>
      <c r="J34" s="726"/>
      <c r="K34" s="669"/>
      <c r="L34" s="669"/>
      <c r="M34" s="669"/>
      <c r="N34" s="557">
        <f t="shared" si="14"/>
        <v>8</v>
      </c>
      <c r="O34" s="557">
        <f t="shared" si="15"/>
        <v>3</v>
      </c>
      <c r="P34" s="557">
        <f>IF(Stamoplysninger!$H$29="JA",April!DG34,CX34)</f>
        <v>0.5</v>
      </c>
      <c r="Q34" s="557">
        <f t="shared" si="16"/>
        <v>4.5</v>
      </c>
      <c r="R34" s="558">
        <v>3</v>
      </c>
      <c r="S34" s="564"/>
      <c r="T34" s="565"/>
      <c r="U34" s="565"/>
      <c r="V34" s="753"/>
      <c r="W34" s="559"/>
      <c r="X34" s="760"/>
      <c r="Y34">
        <f t="shared" si="17"/>
        <v>0</v>
      </c>
      <c r="Z34" s="759">
        <f t="shared" si="18"/>
        <v>0</v>
      </c>
      <c r="AA34" s="1">
        <f t="shared" si="2"/>
        <v>0</v>
      </c>
      <c r="AB34" s="1">
        <f t="shared" si="3"/>
        <v>0</v>
      </c>
      <c r="AC34" s="1">
        <f t="shared" si="4"/>
        <v>0</v>
      </c>
      <c r="AD34" s="1">
        <f t="shared" si="5"/>
        <v>0</v>
      </c>
      <c r="AE34" s="1">
        <f t="shared" si="6"/>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f>IF(AND(C34="Skema 2",B34="on"),Arbejdstidsoversigt!$E$55,"")</f>
        <v>8</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8</v>
      </c>
      <c r="BB34" s="421">
        <f t="shared" si="7"/>
        <v>0</v>
      </c>
      <c r="BC34" s="1">
        <f t="shared" si="20"/>
        <v>0</v>
      </c>
      <c r="BD34" s="1">
        <f t="shared" si="8"/>
        <v>0</v>
      </c>
      <c r="BE34" s="1">
        <f t="shared" si="9"/>
        <v>0</v>
      </c>
      <c r="BF34" s="1">
        <f t="shared" si="10"/>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f>IF(AND(C34="Skema 2",B34="on"),Skemaoplysninger!$Q$28,"")</f>
        <v>0.125</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3</v>
      </c>
      <c r="CB34" s="1">
        <f t="shared" si="11"/>
        <v>0</v>
      </c>
      <c r="CC34" s="1">
        <f t="shared" si="12"/>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f>IF(AND(C34="Skema 2",B34="on"),Skemaoplysninger!$Q$37,"")</f>
        <v>0.5</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0.5</v>
      </c>
      <c r="CY34" s="457">
        <f>IF(C34="Skema 1",Stamoplysninger!$H$30/200,0)</f>
        <v>0</v>
      </c>
      <c r="CZ34" s="457">
        <f>IF(C34="Skema 2",Stamoplysninger!$H$30/200,0)</f>
        <v>1</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1</v>
      </c>
    </row>
    <row r="35" spans="1:111">
      <c r="A35" s="443">
        <f t="shared" si="13"/>
        <v>27</v>
      </c>
      <c r="B35" s="218" t="str">
        <f t="shared" si="0"/>
        <v>to</v>
      </c>
      <c r="C35" s="219" t="s">
        <v>242</v>
      </c>
      <c r="D35" s="220" t="str">
        <f t="shared" si="1"/>
        <v/>
      </c>
      <c r="E35" s="906"/>
      <c r="F35" s="907"/>
      <c r="G35" s="908"/>
      <c r="H35" s="526" t="s">
        <v>599</v>
      </c>
      <c r="I35" s="855"/>
      <c r="J35" s="726"/>
      <c r="K35" s="669"/>
      <c r="L35" s="669"/>
      <c r="M35" s="669"/>
      <c r="N35" s="557">
        <f t="shared" si="14"/>
        <v>8</v>
      </c>
      <c r="O35" s="557">
        <f t="shared" si="15"/>
        <v>3</v>
      </c>
      <c r="P35" s="557">
        <f>IF(Stamoplysninger!$H$29="JA",April!DG35,CX35)</f>
        <v>0.5</v>
      </c>
      <c r="Q35" s="557">
        <f t="shared" si="16"/>
        <v>4.5</v>
      </c>
      <c r="R35" s="558">
        <v>3</v>
      </c>
      <c r="S35" s="564"/>
      <c r="T35" s="565"/>
      <c r="U35" s="565"/>
      <c r="V35" s="753"/>
      <c r="W35" s="559"/>
      <c r="X35" s="760"/>
      <c r="Y35">
        <f t="shared" si="17"/>
        <v>0</v>
      </c>
      <c r="Z35" s="759">
        <f t="shared" si="18"/>
        <v>0</v>
      </c>
      <c r="AA35" s="1">
        <f t="shared" si="2"/>
        <v>0</v>
      </c>
      <c r="AB35" s="1">
        <f t="shared" si="3"/>
        <v>0</v>
      </c>
      <c r="AC35" s="1">
        <f t="shared" si="4"/>
        <v>0</v>
      </c>
      <c r="AD35" s="1">
        <f t="shared" si="5"/>
        <v>0</v>
      </c>
      <c r="AE35" s="1">
        <f t="shared" si="6"/>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f>IF(AND(C35="Skema 2",B35="to"),Arbejdstidsoversigt!$E$56,"")</f>
        <v>8</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8</v>
      </c>
      <c r="BB35" s="421">
        <f t="shared" si="7"/>
        <v>0</v>
      </c>
      <c r="BC35" s="1">
        <f t="shared" si="20"/>
        <v>0</v>
      </c>
      <c r="BD35" s="1">
        <f t="shared" si="8"/>
        <v>0</v>
      </c>
      <c r="BE35" s="1">
        <f t="shared" si="9"/>
        <v>0</v>
      </c>
      <c r="BF35" s="1">
        <f t="shared" si="10"/>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f>IF(AND(C35="Skema 2",B35="to"),Skemaoplysninger!$R$28,"")</f>
        <v>0.125</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3</v>
      </c>
      <c r="CB35" s="1">
        <f t="shared" si="11"/>
        <v>0</v>
      </c>
      <c r="CC35" s="1">
        <f t="shared" si="12"/>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f>IF(AND(C35="Skema 2",B35="to"),Skemaoplysninger!$R$37,"")</f>
        <v>0.5</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0.5</v>
      </c>
      <c r="CY35" s="457">
        <f>IF(C35="Skema 1",Stamoplysninger!$H$30/200,0)</f>
        <v>0</v>
      </c>
      <c r="CZ35" s="457">
        <f>IF(C35="Skema 2",Stamoplysninger!$H$30/200,0)</f>
        <v>1</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row>
    <row r="36" spans="1:111">
      <c r="A36" s="443">
        <f t="shared" si="13"/>
        <v>28</v>
      </c>
      <c r="B36" s="218" t="str">
        <f t="shared" si="0"/>
        <v>fr</v>
      </c>
      <c r="C36" s="219" t="s">
        <v>242</v>
      </c>
      <c r="D36" s="220" t="str">
        <f t="shared" si="1"/>
        <v/>
      </c>
      <c r="E36" s="906"/>
      <c r="F36" s="907"/>
      <c r="G36" s="908"/>
      <c r="H36" s="526"/>
      <c r="I36" s="855"/>
      <c r="J36" s="726"/>
      <c r="K36" s="669"/>
      <c r="L36" s="669"/>
      <c r="M36" s="669"/>
      <c r="N36" s="557">
        <f t="shared" si="14"/>
        <v>6.5</v>
      </c>
      <c r="O36" s="557">
        <f t="shared" si="15"/>
        <v>3</v>
      </c>
      <c r="P36" s="557">
        <f>IF(Stamoplysninger!$H$29="JA",April!DG36,CX36)</f>
        <v>0.5</v>
      </c>
      <c r="Q36" s="557">
        <f t="shared" si="16"/>
        <v>3</v>
      </c>
      <c r="R36" s="558"/>
      <c r="S36" s="564"/>
      <c r="T36" s="565"/>
      <c r="U36" s="565"/>
      <c r="V36" s="753"/>
      <c r="W36" s="559"/>
      <c r="X36" s="760"/>
      <c r="Y36">
        <f t="shared" si="17"/>
        <v>0</v>
      </c>
      <c r="Z36" s="759">
        <f t="shared" si="18"/>
        <v>0</v>
      </c>
      <c r="AA36" s="1">
        <f t="shared" si="2"/>
        <v>0</v>
      </c>
      <c r="AB36" s="1">
        <f t="shared" si="3"/>
        <v>0</v>
      </c>
      <c r="AC36" s="1">
        <f t="shared" si="4"/>
        <v>0</v>
      </c>
      <c r="AD36" s="1">
        <f t="shared" si="5"/>
        <v>0</v>
      </c>
      <c r="AE36" s="1">
        <f t="shared" si="6"/>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f>IF(AND(C36="Skema 2",B36="fr"),Arbejdstidsoversigt!$E$57,"")</f>
        <v>6.5</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6.5</v>
      </c>
      <c r="BB36" s="421">
        <f t="shared" si="7"/>
        <v>0</v>
      </c>
      <c r="BC36" s="1">
        <f t="shared" si="20"/>
        <v>0</v>
      </c>
      <c r="BD36" s="1">
        <f t="shared" si="8"/>
        <v>0</v>
      </c>
      <c r="BE36" s="1">
        <f t="shared" si="9"/>
        <v>0</v>
      </c>
      <c r="BF36" s="1">
        <f t="shared" si="10"/>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f>IF(AND(C36="Skema 2",B36="fr"),Skemaoplysninger!$S$28,"")</f>
        <v>0.125</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3</v>
      </c>
      <c r="CB36" s="1">
        <f t="shared" si="11"/>
        <v>0</v>
      </c>
      <c r="CC36" s="1">
        <f t="shared" si="12"/>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f>IF(AND(C36="Skema 2",B36="fr"),Skemaoplysninger!$S$37,"")</f>
        <v>0.5</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0.5</v>
      </c>
      <c r="CY36" s="457">
        <f>IF(C36="Skema 1",Stamoplysninger!$H$30/200,0)</f>
        <v>0</v>
      </c>
      <c r="CZ36" s="457">
        <f>IF(C36="Skema 2",Stamoplysninger!$H$30/200,0)</f>
        <v>1</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1</v>
      </c>
    </row>
    <row r="37" spans="1:111">
      <c r="A37" s="443">
        <f>IF(ISNUMBER(A36),A36+1,1)</f>
        <v>29</v>
      </c>
      <c r="B37" s="218" t="str">
        <f t="shared" si="0"/>
        <v>lø</v>
      </c>
      <c r="C37" s="219" t="s">
        <v>138</v>
      </c>
      <c r="D37" s="220" t="str">
        <f t="shared" si="1"/>
        <v/>
      </c>
      <c r="E37" s="906"/>
      <c r="F37" s="907"/>
      <c r="G37" s="908"/>
      <c r="H37" s="526"/>
      <c r="I37" s="726"/>
      <c r="J37" s="726"/>
      <c r="K37" s="669"/>
      <c r="L37" s="669"/>
      <c r="M37" s="669"/>
      <c r="N37" s="557">
        <f t="shared" si="14"/>
        <v>0</v>
      </c>
      <c r="O37" s="557">
        <f t="shared" si="15"/>
        <v>0</v>
      </c>
      <c r="P37" s="557">
        <f>IF(Stamoplysninger!$H$29="JA",April!DG37,CX37)</f>
        <v>0</v>
      </c>
      <c r="Q37" s="557">
        <f t="shared" si="16"/>
        <v>0</v>
      </c>
      <c r="R37" s="558"/>
      <c r="S37" s="564"/>
      <c r="T37" s="565"/>
      <c r="U37" s="565"/>
      <c r="V37" s="753"/>
      <c r="W37" s="559"/>
      <c r="X37" s="760"/>
      <c r="Y37">
        <f t="shared" si="17"/>
        <v>0</v>
      </c>
      <c r="Z37" s="759">
        <f t="shared" si="18"/>
        <v>0</v>
      </c>
      <c r="AA37" s="1">
        <f t="shared" si="2"/>
        <v>0</v>
      </c>
      <c r="AB37" s="1">
        <f t="shared" si="3"/>
        <v>0</v>
      </c>
      <c r="AC37" s="1">
        <f t="shared" si="4"/>
        <v>0</v>
      </c>
      <c r="AD37" s="1">
        <f t="shared" si="5"/>
        <v>0</v>
      </c>
      <c r="AE37" s="1">
        <f t="shared" si="6"/>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7"/>
        <v>0</v>
      </c>
      <c r="BC37" s="1">
        <f t="shared" si="20"/>
        <v>0</v>
      </c>
      <c r="BD37" s="1">
        <f t="shared" si="8"/>
        <v>0</v>
      </c>
      <c r="BE37" s="1">
        <f t="shared" si="9"/>
        <v>0</v>
      </c>
      <c r="BF37" s="1">
        <f t="shared" si="10"/>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1"/>
        <v>0</v>
      </c>
      <c r="CC37" s="1">
        <f t="shared" si="12"/>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3"/>
        <v>30</v>
      </c>
      <c r="B38" s="218" t="str">
        <f t="shared" si="0"/>
        <v>sø</v>
      </c>
      <c r="C38" s="219" t="s">
        <v>138</v>
      </c>
      <c r="D38" s="220" t="str">
        <f t="shared" si="1"/>
        <v/>
      </c>
      <c r="E38" s="906"/>
      <c r="F38" s="907"/>
      <c r="G38" s="908"/>
      <c r="H38" s="526"/>
      <c r="I38" s="726"/>
      <c r="J38" s="726"/>
      <c r="K38" s="669"/>
      <c r="L38" s="669"/>
      <c r="M38" s="669"/>
      <c r="N38" s="557">
        <f t="shared" si="14"/>
        <v>0</v>
      </c>
      <c r="O38" s="557">
        <f t="shared" si="15"/>
        <v>0</v>
      </c>
      <c r="P38" s="557">
        <f>IF(Stamoplysninger!$H$29="JA",April!DG38,CX38)</f>
        <v>0</v>
      </c>
      <c r="Q38" s="557">
        <f t="shared" si="16"/>
        <v>0</v>
      </c>
      <c r="R38" s="558"/>
      <c r="S38" s="564"/>
      <c r="T38" s="565"/>
      <c r="U38" s="565"/>
      <c r="V38" s="753"/>
      <c r="W38" s="559"/>
      <c r="X38" s="760"/>
      <c r="Y38">
        <f t="shared" si="17"/>
        <v>0</v>
      </c>
      <c r="Z38" s="759">
        <f t="shared" si="18"/>
        <v>0</v>
      </c>
      <c r="AA38" s="1">
        <f t="shared" si="2"/>
        <v>0</v>
      </c>
      <c r="AB38" s="1">
        <f t="shared" si="3"/>
        <v>0</v>
      </c>
      <c r="AC38" s="1">
        <f t="shared" si="4"/>
        <v>0</v>
      </c>
      <c r="AD38" s="1">
        <f t="shared" si="5"/>
        <v>0</v>
      </c>
      <c r="AE38" s="1">
        <f t="shared" si="6"/>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0</v>
      </c>
      <c r="BB38" s="421">
        <f t="shared" si="7"/>
        <v>0</v>
      </c>
      <c r="BC38" s="1">
        <f t="shared" si="20"/>
        <v>0</v>
      </c>
      <c r="BD38" s="1">
        <f t="shared" si="8"/>
        <v>0</v>
      </c>
      <c r="BE38" s="1">
        <f t="shared" si="9"/>
        <v>0</v>
      </c>
      <c r="BF38" s="1">
        <f t="shared" si="10"/>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0</v>
      </c>
      <c r="CB38" s="1">
        <f t="shared" si="11"/>
        <v>0</v>
      </c>
      <c r="CC38" s="1">
        <f t="shared" si="12"/>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v>
      </c>
      <c r="CY38" s="457">
        <f>IF(C38="Skema 1",Stamoplysninger!$H$30/200,0)</f>
        <v>0</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0</v>
      </c>
    </row>
    <row r="39" spans="1:111" ht="17" thickBot="1">
      <c r="A39" s="1101" t="s">
        <v>308</v>
      </c>
      <c r="B39" s="1102"/>
      <c r="C39" s="1102"/>
      <c r="D39" s="1102"/>
      <c r="E39" s="1102"/>
      <c r="F39" s="1102"/>
      <c r="G39" s="1102"/>
      <c r="H39" s="1102"/>
      <c r="I39" s="1103"/>
      <c r="J39" s="552"/>
      <c r="K39" s="561"/>
      <c r="L39" s="561"/>
      <c r="M39" s="561"/>
      <c r="N39" s="562">
        <f t="shared" ref="N39:Q39" si="23">SUM(N9:N38)</f>
        <v>107.5</v>
      </c>
      <c r="O39" s="562">
        <f t="shared" si="23"/>
        <v>51</v>
      </c>
      <c r="P39" s="562">
        <f t="shared" si="23"/>
        <v>10.333333333333334</v>
      </c>
      <c r="Q39" s="562">
        <f t="shared" si="23"/>
        <v>46.166666666666664</v>
      </c>
      <c r="R39"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6</v>
      </c>
      <c r="S39" s="750"/>
      <c r="T39" s="751"/>
      <c r="U39" s="751"/>
      <c r="V39"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751">
        <f t="shared" ref="W39" si="24">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384">
        <f>SUM(Y9:Y38)</f>
        <v>0</v>
      </c>
      <c r="Z39" s="706">
        <f>Z9+Z10+Z11+Z12+Z13+Z14+Z15+Z16+Z17+Z18+Z19+Z20+Z21+Z22+Z23+Z24+Z25+Z26+Z27+Z28+Z29+Z30+Z31+Z32+Z33+Z34+Z35+Z36+Z37+Z38</f>
        <v>0</v>
      </c>
      <c r="AA39" s="431">
        <f t="shared" ref="AA39:AF39" si="25">SUM(AA9:AA38)</f>
        <v>16</v>
      </c>
      <c r="AB39" s="431">
        <f t="shared" si="25"/>
        <v>0</v>
      </c>
      <c r="AC39" s="431">
        <f t="shared" si="25"/>
        <v>0</v>
      </c>
      <c r="AD39" s="431">
        <f t="shared" si="25"/>
        <v>0</v>
      </c>
      <c r="AE39" s="431">
        <f t="shared" si="25"/>
        <v>0</v>
      </c>
      <c r="AF39" s="585">
        <f t="shared" si="25"/>
        <v>0</v>
      </c>
      <c r="AQ39" s="383"/>
      <c r="AR39" s="383"/>
      <c r="AS39" s="383"/>
      <c r="AT39" s="383"/>
      <c r="AU39" s="383"/>
      <c r="AV39" s="383"/>
      <c r="AW39" s="383"/>
      <c r="AX39" s="383"/>
      <c r="AY39" s="383"/>
      <c r="AZ39" s="383"/>
      <c r="BA39" s="1">
        <f>SUM(BA9:BA38)</f>
        <v>107.5</v>
      </c>
      <c r="BB39" s="180"/>
      <c r="BC39" s="431">
        <f>SUM(BC9:BC38)</f>
        <v>0</v>
      </c>
      <c r="BD39" s="431">
        <f>SUM(BD9:BD38)</f>
        <v>0</v>
      </c>
      <c r="BE39" s="431">
        <f>SUM(BE9:BE38)</f>
        <v>0</v>
      </c>
      <c r="BF39" s="431">
        <f>SUM(BF9:BF38)</f>
        <v>9</v>
      </c>
      <c r="BQ39" s="383"/>
      <c r="BR39" s="383"/>
      <c r="BS39" s="383"/>
      <c r="BT39" s="383"/>
      <c r="BU39" s="383"/>
      <c r="BV39" s="383"/>
      <c r="BW39" s="383"/>
      <c r="BX39" s="383"/>
      <c r="BY39" s="383"/>
      <c r="BZ39" s="383"/>
      <c r="CA39" s="431">
        <f>SUM(CA9:CA38)</f>
        <v>51</v>
      </c>
      <c r="CB39" s="431">
        <f>SUM(CB9:CB38)</f>
        <v>0</v>
      </c>
      <c r="CC39" s="431">
        <f>SUM(CC9:CC38)</f>
        <v>2</v>
      </c>
      <c r="CN39" s="383"/>
      <c r="CO39" s="383"/>
      <c r="CP39" s="383"/>
      <c r="CQ39" s="383"/>
      <c r="CR39" s="383"/>
      <c r="CS39" s="383"/>
      <c r="CT39" s="383"/>
      <c r="CU39" s="383"/>
      <c r="CV39" s="383"/>
      <c r="CW39" s="383"/>
      <c r="CX39" s="457"/>
      <c r="CY39" s="457">
        <f t="shared" ref="CY39:DG39" si="26">SUM(CY9:CY38)</f>
        <v>0</v>
      </c>
      <c r="CZ39" s="457">
        <f t="shared" si="26"/>
        <v>12</v>
      </c>
      <c r="DA39" s="457">
        <f t="shared" si="26"/>
        <v>0</v>
      </c>
      <c r="DB39" s="457">
        <f t="shared" si="26"/>
        <v>0</v>
      </c>
      <c r="DC39" s="457">
        <f t="shared" si="26"/>
        <v>0</v>
      </c>
      <c r="DD39" s="457">
        <f t="shared" si="26"/>
        <v>2</v>
      </c>
      <c r="DE39" s="457">
        <f t="shared" si="26"/>
        <v>0</v>
      </c>
      <c r="DF39" s="457">
        <f t="shared" si="26"/>
        <v>0</v>
      </c>
      <c r="DG39" s="457">
        <f t="shared" si="26"/>
        <v>14</v>
      </c>
    </row>
    <row r="40" spans="1:111" s="435" customFormat="1" ht="17" thickBot="1">
      <c r="A40" s="444"/>
      <c r="B40" s="444"/>
      <c r="C40" s="444"/>
      <c r="D40" s="444"/>
      <c r="E40" s="444"/>
      <c r="F40" s="444"/>
      <c r="G40" s="444"/>
      <c r="H40" s="444"/>
      <c r="I40" s="444"/>
      <c r="J40" s="444"/>
      <c r="K40" s="437"/>
      <c r="L40" s="437"/>
      <c r="M40" s="437"/>
      <c r="N40" s="437"/>
      <c r="O40" s="437"/>
      <c r="P40" s="437"/>
      <c r="Q40" s="437"/>
      <c r="R40" s="437"/>
      <c r="S40" s="437"/>
      <c r="T40" s="437"/>
      <c r="U40" s="437"/>
      <c r="V40" s="437"/>
      <c r="W40" s="437"/>
      <c r="X40" s="437"/>
      <c r="Y40" s="454"/>
      <c r="Z40" s="445"/>
      <c r="AA40" s="446"/>
      <c r="AB40" s="445"/>
      <c r="AC40" s="445"/>
      <c r="AD40" s="446"/>
      <c r="AE40" s="446"/>
      <c r="AF40" s="446"/>
      <c r="AG40" s="446"/>
      <c r="AR40" s="447"/>
      <c r="AS40" s="447"/>
      <c r="AT40" s="447"/>
      <c r="AU40" s="447"/>
      <c r="AV40" s="447"/>
      <c r="AW40" s="447"/>
      <c r="AX40" s="447"/>
      <c r="AY40" s="447"/>
      <c r="AZ40" s="447"/>
      <c r="BA40" s="447"/>
      <c r="BB40" s="447"/>
      <c r="BC40" s="446"/>
      <c r="BD40" s="446"/>
      <c r="BE40" s="446"/>
      <c r="BF40" s="446"/>
      <c r="BG40" s="448"/>
      <c r="BR40" s="447"/>
      <c r="BS40" s="447"/>
      <c r="BT40" s="447"/>
      <c r="BU40" s="447"/>
      <c r="BV40" s="447"/>
      <c r="BW40" s="447"/>
      <c r="BX40" s="447"/>
      <c r="BY40" s="447"/>
      <c r="BZ40" s="447"/>
      <c r="CA40" s="447"/>
      <c r="CB40" s="446"/>
      <c r="CC40" s="446"/>
      <c r="CD40" s="448"/>
      <c r="CO40" s="447"/>
      <c r="CP40" s="447"/>
      <c r="CQ40" s="447"/>
      <c r="CR40" s="447"/>
      <c r="CS40" s="447"/>
      <c r="CT40" s="447"/>
      <c r="CU40" s="447"/>
      <c r="CV40" s="447"/>
      <c r="CW40" s="447"/>
      <c r="CX40" s="458"/>
      <c r="CY40" s="458"/>
    </row>
    <row r="41" spans="1:111" ht="70" customHeight="1">
      <c r="A41" s="1138" t="str">
        <f>"Arbejdstid for "&amp;A7&amp;" måned:"</f>
        <v>Arbejdstid for April måned:</v>
      </c>
      <c r="B41" s="1139"/>
      <c r="C41" s="1139"/>
      <c r="D41" s="1139"/>
      <c r="E41" s="1139"/>
      <c r="F41" s="1139"/>
      <c r="G41" s="1139"/>
      <c r="H41" s="571" t="s">
        <v>303</v>
      </c>
      <c r="I41" s="1139" t="s">
        <v>264</v>
      </c>
      <c r="J41" s="1140"/>
      <c r="K41" s="1141"/>
      <c r="L41" s="472"/>
      <c r="M41" s="1164" t="str">
        <f>"Ulempetimer og weekendtimer i "&amp;A5&amp;""</f>
        <v>Ulempetimer og weekendtimer i April måneds kalender for: Beate Simonsen. Måneden vedr. normperioden: 01.08.2022 - 31.07.2023.</v>
      </c>
      <c r="N41" s="1165"/>
      <c r="O41" s="1165"/>
      <c r="P41" s="1165"/>
      <c r="Q41" s="1165"/>
      <c r="R41" s="1165"/>
      <c r="S41" s="1165"/>
      <c r="T41" s="1165"/>
      <c r="U41" s="1165"/>
      <c r="V41" s="1165"/>
      <c r="W41" s="1165"/>
      <c r="X41" s="1166"/>
      <c r="Y41" s="437"/>
      <c r="Z41" s="437"/>
      <c r="AD41" s="124"/>
      <c r="AE41" s="124"/>
      <c r="AZ41" s="436"/>
      <c r="BM41" s="1"/>
      <c r="CJ41" s="1"/>
      <c r="CU41" s="455"/>
      <c r="CV41" s="455"/>
      <c r="CY41"/>
      <c r="CZ41"/>
    </row>
    <row r="42" spans="1:111">
      <c r="A42" s="1105" t="s">
        <v>302</v>
      </c>
      <c r="B42" s="1106"/>
      <c r="C42" s="1106"/>
      <c r="D42" s="1106"/>
      <c r="E42" s="1106"/>
      <c r="F42" s="1106"/>
      <c r="G42" s="1106"/>
      <c r="H42" s="466">
        <f>D66</f>
        <v>20</v>
      </c>
      <c r="I42" s="1107">
        <f>IF(Stamoplysninger!$E$12="Ja",1924/Arbejdstidsoversigt!$K$9*Stamoplysninger!$E$15*H42,H42*7.4*Stamoplysninger!$E$13)</f>
        <v>147.43295019157088</v>
      </c>
      <c r="J42" s="1108"/>
      <c r="K42" s="1109"/>
      <c r="L42" s="468"/>
      <c r="M42" s="1167" t="s">
        <v>368</v>
      </c>
      <c r="N42" s="1168"/>
      <c r="O42" s="1168"/>
      <c r="P42" s="1168"/>
      <c r="Q42" s="1168"/>
      <c r="R42" s="1168"/>
      <c r="S42" s="1168"/>
      <c r="T42" s="1168"/>
      <c r="U42" s="1168"/>
      <c r="V42" s="1169">
        <f>M61+S60+T60+M64+M68+M62+N61+N68</f>
        <v>1.5</v>
      </c>
      <c r="W42" s="1169"/>
      <c r="X42" s="1170"/>
      <c r="Y42" s="437"/>
      <c r="Z42" s="437"/>
      <c r="AD42" s="124"/>
      <c r="AE42" s="124"/>
      <c r="AZ42" s="436"/>
      <c r="BM42" s="1"/>
      <c r="CJ42" s="1"/>
      <c r="CU42" s="455"/>
      <c r="CV42" s="455"/>
      <c r="CY42"/>
      <c r="CZ42"/>
    </row>
    <row r="43" spans="1:111">
      <c r="A43" s="1105" t="str">
        <f>"Ferie "&amp;A7&amp;" måned"</f>
        <v>Ferie April måned</v>
      </c>
      <c r="B43" s="1106"/>
      <c r="C43" s="1106"/>
      <c r="D43" s="1106"/>
      <c r="E43" s="1106"/>
      <c r="F43" s="1106"/>
      <c r="G43" s="1106"/>
      <c r="H43" s="467" t="str">
        <f>IF(D61&gt;0,$D$61,"0")</f>
        <v>0</v>
      </c>
      <c r="I43" s="1110">
        <f>H43*7.4*Stamoplysninger!$E$15</f>
        <v>0</v>
      </c>
      <c r="J43" s="1111"/>
      <c r="K43" s="1112"/>
      <c r="L43" s="468"/>
      <c r="M43" s="1171" t="s">
        <v>307</v>
      </c>
      <c r="N43" s="1172"/>
      <c r="O43" s="1172"/>
      <c r="P43" s="1172"/>
      <c r="Q43" s="1172"/>
      <c r="R43" s="1172"/>
      <c r="S43" s="1172"/>
      <c r="T43" s="1172"/>
      <c r="U43" s="1172"/>
      <c r="V43" s="1173">
        <f>M60+S59+T59+M63+M67+M59+N59+N67</f>
        <v>0</v>
      </c>
      <c r="W43" s="1173"/>
      <c r="X43" s="1174"/>
      <c r="Y43" s="437"/>
      <c r="Z43" s="437"/>
      <c r="AD43" s="124"/>
      <c r="AE43" s="124"/>
      <c r="AZ43" s="436"/>
      <c r="BM43" s="1"/>
      <c r="CJ43" s="1"/>
      <c r="CU43" s="455"/>
      <c r="CV43" s="455"/>
      <c r="CY43"/>
      <c r="CZ43"/>
    </row>
    <row r="44" spans="1:111">
      <c r="A44" s="1105" t="str">
        <f>"Søgnehelligdage i "&amp;A7&amp;" måned"</f>
        <v>Søgnehelligdage i April måned</v>
      </c>
      <c r="B44" s="1106"/>
      <c r="C44" s="1106"/>
      <c r="D44" s="1106"/>
      <c r="E44" s="1106"/>
      <c r="F44" s="1106"/>
      <c r="G44" s="1106"/>
      <c r="H44" s="467">
        <f>IF(D60&gt;0,D60,0)</f>
        <v>3</v>
      </c>
      <c r="I44" s="1110">
        <f>H44*7.4*Stamoplysninger!$E$15</f>
        <v>22.200000000000003</v>
      </c>
      <c r="J44" s="1111"/>
      <c r="K44" s="1112"/>
      <c r="L44" s="469"/>
      <c r="M44" s="1175" t="s">
        <v>347</v>
      </c>
      <c r="N44" s="1176"/>
      <c r="O44" s="1176"/>
      <c r="P44" s="1176"/>
      <c r="Q44" s="1176"/>
      <c r="R44" s="1176"/>
      <c r="S44" s="1176"/>
      <c r="T44" s="1176"/>
      <c r="U44" s="1176"/>
      <c r="V44" s="1186">
        <f>Marts!V55</f>
        <v>9</v>
      </c>
      <c r="W44" s="1186"/>
      <c r="X44" s="1187"/>
      <c r="Y44" s="437"/>
      <c r="Z44" s="437"/>
      <c r="AD44" s="124"/>
      <c r="AE44" s="124"/>
      <c r="AZ44" s="436"/>
      <c r="BM44" s="1"/>
      <c r="CJ44" s="1"/>
      <c r="CU44" s="455"/>
      <c r="CV44" s="455"/>
      <c r="CY44"/>
      <c r="CZ44"/>
    </row>
    <row r="45" spans="1:111">
      <c r="A45" s="1105" t="str">
        <f>"Nettoarbejdstid ialt i "&amp;A7&amp;" måned"</f>
        <v>Nettoarbejdstid ialt i April måned</v>
      </c>
      <c r="B45" s="1106"/>
      <c r="C45" s="1106"/>
      <c r="D45" s="1106"/>
      <c r="E45" s="1106"/>
      <c r="F45" s="1106"/>
      <c r="G45" s="1106"/>
      <c r="H45" s="470">
        <f>H42-H43-H44</f>
        <v>17</v>
      </c>
      <c r="I45" s="1110">
        <f>I42-I43-I44</f>
        <v>125.23295019157088</v>
      </c>
      <c r="J45" s="1111"/>
      <c r="K45" s="1112"/>
      <c r="L45" s="678"/>
      <c r="M45" s="1134" t="s">
        <v>354</v>
      </c>
      <c r="N45" s="1135"/>
      <c r="O45" s="1135"/>
      <c r="P45" s="1135"/>
      <c r="Q45" s="1135"/>
      <c r="R45" s="1135"/>
      <c r="S45" s="1135"/>
      <c r="T45" s="1135"/>
      <c r="U45" s="1135"/>
      <c r="V45" s="1136">
        <f>V43+V44</f>
        <v>9</v>
      </c>
      <c r="W45" s="1136"/>
      <c r="X45" s="1137"/>
      <c r="Y45" s="437"/>
      <c r="Z45" s="437"/>
      <c r="AD45" s="124"/>
      <c r="AE45" s="124"/>
      <c r="AZ45" s="436"/>
      <c r="BM45" s="1"/>
      <c r="CJ45" s="1"/>
      <c r="CU45" s="455"/>
      <c r="CV45" s="455"/>
      <c r="CY45"/>
      <c r="CZ45"/>
    </row>
    <row r="46" spans="1:111">
      <c r="A46" s="1113" t="str">
        <f>"Planlagt arbejdstid efter ovennstående "&amp;A7&amp;" måned kalender"</f>
        <v>Planlagt arbejdstid efter ovennstående April måned kalender</v>
      </c>
      <c r="B46" s="1114"/>
      <c r="C46" s="1114"/>
      <c r="D46" s="1114"/>
      <c r="E46" s="1114"/>
      <c r="F46" s="1114"/>
      <c r="G46" s="1114"/>
      <c r="H46" s="866">
        <f>D52+D53+D54+D55+D56+D57+D58</f>
        <v>14</v>
      </c>
      <c r="I46" s="1115">
        <f>N39+R39-J55</f>
        <v>113.5</v>
      </c>
      <c r="J46" s="1116"/>
      <c r="K46" s="1117"/>
      <c r="L46" s="678"/>
      <c r="M46" s="1157" t="s">
        <v>345</v>
      </c>
      <c r="N46" s="1158"/>
      <c r="O46" s="1158"/>
      <c r="P46" s="1158"/>
      <c r="Q46" s="1158"/>
      <c r="R46" s="1158"/>
      <c r="S46" s="1158"/>
      <c r="T46" s="1158"/>
      <c r="U46" s="1158"/>
      <c r="V46" s="1158"/>
      <c r="W46" s="1158"/>
      <c r="X46" s="1159"/>
      <c r="Y46" s="437"/>
      <c r="Z46" s="437"/>
      <c r="AD46" s="124"/>
      <c r="AE46" s="124"/>
      <c r="AZ46" s="436"/>
      <c r="BM46" s="1"/>
      <c r="CJ46" s="1"/>
      <c r="CU46" s="455"/>
      <c r="CV46" s="455"/>
      <c r="CY46"/>
      <c r="CZ46"/>
    </row>
    <row r="47" spans="1:111">
      <c r="A47" s="1121" t="s">
        <v>574</v>
      </c>
      <c r="B47" s="1122"/>
      <c r="C47" s="1122"/>
      <c r="D47" s="1122"/>
      <c r="E47" s="1122"/>
      <c r="F47" s="1122"/>
      <c r="G47" s="1122"/>
      <c r="H47" s="1123"/>
      <c r="I47" s="1118">
        <f>(M59+M61+M69+M71+M65+M66+M70)*-1</f>
        <v>0</v>
      </c>
      <c r="J47" s="1119"/>
      <c r="K47" s="1120"/>
      <c r="L47" s="679"/>
      <c r="M47" s="1160" t="s">
        <v>633</v>
      </c>
      <c r="N47" s="1161"/>
      <c r="O47" s="1161"/>
      <c r="P47" s="1161"/>
      <c r="Q47" s="1161"/>
      <c r="R47" s="1161"/>
      <c r="S47" s="1161"/>
      <c r="T47" s="1161"/>
      <c r="U47" s="1161"/>
      <c r="V47" s="1162" t="s">
        <v>264</v>
      </c>
      <c r="W47" s="1162"/>
      <c r="X47" s="1163"/>
      <c r="Y47" s="437"/>
      <c r="Z47" s="437"/>
      <c r="AD47" s="124"/>
      <c r="AE47" s="124"/>
      <c r="AZ47" s="436"/>
      <c r="BM47" s="1"/>
      <c r="CJ47" s="1"/>
      <c r="CU47" s="455"/>
      <c r="CV47" s="455"/>
      <c r="CY47"/>
      <c r="CZ47"/>
    </row>
    <row r="48" spans="1:111">
      <c r="A48" s="1126" t="str">
        <f>"Arbejde særligt planlagt for "&amp;A7&amp;" måned efter fanen skemaoplysninger"</f>
        <v>Arbejde særligt planlagt for April måned efter fanen skemaoplysninger</v>
      </c>
      <c r="B48" s="1127"/>
      <c r="C48" s="1127"/>
      <c r="D48" s="1127"/>
      <c r="E48" s="1127"/>
      <c r="F48" s="1127"/>
      <c r="G48" s="1127"/>
      <c r="H48" s="1128"/>
      <c r="I48" s="1116">
        <f>Skemaoplysninger!S67</f>
        <v>0</v>
      </c>
      <c r="J48" s="1124"/>
      <c r="K48" s="1125"/>
      <c r="L48" s="439"/>
      <c r="M48" s="1147"/>
      <c r="N48" s="1148"/>
      <c r="O48" s="1148"/>
      <c r="P48" s="1148"/>
      <c r="Q48" s="1148"/>
      <c r="R48" s="1148"/>
      <c r="S48" s="1148"/>
      <c r="T48" s="1148"/>
      <c r="U48" s="1148"/>
      <c r="V48" s="1149"/>
      <c r="W48" s="1149"/>
      <c r="X48" s="1150"/>
      <c r="Y48"/>
      <c r="Z48" s="437"/>
      <c r="AA48" s="437"/>
      <c r="AB48" s="436"/>
      <c r="AD48" s="436"/>
      <c r="AG48" s="124"/>
      <c r="AH48" s="124"/>
      <c r="BA48" s="437"/>
      <c r="BB48" s="436"/>
      <c r="BO48" s="1"/>
      <c r="CL48" s="1"/>
      <c r="CV48" s="455"/>
      <c r="CW48" s="455"/>
      <c r="CY48"/>
      <c r="CZ48"/>
    </row>
    <row r="49" spans="1:109">
      <c r="A49" s="1142" t="s">
        <v>342</v>
      </c>
      <c r="B49" s="1143"/>
      <c r="C49" s="1143"/>
      <c r="D49" s="1143"/>
      <c r="E49" s="1143"/>
      <c r="F49" s="1143"/>
      <c r="G49" s="1143"/>
      <c r="H49" s="1143"/>
      <c r="I49" s="1194">
        <f>V39+X39-N56</f>
        <v>0</v>
      </c>
      <c r="J49" s="1118"/>
      <c r="K49" s="1195"/>
      <c r="L49" s="439"/>
      <c r="M49" s="1147"/>
      <c r="N49" s="1148"/>
      <c r="O49" s="1148"/>
      <c r="P49" s="1148"/>
      <c r="Q49" s="1148"/>
      <c r="R49" s="1148"/>
      <c r="S49" s="1148"/>
      <c r="T49" s="1148"/>
      <c r="U49" s="1148"/>
      <c r="V49" s="1149"/>
      <c r="W49" s="1149"/>
      <c r="X49" s="1150"/>
      <c r="Y49"/>
      <c r="Z49" s="437"/>
      <c r="AA49" s="437"/>
      <c r="AE49" s="124"/>
      <c r="AG49" s="124"/>
      <c r="BA49" s="436"/>
      <c r="BN49" s="1"/>
      <c r="CK49" s="1"/>
      <c r="CV49" s="455"/>
      <c r="CW49" s="455"/>
      <c r="CY49"/>
      <c r="CZ49"/>
    </row>
    <row r="50" spans="1:109" ht="17" thickBot="1">
      <c r="A50" s="471" t="str">
        <f>"Faktisk arbejdstid ialt i "&amp;A7&amp;" måned"</f>
        <v>Faktisk arbejdstid ialt i April måned</v>
      </c>
      <c r="B50" s="553"/>
      <c r="C50" s="554"/>
      <c r="D50" s="554"/>
      <c r="E50" s="554"/>
      <c r="F50" s="554"/>
      <c r="G50" s="554"/>
      <c r="H50" s="555"/>
      <c r="I50" s="1129">
        <f>I46+I49+I48+I47</f>
        <v>113.5</v>
      </c>
      <c r="J50" s="1130"/>
      <c r="K50" s="1131"/>
      <c r="L50" s="439"/>
      <c r="M50" s="1147"/>
      <c r="N50" s="1148"/>
      <c r="O50" s="1148"/>
      <c r="P50" s="1148"/>
      <c r="Q50" s="1148"/>
      <c r="R50" s="1148"/>
      <c r="S50" s="1148"/>
      <c r="T50" s="1148"/>
      <c r="U50" s="1148"/>
      <c r="V50" s="1149"/>
      <c r="W50" s="1149"/>
      <c r="X50" s="1150"/>
      <c r="Y50" s="437"/>
      <c r="Z50" s="437"/>
      <c r="AA50" s="387"/>
      <c r="AB50" s="454"/>
      <c r="AC50" s="454"/>
      <c r="AD50" s="454"/>
      <c r="AE50" s="437"/>
      <c r="AF50" s="454"/>
      <c r="AH50" s="437"/>
      <c r="AI50" s="437"/>
      <c r="AM50" s="124"/>
      <c r="AN50" s="124"/>
      <c r="BH50" s="436"/>
      <c r="BU50" s="1"/>
      <c r="CR50" s="1"/>
      <c r="CY50"/>
      <c r="CZ50"/>
      <c r="DC50" s="455"/>
      <c r="DD50" s="455"/>
    </row>
    <row r="51" spans="1:109">
      <c r="A51" s="761"/>
      <c r="B51" s="761"/>
      <c r="C51" s="761"/>
      <c r="D51" s="761"/>
      <c r="E51" s="761"/>
      <c r="F51" s="761"/>
      <c r="G51" s="761"/>
      <c r="H51" s="780"/>
      <c r="I51" s="459"/>
      <c r="J51" s="459"/>
      <c r="K51" s="473" t="s">
        <v>343</v>
      </c>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683" t="s">
        <v>241</v>
      </c>
      <c r="B52" s="689"/>
      <c r="C52" s="689"/>
      <c r="D52" s="683">
        <f>COUNTIF([0]!April,"Skema 1")</f>
        <v>0</v>
      </c>
      <c r="E52" s="690"/>
      <c r="F52" s="576" t="s">
        <v>221</v>
      </c>
      <c r="G52" s="576">
        <f>COUNTIFS($B$9:$B$38,"ma",[0]!April,"Skema 1")</f>
        <v>0</v>
      </c>
      <c r="H52" s="576"/>
      <c r="I52" s="576"/>
      <c r="J52" s="579"/>
      <c r="K52" s="581"/>
      <c r="L52" s="581"/>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1188" t="s">
        <v>242</v>
      </c>
      <c r="B53" s="1188"/>
      <c r="C53" s="1188"/>
      <c r="D53" s="683">
        <f>COUNTIF([0]!April,"Skema 2")</f>
        <v>12</v>
      </c>
      <c r="E53" s="690"/>
      <c r="F53" s="576" t="s">
        <v>222</v>
      </c>
      <c r="G53" s="576">
        <f>COUNTIFS($B$9:$B$38,"ti",[0]!April,"Skema 1")</f>
        <v>0</v>
      </c>
      <c r="H53" s="576"/>
      <c r="I53" s="576"/>
      <c r="J53" s="579"/>
      <c r="K53" s="581"/>
      <c r="L53" s="5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ht="17" thickBot="1">
      <c r="A54" s="1188" t="s">
        <v>243</v>
      </c>
      <c r="B54" s="1188"/>
      <c r="C54" s="1188"/>
      <c r="D54" s="683">
        <f>COUNTIF([0]!April,"Skema 3")</f>
        <v>0</v>
      </c>
      <c r="E54" s="690"/>
      <c r="F54" s="576" t="s">
        <v>223</v>
      </c>
      <c r="G54" s="576">
        <f>COUNTIFS($B$9:$B$38,"on",[0]!April,"Skema 1")</f>
        <v>0</v>
      </c>
      <c r="H54" s="576"/>
      <c r="I54" s="576"/>
      <c r="J54" s="579"/>
      <c r="K54" s="581"/>
      <c r="L54" s="768"/>
      <c r="M54" s="1151" t="s">
        <v>346</v>
      </c>
      <c r="N54" s="1152"/>
      <c r="O54" s="1152"/>
      <c r="P54" s="1152"/>
      <c r="Q54" s="1152"/>
      <c r="R54" s="1152"/>
      <c r="S54" s="1152"/>
      <c r="T54" s="1152"/>
      <c r="U54" s="1153"/>
      <c r="V54" s="1154">
        <f>V45-SUM(V48:W53)</f>
        <v>9</v>
      </c>
      <c r="W54" s="1155"/>
      <c r="X54" s="1156"/>
      <c r="Y54" s="437"/>
      <c r="Z54" s="437"/>
      <c r="AA54" s="387"/>
      <c r="AB54" s="454"/>
      <c r="AC54" s="454"/>
      <c r="AD54" s="454"/>
      <c r="AE54" s="437"/>
      <c r="AF54" s="454"/>
      <c r="AH54" s="437"/>
      <c r="AI54" s="437"/>
      <c r="AM54" s="124"/>
      <c r="AN54" s="124"/>
      <c r="BH54" s="436"/>
      <c r="BU54" s="1"/>
      <c r="CR54" s="1"/>
      <c r="CY54"/>
      <c r="CZ54"/>
      <c r="DC54" s="455"/>
      <c r="DD54" s="455"/>
    </row>
    <row r="55" spans="1:109" hidden="1">
      <c r="A55" s="1188" t="s">
        <v>244</v>
      </c>
      <c r="B55" s="1188"/>
      <c r="C55" s="1188"/>
      <c r="D55" s="683">
        <f>COUNTIF([0]!April,"Skema 4")</f>
        <v>0</v>
      </c>
      <c r="E55" s="690"/>
      <c r="F55" s="576" t="s">
        <v>225</v>
      </c>
      <c r="G55" s="576">
        <f>COUNTIFS($B$9:$B$38,"to",[0]!April,"Skema 1")</f>
        <v>0</v>
      </c>
      <c r="H55" s="576"/>
      <c r="I55" s="883" t="s">
        <v>618</v>
      </c>
      <c r="J55" s="88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55" s="769"/>
      <c r="L55" s="768"/>
      <c r="M55" s="761" t="s">
        <v>378</v>
      </c>
      <c r="N55" s="761" t="s">
        <v>482</v>
      </c>
      <c r="O55" s="465"/>
      <c r="P55" s="465"/>
      <c r="Q55" s="465"/>
      <c r="R55" s="465"/>
      <c r="S55" s="465"/>
      <c r="T55" s="465"/>
      <c r="U55" s="465"/>
      <c r="V55" s="465"/>
      <c r="W55" s="465"/>
      <c r="X55" s="465"/>
      <c r="Y55" s="437"/>
      <c r="Z55" s="437"/>
      <c r="AA55" s="437"/>
      <c r="AB55" s="387"/>
      <c r="AC55" s="454"/>
      <c r="AD55" s="454"/>
      <c r="AE55" s="454"/>
      <c r="AF55" s="454"/>
      <c r="AG55" s="437"/>
      <c r="AI55" s="437"/>
      <c r="AJ55" s="437"/>
      <c r="AN55" s="124"/>
      <c r="AO55" s="124"/>
      <c r="BI55" s="436"/>
      <c r="BV55" s="1"/>
      <c r="CS55" s="1"/>
      <c r="CY55"/>
      <c r="CZ55"/>
      <c r="DD55" s="455"/>
      <c r="DE55" s="455"/>
    </row>
    <row r="56" spans="1:109" hidden="1">
      <c r="A56" s="683" t="s">
        <v>117</v>
      </c>
      <c r="B56" s="683"/>
      <c r="C56" s="683"/>
      <c r="D56" s="683">
        <f>COUNTIF([0]!April,"Fagdag")+COUNTIF([0]!April,"emnedag")</f>
        <v>2</v>
      </c>
      <c r="E56" s="690"/>
      <c r="F56" s="576" t="s">
        <v>224</v>
      </c>
      <c r="G56" s="576">
        <f>COUNTIFS($B$9:$B$38,"fr",[0]!April,"Skema 1")</f>
        <v>0</v>
      </c>
      <c r="H56" s="576"/>
      <c r="I56" s="578" t="s">
        <v>380</v>
      </c>
      <c r="J56" s="579"/>
      <c r="K56" s="768"/>
      <c r="L56" s="769"/>
      <c r="M56" s="754">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56" s="754">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56" s="754"/>
      <c r="P56" s="581"/>
      <c r="Q56" s="757" t="s">
        <v>382</v>
      </c>
      <c r="R56" s="459"/>
      <c r="S56" s="459"/>
      <c r="T56" s="459" t="s">
        <v>383</v>
      </c>
      <c r="U56" s="459"/>
      <c r="V56" s="459"/>
      <c r="W56" s="582"/>
      <c r="X56" s="582"/>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91" t="s">
        <v>116</v>
      </c>
      <c r="B57" s="683"/>
      <c r="C57" s="683"/>
      <c r="D57" s="683">
        <f>COUNTIF([0]!April,"Lejrskole")+COUNTIF([0]!April,"Ekskursion")</f>
        <v>0</v>
      </c>
      <c r="E57" s="690"/>
      <c r="F57" s="576"/>
      <c r="G57" s="576"/>
      <c r="H57" s="576"/>
      <c r="I57" s="578" t="s">
        <v>394</v>
      </c>
      <c r="J57" s="579"/>
      <c r="K57" s="768"/>
      <c r="L57" s="769"/>
      <c r="M57" s="754">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57" s="754">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57" s="755">
        <v>0.5</v>
      </c>
      <c r="P57" s="581"/>
      <c r="Q57" s="757" t="s">
        <v>379</v>
      </c>
      <c r="R57" s="459"/>
      <c r="S57" s="459"/>
      <c r="T57" s="459"/>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83" t="s">
        <v>115</v>
      </c>
      <c r="B58" s="683"/>
      <c r="C58" s="683"/>
      <c r="D58" s="683">
        <f>COUNTIF([0]!April,"Pæd.dag")</f>
        <v>0</v>
      </c>
      <c r="E58" s="690"/>
      <c r="F58" s="576" t="s">
        <v>226</v>
      </c>
      <c r="G58" s="576">
        <f>COUNTIFS($B$9:$B$38,"ma",[0]!April,"Skema 2")</f>
        <v>2</v>
      </c>
      <c r="H58" s="576"/>
      <c r="I58" s="576" t="s">
        <v>393</v>
      </c>
      <c r="J58" s="579"/>
      <c r="K58" s="769"/>
      <c r="L58" s="769"/>
      <c r="M58" s="754">
        <f>SUM(M56:M57)</f>
        <v>0</v>
      </c>
      <c r="N58" s="754">
        <f>SUM(N56:N57)</f>
        <v>0</v>
      </c>
      <c r="O58" s="756">
        <f>(M58+N58)/2</f>
        <v>0</v>
      </c>
      <c r="P58" s="581">
        <f>SUM(M58:O58)</f>
        <v>0</v>
      </c>
      <c r="Q58" s="757">
        <f>(M58+N58)*25%</f>
        <v>0</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138</v>
      </c>
      <c r="B59" s="683"/>
      <c r="C59" s="683"/>
      <c r="D59" s="683">
        <f>COUNTIF([0]!April,"Weekend")</f>
        <v>10</v>
      </c>
      <c r="E59" s="690"/>
      <c r="F59" s="576" t="s">
        <v>227</v>
      </c>
      <c r="G59" s="576">
        <f>COUNTIFS($B$9:$B$38,"ti",[0]!April,"Skema 2")</f>
        <v>2</v>
      </c>
      <c r="H59" s="576"/>
      <c r="I59" s="576" t="s">
        <v>564</v>
      </c>
      <c r="J59" s="856"/>
      <c r="K59" s="857"/>
      <c r="L59" s="857"/>
      <c r="M59" s="858">
        <f>IF(Stamoplysninger!$B$26="Weekendtimer og weekendtillæg afspadseres.",M56,0)</f>
        <v>0</v>
      </c>
      <c r="N59" s="858">
        <f>IF(Stamoplysninger!$B$26="Weekendtimer og weekendtillæg afspadseres.",N56,0)</f>
        <v>0</v>
      </c>
      <c r="O59" s="754"/>
      <c r="P59" s="581"/>
      <c r="Q59" s="757" t="s">
        <v>384</v>
      </c>
      <c r="R59" s="459"/>
      <c r="S59" s="459">
        <f>IF(Stamoplysninger!B22="Ulempetillæg afspadseres med 25%(Kræver en aftale imellem ledelsen og den ansatte)",Q58,0)</f>
        <v>0</v>
      </c>
      <c r="T59" s="459">
        <f>IF(Stamoplysninger!B22="Ulempetillæg afspadseres med 25%(Kræver en aftale imellem ledelsen og den ansatte)",(R39+X39)*0.25,0)</f>
        <v>0</v>
      </c>
      <c r="U59" s="459"/>
      <c r="V59" s="459"/>
      <c r="W59" s="582"/>
      <c r="X59" s="582"/>
      <c r="Y59" s="436"/>
      <c r="Z59"/>
      <c r="AM59" s="1"/>
      <c r="BJ59" s="1"/>
      <c r="BU59" s="455"/>
      <c r="BV59" s="455"/>
      <c r="CY59"/>
      <c r="CZ59"/>
    </row>
    <row r="60" spans="1:109" hidden="1">
      <c r="A60" s="683" t="s">
        <v>146</v>
      </c>
      <c r="B60" s="683"/>
      <c r="C60" s="683"/>
      <c r="D60" s="683">
        <f>COUNTIF([0]!April,"SH-dag")</f>
        <v>3</v>
      </c>
      <c r="E60" s="690"/>
      <c r="F60" s="576" t="s">
        <v>228</v>
      </c>
      <c r="G60" s="576">
        <f>COUNTIFS($B$9:$B$38,"on",[0]!April,"Skema 2")</f>
        <v>2</v>
      </c>
      <c r="H60" s="576"/>
      <c r="I60" s="854" t="s">
        <v>565</v>
      </c>
      <c r="J60" s="864"/>
      <c r="K60" s="864"/>
      <c r="L60" s="864"/>
      <c r="M60" s="858">
        <f>IF(Stamoplysninger!$B$26="Weekendtimer og weekendtillæg afspadseres.",O58,0)</f>
        <v>0</v>
      </c>
      <c r="N60" s="858">
        <f>IF(Stamoplysninger!$B$26="Weekendtimer og weekendtillæg afspadseres.",O58,0)</f>
        <v>0</v>
      </c>
      <c r="O60" s="754"/>
      <c r="P60" s="581"/>
      <c r="Q60" s="757" t="s">
        <v>381</v>
      </c>
      <c r="R60" s="459"/>
      <c r="S60" s="459">
        <f>IF(Stamoplysninger!B22="Ulempetillæg udbetales med 25% af nettotimelønnen.",Q58,0)</f>
        <v>0</v>
      </c>
      <c r="T60" s="459">
        <f>IF(Stamoplysninger!B22="Ulempetillæg udbetales med 25% af nettotimelønnen.",(R39+X39)*0.25,0)</f>
        <v>1.5</v>
      </c>
      <c r="U60" s="459"/>
      <c r="V60" s="459"/>
      <c r="W60" s="582"/>
      <c r="X60" s="582"/>
      <c r="Y60" s="436"/>
      <c r="Z60"/>
      <c r="AM60" s="1"/>
      <c r="BJ60" s="1"/>
      <c r="BU60" s="455"/>
      <c r="BV60" s="455"/>
      <c r="CY60"/>
      <c r="CZ60"/>
    </row>
    <row r="61" spans="1:109" hidden="1">
      <c r="A61" s="683" t="s">
        <v>114</v>
      </c>
      <c r="B61" s="683"/>
      <c r="C61" s="683"/>
      <c r="D61" s="683">
        <f>COUNTIF([0]!April,"Feriedag")</f>
        <v>0</v>
      </c>
      <c r="E61" s="690"/>
      <c r="F61" s="576" t="s">
        <v>229</v>
      </c>
      <c r="G61" s="576">
        <f>COUNTIFS($B$9:$B$38,"to",[0]!April,"Skema 2")</f>
        <v>3</v>
      </c>
      <c r="H61" s="576"/>
      <c r="I61" s="854" t="s">
        <v>566</v>
      </c>
      <c r="J61" s="865"/>
      <c r="K61" s="865"/>
      <c r="L61" s="865"/>
      <c r="M61" s="859">
        <f>IF(Stamoplysninger!$B$26="Weekendtimer og weekendtillæg udbetales.",M56,0)</f>
        <v>0</v>
      </c>
      <c r="N61" s="859">
        <f>IF(Stamoplysninger!$B$26="Weekendtimer og weekendtillæg udbetales.",N56,0)</f>
        <v>0</v>
      </c>
      <c r="O61" s="754"/>
      <c r="P61" s="581"/>
      <c r="Q61" s="757"/>
      <c r="R61" s="459"/>
      <c r="S61" s="459"/>
      <c r="T61" s="459"/>
      <c r="U61" s="459"/>
      <c r="V61" s="459"/>
      <c r="W61" s="582"/>
      <c r="X61" s="582"/>
      <c r="Y61" s="436"/>
      <c r="Z61"/>
      <c r="AM61" s="1"/>
      <c r="BJ61" s="1"/>
      <c r="BU61" s="455"/>
      <c r="BV61" s="455"/>
      <c r="CY61"/>
      <c r="CZ61"/>
    </row>
    <row r="62" spans="1:109" hidden="1">
      <c r="A62" s="683" t="s">
        <v>210</v>
      </c>
      <c r="B62" s="683"/>
      <c r="C62" s="683"/>
      <c r="D62" s="683">
        <f>COUNTIF([0]!April,"Nul-dag")</f>
        <v>3</v>
      </c>
      <c r="E62" s="690"/>
      <c r="F62" s="576" t="s">
        <v>230</v>
      </c>
      <c r="G62" s="576">
        <f>COUNTIFS($B$9:$B$38,"fr",[0]!April,"Skema 2")</f>
        <v>3</v>
      </c>
      <c r="H62" s="576"/>
      <c r="I62" s="854" t="s">
        <v>567</v>
      </c>
      <c r="J62" s="865"/>
      <c r="K62" s="865"/>
      <c r="L62" s="865"/>
      <c r="M62" s="859">
        <f>IF(Stamoplysninger!$B$26="Weekendtimer og weekendtillæg udbetales.",O58,0)</f>
        <v>0</v>
      </c>
      <c r="N62" s="859">
        <f>IF(Stamoplysninger!$B$26="Weekendtimer og weekendtillæg udbetales.",O58,0)</f>
        <v>0</v>
      </c>
      <c r="O62" s="754"/>
      <c r="P62" s="581"/>
      <c r="Q62" s="757"/>
      <c r="R62" s="459"/>
      <c r="S62" s="459"/>
      <c r="T62" s="459"/>
      <c r="U62" s="459"/>
      <c r="V62" s="459"/>
      <c r="W62" s="582"/>
      <c r="X62" s="582"/>
      <c r="Y62" s="436"/>
      <c r="Z62"/>
      <c r="AM62" s="1"/>
      <c r="BJ62" s="1"/>
      <c r="BU62" s="455"/>
      <c r="BV62" s="455"/>
      <c r="CY62"/>
      <c r="CZ62"/>
    </row>
    <row r="63" spans="1:109" hidden="1">
      <c r="A63" s="841" t="s">
        <v>505</v>
      </c>
      <c r="B63" s="683"/>
      <c r="C63" s="683"/>
      <c r="D63" s="683">
        <f>COUNTIF([0]!April,"Orlov")</f>
        <v>0</v>
      </c>
      <c r="E63" s="690"/>
      <c r="F63" s="692"/>
      <c r="G63" s="692"/>
      <c r="H63" s="692"/>
      <c r="I63" s="854" t="s">
        <v>385</v>
      </c>
      <c r="J63" s="861"/>
      <c r="K63" s="861"/>
      <c r="L63" s="861"/>
      <c r="M63" s="860">
        <f>IF(Stamoplysninger!$B$26="Der er indgået lokalaftale omkring weekendtimer.(Kræver aftale med TR/FSL) Weekendtillæg afspadseres.",O58,0)</f>
        <v>0</v>
      </c>
      <c r="N63" s="860">
        <f>IF(Stamoplysninger!$B$26="Der er indgået lokalaftale omkring weekendtimer.(Kræver aftale med TR/FSL) Weekendtillæg afspadseres.",N56,0)</f>
        <v>0</v>
      </c>
      <c r="O63" s="754"/>
      <c r="P63" s="581"/>
      <c r="Q63" s="757"/>
      <c r="R63" s="459"/>
      <c r="S63" s="459"/>
      <c r="T63" s="459"/>
      <c r="U63" s="459"/>
      <c r="V63" s="459"/>
      <c r="W63" s="582"/>
      <c r="X63" s="582"/>
      <c r="Y63"/>
      <c r="Z63"/>
      <c r="AM63" s="1"/>
      <c r="BJ63" s="1"/>
      <c r="BU63" s="455"/>
      <c r="BV63" s="455"/>
      <c r="CY63"/>
      <c r="CZ63"/>
    </row>
    <row r="64" spans="1:109" hidden="1">
      <c r="A64" s="683" t="s">
        <v>185</v>
      </c>
      <c r="B64" s="683"/>
      <c r="C64" s="683"/>
      <c r="D64" s="683">
        <f>COUNTIF([0]!April,"Ikke relevant")</f>
        <v>0</v>
      </c>
      <c r="E64" s="690"/>
      <c r="F64" s="576" t="s">
        <v>231</v>
      </c>
      <c r="G64" s="576">
        <f>COUNTIFS($B$9:$B$38,"ma",[0]!April,"Skema 3")</f>
        <v>0</v>
      </c>
      <c r="H64" s="576">
        <v>1</v>
      </c>
      <c r="I64" s="854" t="s">
        <v>386</v>
      </c>
      <c r="J64" s="861"/>
      <c r="K64" s="861"/>
      <c r="L64" s="861"/>
      <c r="M64" s="860">
        <f>IF(Stamoplysninger!$B$26="Der er indgået lokalaftale omkring weekendtimer(Kræver aftale med TR/FSL). Weekendtillæg udbetales.",O58,0)</f>
        <v>0</v>
      </c>
      <c r="N64" s="860">
        <f>IF(Stamoplysninger!$B$26="Der er indgået lokalaftale omkring weekendtimer(Kræver aftale med TR/FSL). Weekendtillæg udbetales.",N56,0)</f>
        <v>0</v>
      </c>
      <c r="O64" s="754"/>
      <c r="P64" s="581"/>
      <c r="Q64" s="757"/>
      <c r="R64" s="459"/>
      <c r="S64" s="459"/>
      <c r="T64" s="459"/>
      <c r="U64" s="459"/>
      <c r="V64" s="459"/>
      <c r="W64" s="582"/>
      <c r="X64" s="582"/>
      <c r="Y64" s="681">
        <f>IF(Stamoplysninger!B26="Der er indgået lokalaftale omkring weekendtillæg. Weekendtimerne udbetales.",April!#REF!,0)</f>
        <v>0</v>
      </c>
      <c r="Z64" s="681"/>
      <c r="AA64" s="681"/>
      <c r="AB64" s="682"/>
      <c r="AC64" s="683"/>
      <c r="AD64" s="683"/>
      <c r="AE64" s="459"/>
      <c r="AG64" s="459"/>
      <c r="AH64" s="459"/>
      <c r="AI64" s="459"/>
      <c r="AJ64" s="582"/>
      <c r="AK64" s="582"/>
      <c r="BA64" s="1"/>
      <c r="BX64" s="1"/>
      <c r="CI64" s="455"/>
      <c r="CJ64" s="455"/>
      <c r="CY64"/>
      <c r="CZ64"/>
    </row>
    <row r="65" spans="1:104" hidden="1">
      <c r="A65" s="683" t="s">
        <v>113</v>
      </c>
      <c r="B65" s="683"/>
      <c r="C65" s="683"/>
      <c r="D65" s="693">
        <f>SUM(D52:D64)</f>
        <v>30</v>
      </c>
      <c r="E65" s="693"/>
      <c r="F65" s="576" t="s">
        <v>232</v>
      </c>
      <c r="G65" s="576">
        <f>COUNTIFS($B$9:$B$38,"ti",[0]!April,"Skema 3")</f>
        <v>0</v>
      </c>
      <c r="H65" s="576">
        <v>2</v>
      </c>
      <c r="I65" s="854" t="s">
        <v>569</v>
      </c>
      <c r="J65" s="861"/>
      <c r="K65" s="861"/>
      <c r="L65" s="861"/>
      <c r="M65" s="860">
        <f>IF(Stamoplysninger!$B$26="Der er indgået lokalaftale omkring weekendtimer.(Kræver aftale med TR/FSL) Weekendtillæg afspadseres.",M56,0)</f>
        <v>0</v>
      </c>
      <c r="N65" s="860">
        <f>IF(Stamoplysninger!$B$26="Der er indgået lokalaftale omkring weekendtimer.(Kræver aftale med TR/FSL) Weekendtillæg afspadseres.",O58,0)</f>
        <v>0</v>
      </c>
      <c r="O65" s="45"/>
      <c r="P65" s="45"/>
      <c r="Q65" s="45"/>
      <c r="R65" s="45"/>
      <c r="S65" s="45"/>
      <c r="T65" s="45"/>
      <c r="U65" s="580"/>
      <c r="V65" s="180"/>
      <c r="W65" s="580"/>
      <c r="X65" s="580"/>
      <c r="Y65"/>
      <c r="Z65"/>
      <c r="AO65" s="1"/>
      <c r="BL65" s="1"/>
      <c r="BW65" s="455"/>
      <c r="BX65" s="455"/>
      <c r="CY65"/>
      <c r="CZ65"/>
    </row>
    <row r="66" spans="1:104" hidden="1">
      <c r="A66" s="683" t="s">
        <v>282</v>
      </c>
      <c r="B66" s="683"/>
      <c r="C66" s="683"/>
      <c r="D66" s="693">
        <f>D65-D59-A75-D64</f>
        <v>20</v>
      </c>
      <c r="E66" s="695"/>
      <c r="F66" s="576" t="s">
        <v>233</v>
      </c>
      <c r="G66" s="576">
        <f>COUNTIFS($B$9:$B$38,"on",[0]!April,"Skema 3")</f>
        <v>0</v>
      </c>
      <c r="H66" s="576"/>
      <c r="I66" s="854" t="s">
        <v>570</v>
      </c>
      <c r="J66" s="861"/>
      <c r="K66" s="861"/>
      <c r="L66" s="861"/>
      <c r="M66" s="860">
        <f>IF(Stamoplysninger!$B$26="Der er indgået lokalaftale omkring weekendtimer(Kræver aftale med TR/FSL). Weekendtillæg udbetales.",M56,0)</f>
        <v>0</v>
      </c>
      <c r="N66" s="860">
        <f>IF(Stamoplysninger!$B$26="Der er indgået lokalaftale omkring weekendtimer(Kræver aftale med TR/FSL). Weekendtillæg udbetales.",O58,0)</f>
        <v>0</v>
      </c>
      <c r="O66" s="580"/>
      <c r="P66" s="580"/>
      <c r="Q66" s="580"/>
      <c r="R66" s="580"/>
      <c r="S66" s="580"/>
      <c r="T66" s="580"/>
      <c r="U66" s="580"/>
      <c r="V66" s="580"/>
      <c r="W66" s="580"/>
      <c r="X66" s="580"/>
      <c r="Y66"/>
      <c r="Z66"/>
      <c r="AO66" s="1"/>
      <c r="BL66" s="1"/>
      <c r="BW66" s="455"/>
      <c r="BX66" s="455"/>
      <c r="CY66"/>
      <c r="CZ66"/>
    </row>
    <row r="67" spans="1:104" hidden="1">
      <c r="A67" s="576"/>
      <c r="B67" s="576"/>
      <c r="C67" s="576"/>
      <c r="D67" s="694"/>
      <c r="E67" s="576"/>
      <c r="F67" s="576" t="s">
        <v>234</v>
      </c>
      <c r="G67" s="576">
        <f>COUNTIFS($B$9:$B$38,"to",[0]!April,"Skema 3")</f>
        <v>0</v>
      </c>
      <c r="H67" s="576"/>
      <c r="I67" s="854" t="s">
        <v>387</v>
      </c>
      <c r="J67" s="863"/>
      <c r="K67" s="863"/>
      <c r="L67" s="863"/>
      <c r="M67" s="862">
        <f>IF(Stamoplysninger!$B$26="Der er indgået lokalaftale omkring weekendtillæg(Kræver aftale med TR/FSL). Weekendtimerne afspadseres.",M56,0)</f>
        <v>0</v>
      </c>
      <c r="N67" s="862">
        <f>IF(Stamoplysninger!$B$26="Der er indgået lokalaftale omkring weekendtillæg(Kræver aftale med TR/FSL). Weekendtimerne afspadseres.",N56,0)</f>
        <v>0</v>
      </c>
      <c r="O67" s="580"/>
      <c r="P67" s="580"/>
      <c r="Q67" s="580"/>
      <c r="R67" s="580"/>
      <c r="S67" s="580"/>
      <c r="T67" s="580"/>
      <c r="U67" s="580"/>
      <c r="V67" s="580"/>
      <c r="W67" s="580"/>
      <c r="X67" s="580"/>
      <c r="Y67"/>
      <c r="Z67"/>
      <c r="AO67" s="1"/>
      <c r="BL67" s="1"/>
      <c r="BW67" s="455"/>
      <c r="BX67" s="455"/>
      <c r="CY67"/>
      <c r="CZ67"/>
    </row>
    <row r="68" spans="1:104" hidden="1">
      <c r="A68" s="576"/>
      <c r="B68" s="576"/>
      <c r="C68" s="576"/>
      <c r="D68" s="694"/>
      <c r="E68" s="576"/>
      <c r="F68" s="576" t="s">
        <v>235</v>
      </c>
      <c r="G68" s="576">
        <f>COUNTIFS($B$9:$B$38,"fr",[0]!April,"Skema 3")</f>
        <v>0</v>
      </c>
      <c r="H68" s="576">
        <v>1</v>
      </c>
      <c r="I68" s="854" t="s">
        <v>388</v>
      </c>
      <c r="J68" s="863"/>
      <c r="K68" s="863"/>
      <c r="L68" s="863"/>
      <c r="M68" s="862">
        <f>IF(Stamoplysninger!$B$26="Der er indgået lokalaftale omkring weekendtillæg(Kræver aftale med TR/FSL). Weekendtimerne udbetales.",M56,0)</f>
        <v>0</v>
      </c>
      <c r="N68" s="862">
        <f>IF(Stamoplysninger!$B$26="Der er indgået lokalaftale omkring weekendtillæg(Kræver aftale med TR/FSL). Weekendtimerne udbetales.",N56,0)</f>
        <v>0</v>
      </c>
      <c r="O68" s="580"/>
      <c r="P68" s="580"/>
      <c r="Q68" s="580"/>
      <c r="R68" s="580"/>
      <c r="S68" s="580"/>
      <c r="T68" s="580"/>
      <c r="U68" s="580"/>
      <c r="V68" s="580"/>
      <c r="W68" s="580"/>
      <c r="X68" s="580"/>
      <c r="Y68"/>
      <c r="Z68"/>
      <c r="AO68" s="1"/>
      <c r="BL68" s="1"/>
      <c r="BW68" s="455"/>
      <c r="BX68" s="455"/>
      <c r="CY68"/>
      <c r="CZ68"/>
    </row>
    <row r="69" spans="1:104" hidden="1">
      <c r="A69" s="576" t="s">
        <v>344</v>
      </c>
      <c r="B69" s="576"/>
      <c r="C69" s="576"/>
      <c r="D69" s="694"/>
      <c r="E69" s="694"/>
      <c r="F69" s="576"/>
      <c r="G69" s="576"/>
      <c r="H69" s="576">
        <v>2</v>
      </c>
      <c r="I69" s="854" t="s">
        <v>571</v>
      </c>
      <c r="J69" s="863"/>
      <c r="K69" s="863"/>
      <c r="L69" s="863"/>
      <c r="M69" s="862">
        <f>IF(Stamoplysninger!$B$26="Der er indgået lokalaftale omkring weekendtillæg(Kræver aftale med TR/FSL). Weekendtimerne afspadseres.",M56,0)</f>
        <v>0</v>
      </c>
      <c r="N69" s="862">
        <f>IF(Stamoplysninger!$B$26="Der er indgået lokalaftale omkring weekendtillæg(Kræver aftale med TR/FSL). Weekendtimerne afspadseres.",N56,0)</f>
        <v>0</v>
      </c>
      <c r="O69" s="580"/>
      <c r="P69" s="580"/>
      <c r="Q69" s="580"/>
      <c r="R69" s="580"/>
      <c r="S69" s="580"/>
      <c r="T69" s="580"/>
      <c r="U69" s="580"/>
      <c r="V69" s="580"/>
      <c r="W69" s="580"/>
      <c r="X69" s="580"/>
      <c r="Y69"/>
      <c r="Z69"/>
      <c r="AO69" s="1"/>
      <c r="BL69" s="1"/>
      <c r="BW69" s="455"/>
      <c r="BX69" s="455"/>
      <c r="CY69"/>
      <c r="CZ69"/>
    </row>
    <row r="70" spans="1:104" hidden="1">
      <c r="A70" s="576">
        <f>COUNTIF($C$9:$C$10,"Skema 1")+COUNTIF($C$9:$C$10,"Skema 2")+COUNTIF($C$9:$C$10,"Skema 3")+COUNTIF($C$9:$C$10,"Skema 4")+COUNTIF($C$9:$C$10,"Fagdag")+COUNTIF($C$9:$C$10,"Emnedag")+COUNTIF($C$9:$C$10,"Lejrskole")+COUNTIF($C$9:$C$10,"Ekskursion")+COUNTIF($C$9:$C$10,"Pæd.dag")</f>
        <v>0</v>
      </c>
      <c r="B70" s="576"/>
      <c r="C70" s="576"/>
      <c r="D70" s="576"/>
      <c r="E70" s="694"/>
      <c r="F70" s="576" t="s">
        <v>236</v>
      </c>
      <c r="G70" s="576">
        <f>COUNTIFS($B$9:$B$38,"ma",[0]!April,"Skema 4")</f>
        <v>0</v>
      </c>
      <c r="H70" s="576"/>
      <c r="I70" s="854" t="s">
        <v>572</v>
      </c>
      <c r="J70" s="863"/>
      <c r="K70" s="863"/>
      <c r="L70" s="863"/>
      <c r="M70" s="862">
        <f>IF(Stamoplysninger!$B$26="Der er indgået lokalaftale omkring weekendtillæg(Kræver aftale med TR/FSL). Weekendtimerne udbetales.",M56,0)</f>
        <v>0</v>
      </c>
      <c r="N70" s="862">
        <f>IF(Stamoplysninger!$B$26="Der er indgået lokalaftale omkring weekendtillæg(Kræver aftale med TR/FSL). Weekendtimerne udbetales.",N56,0)</f>
        <v>0</v>
      </c>
      <c r="O70" s="580"/>
      <c r="P70" s="580"/>
      <c r="Q70" s="580"/>
      <c r="R70" s="580"/>
      <c r="S70" s="580"/>
      <c r="T70" s="580"/>
      <c r="U70" s="580"/>
      <c r="V70" s="580"/>
      <c r="W70" s="580"/>
      <c r="X70" s="580"/>
      <c r="Y70"/>
      <c r="Z70"/>
      <c r="AO70" s="1"/>
      <c r="BL70" s="1"/>
      <c r="BW70" s="455"/>
      <c r="BX70" s="455"/>
      <c r="CY70"/>
      <c r="CZ70"/>
    </row>
    <row r="71" spans="1:104" hidden="1">
      <c r="A71" s="576">
        <f>COUNTIF($C$16:$C$17,"Skema 1")+COUNTIF($C$16:$C$17,"Skema 2")+COUNTIF($C$16:$C$17,"Skema 3")+COUNTIF($C$16:$C$17,"Skema 4")+COUNTIF($C$16:$C$17,"Fagdag")+COUNTIF($C$16:$C$17,"Emnedag")+COUNTIF($C$16:$C$17,"Lejrskole")+COUNTIF($C$16:$C$17,"Ekskursion")+COUNTIF($C$16:$C$17,"Pæd.dag")</f>
        <v>0</v>
      </c>
      <c r="B71" s="576"/>
      <c r="C71" s="576"/>
      <c r="D71" s="576"/>
      <c r="E71" s="694"/>
      <c r="F71" s="576" t="s">
        <v>237</v>
      </c>
      <c r="G71" s="576">
        <f>COUNTIFS($B$9:$B$38,"ti",[0]!April,"Skema 4")</f>
        <v>0</v>
      </c>
      <c r="H71" s="576"/>
      <c r="I71" s="576" t="s">
        <v>568</v>
      </c>
      <c r="J71" s="769"/>
      <c r="K71" s="769"/>
      <c r="L71" s="769"/>
      <c r="M71" s="754">
        <f>IF(Stamoplysninger!$B$26="Der er indgået lokalaftale omkring weekendtimer og weekendtillæg.(Kræver aftale med TR/FSL).",M56,0)</f>
        <v>0</v>
      </c>
      <c r="N71" s="754"/>
      <c r="O71" s="580"/>
      <c r="P71" s="580"/>
      <c r="Q71" s="580"/>
      <c r="R71" s="580"/>
      <c r="S71" s="580"/>
      <c r="T71" s="580"/>
      <c r="V71" s="580"/>
      <c r="W71" s="580"/>
      <c r="X71" s="580"/>
      <c r="Y71"/>
      <c r="Z71"/>
      <c r="AO71" s="1"/>
      <c r="BL71" s="1"/>
      <c r="BW71" s="455"/>
      <c r="BX71" s="455"/>
      <c r="CY71"/>
      <c r="CZ71"/>
    </row>
    <row r="72" spans="1:104">
      <c r="A72" s="576">
        <f>COUNTIF($C$23:$C$24,"Skema 1")+COUNTIF($C$23:$C$24,"Skema 2")+COUNTIF($C$23:$C$24,"Skema 3")+COUNTIF($C$23:$C$24,"Skema 4")+COUNTIF($C$23:$C$24,"Fagdag")+COUNTIF($C$23:$C$24,"Emnedag")+COUNTIF($C$23:$C$24,"Lejrskole")+COUNTIF($C$23:$C$24,"Ekskursion")+COUNTIF($C$23:$C$24,"Pæd.dag")</f>
        <v>0</v>
      </c>
      <c r="B72" s="576"/>
      <c r="C72" s="576"/>
      <c r="D72" s="576"/>
      <c r="E72" s="694"/>
      <c r="F72" s="576" t="s">
        <v>238</v>
      </c>
      <c r="G72" s="576">
        <f>COUNTIFS($B$9:$B$38,"on",[0]!April,"Skema 4")</f>
        <v>0</v>
      </c>
      <c r="H72" s="576"/>
      <c r="I72" s="576"/>
      <c r="J72" s="769"/>
      <c r="K72" s="769"/>
      <c r="L72" s="769"/>
      <c r="S72" s="580"/>
      <c r="T72" s="580"/>
      <c r="U72" s="580"/>
      <c r="V72" s="580"/>
      <c r="W72" s="580"/>
      <c r="X72" s="580"/>
      <c r="Y72"/>
      <c r="Z72"/>
      <c r="AO72" s="1"/>
      <c r="BL72" s="1"/>
      <c r="BW72" s="455"/>
      <c r="BX72" s="455"/>
      <c r="CY72"/>
      <c r="CZ72"/>
    </row>
    <row r="73" spans="1:104">
      <c r="A73" s="576">
        <f>COUNTIF($C$30:$C$31,"Skema 1")+COUNTIF($C$30:$C$31,"Skema 2")+COUNTIF($C$30:$C$31,"Skema 3")+COUNTIF($C$30:$C$31,"Skema 4")+COUNTIF($C$30:$C$31,"Fagdag")+COUNTIF($C$30:$C$31,"Emnedag")+COUNTIF($C$30:$C$31,"Lejrskole")+COUNTIF($C$30:$C$31,"Ekskursion")+COUNTIF($C$30:$C$31,"Pæd.dag")</f>
        <v>0</v>
      </c>
      <c r="B73" s="576"/>
      <c r="C73" s="576"/>
      <c r="D73" s="576"/>
      <c r="E73" s="694"/>
      <c r="F73" s="576" t="s">
        <v>239</v>
      </c>
      <c r="G73" s="576">
        <f>COUNTIFS($B$9:$B$38,"to",[0]!April,"Skema 4")</f>
        <v>0</v>
      </c>
      <c r="H73" s="576"/>
      <c r="I73" s="576"/>
      <c r="J73" s="769"/>
      <c r="K73" s="769"/>
      <c r="L73" s="769"/>
      <c r="Y73"/>
      <c r="Z73"/>
      <c r="AO73" s="1">
        <f>SUM(N73:AN73)</f>
        <v>0</v>
      </c>
      <c r="BL73" s="1">
        <f>SUM(AI73:BK73)</f>
        <v>0</v>
      </c>
      <c r="BW73" s="455"/>
      <c r="BX73" s="455"/>
      <c r="CY73"/>
      <c r="CZ73"/>
    </row>
    <row r="74" spans="1:104">
      <c r="A74" s="576">
        <f>COUNTIF($C$37:$C$38,"Skema 1")+COUNTIF($C$37:$C$38,"Skema 2")+COUNTIF($C$37:$C$38,"Skema 3")+COUNTIF($C$37:$C$38,"Skema 4")+COUNTIF($C$37:$C$38,"Fagdag")+COUNTIF($C$37:$C$38,"Emnedag")+COUNTIF($C$37:$C$38,"Lejrskole")+COUNTIF($C$37:$C$38,"Ekskursion")+COUNTIF($C$37:$C$38,"Pæd.dag")</f>
        <v>0</v>
      </c>
      <c r="B74" s="576"/>
      <c r="C74" s="576"/>
      <c r="D74" s="576"/>
      <c r="E74" s="694"/>
      <c r="F74" s="576" t="s">
        <v>240</v>
      </c>
      <c r="G74" s="576">
        <f>COUNTIFS($B$9:$B$38,"fr",[0]!April,"Skema 4")</f>
        <v>0</v>
      </c>
      <c r="H74" s="576"/>
      <c r="I74" s="45"/>
      <c r="J74" s="769"/>
      <c r="K74" s="769"/>
      <c r="L74" s="769"/>
      <c r="Y74"/>
      <c r="Z74"/>
      <c r="AO74" s="1">
        <f>SUM(N74:AN74)</f>
        <v>0</v>
      </c>
      <c r="BL74" s="1">
        <f>SUM(AI74:BK74)</f>
        <v>0</v>
      </c>
      <c r="BW74" s="455"/>
      <c r="BX74" s="455"/>
      <c r="CY74"/>
      <c r="CZ74"/>
    </row>
    <row r="75" spans="1:104">
      <c r="A75" s="576">
        <f>SUM(A70:A74)</f>
        <v>0</v>
      </c>
      <c r="B75" s="576"/>
      <c r="C75" s="576"/>
      <c r="D75" s="576"/>
      <c r="E75" s="694"/>
      <c r="F75" s="694"/>
      <c r="G75" s="697">
        <f>SUM(G52:G74)</f>
        <v>12</v>
      </c>
      <c r="H75" s="696"/>
      <c r="I75" s="45"/>
      <c r="J75" s="769"/>
      <c r="K75" s="769"/>
      <c r="L75" s="769"/>
      <c r="Y75"/>
      <c r="Z75"/>
      <c r="AO75" s="1">
        <f>SUM(N75:AN75)</f>
        <v>0</v>
      </c>
      <c r="BL75" s="1">
        <f>SUM(AI75:BK75)</f>
        <v>0</v>
      </c>
      <c r="BW75" s="455"/>
      <c r="BX75" s="455"/>
      <c r="CY75"/>
      <c r="CZ75"/>
    </row>
    <row r="76" spans="1:104">
      <c r="A76" s="779"/>
      <c r="B76" s="779"/>
      <c r="C76" s="779"/>
      <c r="D76" s="779"/>
      <c r="E76" s="778"/>
      <c r="F76" s="778"/>
      <c r="G76" s="778"/>
      <c r="H76" s="779"/>
      <c r="I76" s="769"/>
      <c r="J76" s="769"/>
      <c r="K76" s="769"/>
      <c r="L76" s="769"/>
      <c r="Y76"/>
      <c r="Z76"/>
      <c r="AO76" s="1">
        <f>SUM(N76:AN76)</f>
        <v>0</v>
      </c>
      <c r="BL76" s="1">
        <f>SUM(AI76:BK76)</f>
        <v>0</v>
      </c>
      <c r="BW76" s="455"/>
      <c r="BX76" s="455"/>
      <c r="CY76"/>
      <c r="CZ76"/>
    </row>
    <row r="77" spans="1:104">
      <c r="A77" s="779"/>
      <c r="B77" s="779"/>
      <c r="C77" s="779"/>
      <c r="D77" s="779"/>
      <c r="E77" s="778"/>
      <c r="F77" s="778"/>
      <c r="G77" s="778"/>
      <c r="H77" s="779"/>
      <c r="I77" s="769"/>
      <c r="J77" s="769"/>
      <c r="K77" s="769"/>
      <c r="L77" s="769"/>
      <c r="Y77"/>
      <c r="Z77"/>
      <c r="BW77" s="455"/>
      <c r="BX77" s="455"/>
      <c r="CY77"/>
      <c r="CZ77"/>
    </row>
    <row r="78" spans="1:104">
      <c r="A78" s="779"/>
      <c r="B78" s="779"/>
      <c r="C78" s="779"/>
      <c r="D78" s="779"/>
      <c r="E78" s="778"/>
      <c r="F78" s="778"/>
      <c r="G78" s="778"/>
      <c r="H78" s="779"/>
      <c r="I78" s="769"/>
      <c r="J78" s="769"/>
      <c r="K78" s="769"/>
      <c r="L78" s="769"/>
      <c r="Y78"/>
      <c r="Z78"/>
      <c r="BW78" s="455"/>
      <c r="BX78" s="455"/>
      <c r="CY78"/>
      <c r="CZ78"/>
    </row>
    <row r="79" spans="1:104">
      <c r="A79" s="779"/>
      <c r="B79" s="779"/>
      <c r="C79" s="779"/>
      <c r="D79" s="779"/>
      <c r="E79" s="778"/>
      <c r="F79" s="778"/>
      <c r="G79" s="778"/>
      <c r="H79" s="779"/>
      <c r="I79" s="769"/>
      <c r="J79" s="769"/>
      <c r="K79" s="769"/>
      <c r="L79" s="769"/>
      <c r="Y79"/>
      <c r="Z79"/>
      <c r="BW79" s="455"/>
      <c r="BX79" s="455"/>
      <c r="CY79"/>
      <c r="CZ79"/>
    </row>
    <row r="80" spans="1:104">
      <c r="A80" s="779"/>
      <c r="B80" s="779"/>
      <c r="C80" s="779"/>
      <c r="D80" s="779"/>
      <c r="E80" s="583"/>
      <c r="F80" s="778"/>
      <c r="G80" s="778"/>
      <c r="H80" s="779"/>
      <c r="I80" s="769"/>
      <c r="J80" s="769"/>
      <c r="K80" s="769"/>
      <c r="L80" s="769"/>
      <c r="Y80"/>
      <c r="Z80"/>
      <c r="BW80" s="455"/>
      <c r="BX80" s="455"/>
      <c r="CY80"/>
      <c r="CZ80"/>
    </row>
    <row r="81" spans="1:111">
      <c r="A81" s="779"/>
      <c r="B81" s="779"/>
      <c r="C81" s="779"/>
      <c r="D81" s="779"/>
      <c r="E81" s="583"/>
      <c r="F81" s="778"/>
      <c r="G81" s="778"/>
      <c r="H81" s="779"/>
      <c r="I81" s="769"/>
      <c r="J81" s="769"/>
      <c r="K81" s="769"/>
      <c r="L81" s="769"/>
      <c r="Y81"/>
      <c r="Z81"/>
      <c r="BW81" s="455"/>
      <c r="BX81" s="455"/>
      <c r="CY81"/>
      <c r="CZ81"/>
    </row>
    <row r="82" spans="1:111">
      <c r="A82" s="779"/>
      <c r="B82" s="779"/>
      <c r="C82" s="779"/>
      <c r="D82" s="779"/>
      <c r="E82" s="188"/>
      <c r="F82" s="777"/>
      <c r="G82" s="777"/>
      <c r="H82" s="769"/>
      <c r="I82" s="769"/>
      <c r="J82" s="769"/>
      <c r="K82" s="769"/>
      <c r="L82" s="769"/>
      <c r="Y82"/>
      <c r="Z82"/>
      <c r="AD82" s="406"/>
      <c r="AE82" s="424"/>
      <c r="AF82" s="424"/>
      <c r="AG82" s="424"/>
      <c r="AH82" s="424"/>
      <c r="CY82"/>
      <c r="CZ82"/>
      <c r="DF82" s="455"/>
      <c r="DG82" s="455"/>
    </row>
    <row r="83" spans="1:111">
      <c r="A83" s="769"/>
      <c r="B83" s="769"/>
      <c r="C83" s="769"/>
      <c r="D83" s="769"/>
      <c r="E83" s="188"/>
      <c r="F83" s="777"/>
      <c r="G83" s="777"/>
      <c r="H83" s="769"/>
      <c r="L83" s="769"/>
      <c r="Y83"/>
      <c r="Z83"/>
      <c r="AD83" s="406"/>
      <c r="AE83" s="424"/>
      <c r="AF83" s="424"/>
      <c r="AG83" s="424"/>
      <c r="AH83" s="424"/>
      <c r="CY83"/>
      <c r="CZ83"/>
      <c r="DF83" s="455"/>
      <c r="DG83" s="455"/>
    </row>
    <row r="84" spans="1:111">
      <c r="E84" s="105"/>
      <c r="F84" s="105"/>
      <c r="G84" s="105"/>
    </row>
    <row r="85" spans="1:111">
      <c r="E85" s="105"/>
      <c r="F85" s="105"/>
      <c r="G85" s="105"/>
    </row>
  </sheetData>
  <sheetProtection sheet="1" objects="1" scenarios="1"/>
  <mergeCells count="116">
    <mergeCell ref="A55:C55"/>
    <mergeCell ref="M53:U53"/>
    <mergeCell ref="V53:X53"/>
    <mergeCell ref="M54:U54"/>
    <mergeCell ref="V54:X54"/>
    <mergeCell ref="A53:C53"/>
    <mergeCell ref="A49:H49"/>
    <mergeCell ref="I49:K49"/>
    <mergeCell ref="I50:K50"/>
    <mergeCell ref="A54:C54"/>
    <mergeCell ref="V48:X48"/>
    <mergeCell ref="M49:U49"/>
    <mergeCell ref="V49:X49"/>
    <mergeCell ref="M50:U50"/>
    <mergeCell ref="V50:X50"/>
    <mergeCell ref="M51:U51"/>
    <mergeCell ref="V51:X51"/>
    <mergeCell ref="M52:U52"/>
    <mergeCell ref="V52:X52"/>
    <mergeCell ref="A48:H48"/>
    <mergeCell ref="I48:K48"/>
    <mergeCell ref="A44:G44"/>
    <mergeCell ref="I44:K44"/>
    <mergeCell ref="A45:G45"/>
    <mergeCell ref="I45:K45"/>
    <mergeCell ref="M44:U44"/>
    <mergeCell ref="A47:H47"/>
    <mergeCell ref="I47:K47"/>
    <mergeCell ref="M48:U48"/>
    <mergeCell ref="V44:X44"/>
    <mergeCell ref="M45:U45"/>
    <mergeCell ref="V45:X45"/>
    <mergeCell ref="M46:X46"/>
    <mergeCell ref="M47:U47"/>
    <mergeCell ref="V47:X47"/>
    <mergeCell ref="A42:G42"/>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S5:X5"/>
    <mergeCell ref="S6:X6"/>
    <mergeCell ref="S8:U8"/>
    <mergeCell ref="V8:X8"/>
    <mergeCell ref="A3:X3"/>
    <mergeCell ref="N6:N7"/>
    <mergeCell ref="O6:O7"/>
    <mergeCell ref="B2:E2"/>
    <mergeCell ref="E4:G4"/>
    <mergeCell ref="K4:L4"/>
    <mergeCell ref="A5:R5"/>
    <mergeCell ref="A4:D4"/>
    <mergeCell ref="I8:J8"/>
    <mergeCell ref="K8:R8"/>
    <mergeCell ref="I6:I7"/>
    <mergeCell ref="J6:J7"/>
  </mergeCells>
  <phoneticPr fontId="5" type="noConversion"/>
  <conditionalFormatting sqref="E20">
    <cfRule type="expression" dxfId="565" priority="41">
      <formula>OR($D19="pæd.dag")</formula>
    </cfRule>
    <cfRule type="expression" dxfId="564" priority="42">
      <formula>OR($D19="nul-dag")</formula>
    </cfRule>
    <cfRule type="expression" dxfId="563" priority="43">
      <formula>OR($D19="SH-dag")</formula>
    </cfRule>
    <cfRule type="expression" dxfId="562" priority="44">
      <formula>OR($D19="ekskursion")</formula>
    </cfRule>
    <cfRule type="expression" dxfId="561" priority="45">
      <formula>OR($D19="lejrskole")</formula>
    </cfRule>
    <cfRule type="expression" dxfId="560" priority="46">
      <formula>OR($D19="emnedag")</formula>
    </cfRule>
    <cfRule type="expression" dxfId="559" priority="47">
      <formula>OR($D19="fagdag")</formula>
    </cfRule>
    <cfRule type="expression" dxfId="558" priority="48">
      <formula>OR($D19="feriedag")</formula>
    </cfRule>
    <cfRule type="expression" dxfId="557" priority="49">
      <formula>OR($D19="weekend")</formula>
    </cfRule>
    <cfRule type="expression" dxfId="556" priority="50" stopIfTrue="1">
      <formula>OR($D19="skoledag")</formula>
    </cfRule>
  </conditionalFormatting>
  <conditionalFormatting sqref="E20">
    <cfRule type="expression" dxfId="555" priority="51">
      <formula>OR($D19="Ikke relevant")</formula>
    </cfRule>
  </conditionalFormatting>
  <conditionalFormatting sqref="K9:M38">
    <cfRule type="expression" dxfId="554" priority="21">
      <formula>OR($C9="fagdag",)</formula>
    </cfRule>
    <cfRule type="expression" dxfId="553" priority="22">
      <formula>OR($C9="emnedag",)</formula>
    </cfRule>
  </conditionalFormatting>
  <conditionalFormatting sqref="K9:K38">
    <cfRule type="expression" dxfId="552" priority="23">
      <formula>OR($C9="Pæd.dag",)</formula>
    </cfRule>
  </conditionalFormatting>
  <conditionalFormatting sqref="K9:L38">
    <cfRule type="expression" dxfId="551" priority="24">
      <formula>OR($C9="Lejrskole",)</formula>
    </cfRule>
    <cfRule type="expression" dxfId="550" priority="25">
      <formula>OR($C9="Ekskursion",)</formula>
    </cfRule>
  </conditionalFormatting>
  <conditionalFormatting sqref="R9:R38">
    <cfRule type="expression" dxfId="549" priority="52">
      <formula>OR($H9&gt;"0",)</formula>
    </cfRule>
  </conditionalFormatting>
  <conditionalFormatting sqref="A9:H38">
    <cfRule type="expression" dxfId="548" priority="26">
      <formula>OR($C9="Skema 1")</formula>
    </cfRule>
    <cfRule type="expression" dxfId="547" priority="27">
      <formula>OR($C9="skema 2")</formula>
    </cfRule>
    <cfRule type="expression" dxfId="546" priority="28">
      <formula>OR($C9="Skema 3")</formula>
    </cfRule>
    <cfRule type="expression" dxfId="545" priority="29">
      <formula>OR($C9="Skema 4")</formula>
    </cfRule>
    <cfRule type="expression" dxfId="544" priority="30">
      <formula>OR($C9="Ikke relevant")</formula>
    </cfRule>
    <cfRule type="expression" dxfId="543" priority="31">
      <formula>OR($C9="pæd.dag")</formula>
    </cfRule>
    <cfRule type="expression" dxfId="542" priority="32">
      <formula>OR($C9="nul-dag")</formula>
    </cfRule>
    <cfRule type="expression" dxfId="541" priority="33">
      <formula>OR($C9="SH-dag")</formula>
    </cfRule>
    <cfRule type="expression" dxfId="540" priority="34">
      <formula>OR($C9="ekskursion")</formula>
    </cfRule>
    <cfRule type="expression" dxfId="539" priority="35">
      <formula>OR($C9="lejrskole")</formula>
    </cfRule>
    <cfRule type="expression" dxfId="538" priority="36">
      <formula>OR($C9="emnedag")</formula>
    </cfRule>
    <cfRule type="expression" dxfId="537" priority="37">
      <formula>OR($C9="fagdag")</formula>
    </cfRule>
    <cfRule type="expression" dxfId="536" priority="38">
      <formula>OR($C9="feriedag")</formula>
    </cfRule>
    <cfRule type="expression" dxfId="535" priority="39">
      <formula>OR($C9="weekend")</formula>
    </cfRule>
    <cfRule type="expression" dxfId="534" priority="40" stopIfTrue="1">
      <formula>OR($C9="Orlov")</formula>
    </cfRule>
  </conditionalFormatting>
  <conditionalFormatting sqref="V9:V38">
    <cfRule type="expression" dxfId="533" priority="3">
      <formula>OR($S9="X",)</formula>
    </cfRule>
  </conditionalFormatting>
  <conditionalFormatting sqref="X9:X38">
    <cfRule type="expression" dxfId="532" priority="2">
      <formula>OR($U9="X",)</formula>
    </cfRule>
  </conditionalFormatting>
  <conditionalFormatting sqref="W9:W38">
    <cfRule type="expression" dxfId="531" priority="1">
      <formula>OR($T9="X",)</formula>
    </cfRule>
  </conditionalFormatting>
  <dataValidations count="3">
    <dataValidation type="list" allowBlank="1" showInputMessage="1" showErrorMessage="1" sqref="S9:U38"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I10 I14:I18 I23:I24 I30:I31 I37:I38"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August!$A$79:$A$93</xm:f>
          </x14:formula1>
          <xm:sqref>C9:C38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HC87"/>
  <sheetViews>
    <sheetView topLeftCell="A3"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5</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Maj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2" customHeight="1">
      <c r="A7" s="1078" t="s">
        <v>336</v>
      </c>
      <c r="B7" s="1079"/>
      <c r="C7" s="1079"/>
      <c r="D7" s="1080"/>
      <c r="E7" s="1095"/>
      <c r="F7" s="1096"/>
      <c r="G7" s="1097"/>
      <c r="H7" s="1087" t="s">
        <v>395</v>
      </c>
      <c r="I7" s="1077"/>
      <c r="J7" s="1459"/>
      <c r="K7" s="568" t="s">
        <v>356</v>
      </c>
      <c r="L7" s="568" t="s">
        <v>357</v>
      </c>
      <c r="M7" s="885" t="s">
        <v>624</v>
      </c>
      <c r="N7" s="1059"/>
      <c r="O7" s="1059"/>
      <c r="P7" s="1059"/>
      <c r="Q7" s="1059"/>
      <c r="R7" s="1193"/>
      <c r="S7" s="896"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31"/>
      <c r="BB8" s="420"/>
      <c r="CA8" s="180"/>
      <c r="CB8" s="430"/>
      <c r="CC8" s="531"/>
      <c r="CX8" s="455"/>
      <c r="DA8" s="455"/>
      <c r="DB8" s="455"/>
      <c r="DC8" s="455"/>
      <c r="DD8" s="455"/>
      <c r="DE8" s="455"/>
      <c r="DF8" s="455"/>
      <c r="DG8" s="455"/>
    </row>
    <row r="9" spans="1:211">
      <c r="A9" s="443">
        <f>IF(ISNUMBER(A7),A7+1,1)</f>
        <v>1</v>
      </c>
      <c r="B9" s="218" t="str">
        <f t="shared" ref="B9:B39" si="0">CHOOSE(MOD(WEEKDAY(DATE(A$6,A$2,A9)),7)+1,"lø","sø","ma","ti","on","to","fr",)</f>
        <v>ma</v>
      </c>
      <c r="C9" s="219" t="s">
        <v>242</v>
      </c>
      <c r="D9" s="220">
        <f t="shared" ref="D9:D39" si="1">IF(B9="ma",(DATE(A$6,A$2,A9)-DATE(A$6,1,1)+7)/7,"")</f>
        <v>18.142857142857142</v>
      </c>
      <c r="E9" s="906"/>
      <c r="F9" s="907"/>
      <c r="G9" s="908"/>
      <c r="H9" s="526"/>
      <c r="I9" s="855"/>
      <c r="J9" s="726"/>
      <c r="K9" s="669"/>
      <c r="L9" s="669"/>
      <c r="M9" s="669"/>
      <c r="N9" s="557">
        <f>BA9</f>
        <v>8</v>
      </c>
      <c r="O9" s="557">
        <f>CA9</f>
        <v>4.5</v>
      </c>
      <c r="P9" s="557">
        <f>IF(Stamoplysninger!$H$29="JA",Maj!DG9,CX9)</f>
        <v>1.0833333333333335</v>
      </c>
      <c r="Q9" s="557">
        <f>IF(OR(C9="Lejrskole",C9="Ekskursion"),0,N9-O9-P9)</f>
        <v>2.4166666666666665</v>
      </c>
      <c r="R9" s="558"/>
      <c r="S9" s="564"/>
      <c r="T9" s="565"/>
      <c r="U9" s="565"/>
      <c r="V9" s="559"/>
      <c r="W9" s="763"/>
      <c r="X9" s="560"/>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f>IF(AND(C9="Skema 2",B9="ma"),Arbejdstidsoversigt!$E$53,"")</f>
        <v>8</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9" si="8">SUM(AG9:AK9)*24</f>
        <v>0</v>
      </c>
      <c r="BC9" s="1">
        <f>IF($C$9="Lejrskole",$L$9,0)</f>
        <v>0</v>
      </c>
      <c r="BD9" s="1">
        <f t="shared" ref="BD9:BD39" si="9">IF(C9="Ekskursion",L9,0)</f>
        <v>0</v>
      </c>
      <c r="BE9" s="1">
        <f t="shared" ref="BE9:BE39" si="10">IF(C9="fagdag",L9,0)</f>
        <v>0</v>
      </c>
      <c r="BF9" s="1">
        <f t="shared" ref="BF9:BF39" si="11">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f>IF(AND(C9="Skema 2",B9="ma"),Skemaoplysninger!$O$28,"")</f>
        <v>0.1875</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4.5</v>
      </c>
      <c r="CB9" s="1">
        <f t="shared" ref="CB9:CB39" si="12">IF(C9="fagdag",M9,0)</f>
        <v>0</v>
      </c>
      <c r="CC9" s="1">
        <f t="shared" ref="CC9:CC39" si="13">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f>IF(AND(C9="Skema 2",B9="ma"),Skemaoplysninger!$O$37,"")</f>
        <v>1.0833333333333335</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1.0833333333333335</v>
      </c>
      <c r="CY9" s="457">
        <f>IF(C9="Skema 1",Stamoplysninger!$H$30/200,0)</f>
        <v>0</v>
      </c>
      <c r="CZ9" s="457">
        <f>IF(C9="Skema 2",Stamoplysninger!$H$30/200,0)</f>
        <v>1</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8" si="14">IF(ISNUMBER(A9),A9+1,1)</f>
        <v>2</v>
      </c>
      <c r="B10" s="218" t="str">
        <f t="shared" si="0"/>
        <v>ti</v>
      </c>
      <c r="C10" s="219" t="s">
        <v>242</v>
      </c>
      <c r="D10" s="220" t="str">
        <f t="shared" si="1"/>
        <v/>
      </c>
      <c r="E10" s="906"/>
      <c r="F10" s="907"/>
      <c r="G10" s="908"/>
      <c r="H10" s="526"/>
      <c r="I10" s="855"/>
      <c r="J10" s="726"/>
      <c r="K10" s="669"/>
      <c r="L10" s="669"/>
      <c r="M10" s="669"/>
      <c r="N10" s="557">
        <f t="shared" ref="N10:N39" si="15">BA10</f>
        <v>8</v>
      </c>
      <c r="O10" s="557">
        <f t="shared" ref="O10:O39" si="16">CA10</f>
        <v>4.5</v>
      </c>
      <c r="P10" s="557">
        <f>IF(Stamoplysninger!$H$29="JA",Maj!DG10,CX10)</f>
        <v>1.0833333333333335</v>
      </c>
      <c r="Q10" s="557">
        <f t="shared" ref="Q10:Q39" si="17">IF(OR(C10="Lejrskole",C10="Ekskursion"),0,N10-O10-P10)</f>
        <v>2.4166666666666665</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f>IF(AND(C10="Skema 2",B10="ti"),Arbejdstidsoversigt!$E$54,"")</f>
        <v>8</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8</v>
      </c>
      <c r="BB10" s="421">
        <f t="shared" si="8"/>
        <v>0</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f>IF(AND(C10="Skema 2",B10="ti"),Skemaoplysninger!$P$28,"")</f>
        <v>0.1875</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4.5</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f>IF(AND(C10="Skema 2",B10="ti"),Skemaoplysninger!$P$37,"")</f>
        <v>1.0833333333333335</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1.0833333333333335</v>
      </c>
      <c r="CY10" s="457">
        <f>IF(C10="Skema 1",Stamoplysninger!$H$30/200,0)</f>
        <v>0</v>
      </c>
      <c r="CZ10" s="457">
        <f>IF(C10="Skema 2",Stamoplysninger!$H$30/200,0)</f>
        <v>1</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1</v>
      </c>
    </row>
    <row r="11" spans="1:211">
      <c r="A11" s="443">
        <f t="shared" si="14"/>
        <v>3</v>
      </c>
      <c r="B11" s="218" t="str">
        <f t="shared" si="0"/>
        <v>on</v>
      </c>
      <c r="C11" s="219" t="s">
        <v>242</v>
      </c>
      <c r="D11" s="220" t="str">
        <f t="shared" si="1"/>
        <v/>
      </c>
      <c r="E11" s="906"/>
      <c r="F11" s="907"/>
      <c r="G11" s="908"/>
      <c r="H11" s="526"/>
      <c r="I11" s="855"/>
      <c r="J11" s="726"/>
      <c r="K11" s="669"/>
      <c r="L11" s="669"/>
      <c r="M11" s="669"/>
      <c r="N11" s="557">
        <f t="shared" si="15"/>
        <v>8</v>
      </c>
      <c r="O11" s="557">
        <f t="shared" si="16"/>
        <v>3</v>
      </c>
      <c r="P11" s="557">
        <f>IF(Stamoplysninger!$H$29="JA",Maj!DG11,CX11)</f>
        <v>0.5</v>
      </c>
      <c r="Q11" s="557">
        <f t="shared" si="17"/>
        <v>4.5</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f>IF(AND(C11="Skema 2",B11="on"),Arbejdstidsoversigt!$E$55,"")</f>
        <v>8</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8</v>
      </c>
      <c r="BB11" s="421">
        <f t="shared" si="8"/>
        <v>0</v>
      </c>
      <c r="BC11" s="1">
        <f t="shared" si="20"/>
        <v>0</v>
      </c>
      <c r="BD11" s="1">
        <f t="shared" si="9"/>
        <v>0</v>
      </c>
      <c r="BE11" s="1">
        <f t="shared" si="10"/>
        <v>0</v>
      </c>
      <c r="BF11" s="1">
        <f t="shared" si="11"/>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f>IF(AND(C11="Skema 2",B11="on"),Skemaoplysninger!$Q$28,"")</f>
        <v>0.125</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3</v>
      </c>
      <c r="CB11" s="1">
        <f t="shared" si="12"/>
        <v>0</v>
      </c>
      <c r="CC11" s="1">
        <f t="shared" si="13"/>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f>IF(AND(C11="Skema 2",B11="on"),Skemaoplysninger!$Q$37,"")</f>
        <v>0.5</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0.5</v>
      </c>
      <c r="CY11" s="457">
        <f>IF(C11="Skema 1",Stamoplysninger!$H$30/200,0)</f>
        <v>0</v>
      </c>
      <c r="CZ11" s="457">
        <f>IF(C11="Skema 2",Stamoplysninger!$H$30/200,0)</f>
        <v>1</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1</v>
      </c>
    </row>
    <row r="12" spans="1:211">
      <c r="A12" s="443">
        <f t="shared" si="14"/>
        <v>4</v>
      </c>
      <c r="B12" s="218" t="str">
        <f t="shared" si="0"/>
        <v>to</v>
      </c>
      <c r="C12" s="219" t="s">
        <v>242</v>
      </c>
      <c r="D12" s="220" t="str">
        <f t="shared" si="1"/>
        <v/>
      </c>
      <c r="E12" s="906"/>
      <c r="F12" s="907"/>
      <c r="G12" s="908"/>
      <c r="H12" s="526"/>
      <c r="I12" s="855"/>
      <c r="J12" s="726"/>
      <c r="K12" s="669"/>
      <c r="L12" s="669"/>
      <c r="M12" s="669"/>
      <c r="N12" s="557">
        <f t="shared" si="15"/>
        <v>8</v>
      </c>
      <c r="O12" s="557">
        <f t="shared" si="16"/>
        <v>3</v>
      </c>
      <c r="P12" s="557">
        <f>IF(Stamoplysninger!$H$29="JA",Maj!DG12,CX12)</f>
        <v>0.5</v>
      </c>
      <c r="Q12" s="557">
        <f t="shared" si="17"/>
        <v>4.5</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f>IF(AND(C12="Skema 2",B12="to"),Arbejdstidsoversigt!$E$56,"")</f>
        <v>8</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8</v>
      </c>
      <c r="BB12" s="421">
        <f t="shared" si="8"/>
        <v>0</v>
      </c>
      <c r="BC12" s="1">
        <f t="shared" si="20"/>
        <v>0</v>
      </c>
      <c r="BD12" s="1">
        <f t="shared" si="9"/>
        <v>0</v>
      </c>
      <c r="BE12" s="1">
        <f t="shared" si="10"/>
        <v>0</v>
      </c>
      <c r="BF12" s="1">
        <f t="shared" si="11"/>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f>IF(AND(C12="Skema 2",B12="to"),Skemaoplysninger!$R$28,"")</f>
        <v>0.125</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3</v>
      </c>
      <c r="CB12" s="1">
        <f t="shared" si="12"/>
        <v>0</v>
      </c>
      <c r="CC12" s="1">
        <f t="shared" si="13"/>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f>IF(AND(C12="Skema 2",B12="to"),Skemaoplysninger!$R$37,"")</f>
        <v>0.5</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0.5</v>
      </c>
      <c r="CY12" s="457">
        <f>IF(C12="Skema 1",Stamoplysninger!$H$30/200,0)</f>
        <v>0</v>
      </c>
      <c r="CZ12" s="457">
        <f>IF(C12="Skema 2",Stamoplysninger!$H$30/200,0)</f>
        <v>1</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1</v>
      </c>
    </row>
    <row r="13" spans="1:211">
      <c r="A13" s="443">
        <f t="shared" si="14"/>
        <v>5</v>
      </c>
      <c r="B13" s="218" t="str">
        <f t="shared" si="0"/>
        <v>fr</v>
      </c>
      <c r="C13" s="219" t="s">
        <v>137</v>
      </c>
      <c r="D13" s="220" t="str">
        <f t="shared" si="1"/>
        <v/>
      </c>
      <c r="E13" s="906" t="s">
        <v>202</v>
      </c>
      <c r="F13" s="907"/>
      <c r="G13" s="908"/>
      <c r="H13" s="526"/>
      <c r="I13" s="726"/>
      <c r="J13" s="726"/>
      <c r="K13" s="669"/>
      <c r="L13" s="669"/>
      <c r="M13" s="669"/>
      <c r="N13" s="557">
        <f t="shared" si="15"/>
        <v>0</v>
      </c>
      <c r="O13" s="557">
        <f t="shared" si="16"/>
        <v>0</v>
      </c>
      <c r="P13" s="557">
        <f>IF(Stamoplysninger!$H$29="JA",Maj!DG13,CX13)</f>
        <v>0</v>
      </c>
      <c r="Q13" s="557">
        <f t="shared" si="17"/>
        <v>0</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8"/>
        <v>0</v>
      </c>
      <c r="BC13" s="1">
        <f t="shared" si="20"/>
        <v>0</v>
      </c>
      <c r="BD13" s="1">
        <f t="shared" si="9"/>
        <v>0</v>
      </c>
      <c r="BE13" s="1">
        <f t="shared" si="10"/>
        <v>0</v>
      </c>
      <c r="BF13" s="1">
        <f t="shared" si="11"/>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2"/>
        <v>0</v>
      </c>
      <c r="CC13" s="1">
        <f t="shared" si="13"/>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4"/>
        <v>6</v>
      </c>
      <c r="B14" s="218" t="str">
        <f t="shared" si="0"/>
        <v>lø</v>
      </c>
      <c r="C14" s="219" t="s">
        <v>138</v>
      </c>
      <c r="D14" s="220" t="str">
        <f t="shared" si="1"/>
        <v/>
      </c>
      <c r="E14" s="906"/>
      <c r="F14" s="907"/>
      <c r="G14" s="908"/>
      <c r="H14" s="526"/>
      <c r="I14" s="726"/>
      <c r="J14" s="726"/>
      <c r="K14" s="669"/>
      <c r="L14" s="669"/>
      <c r="M14" s="669"/>
      <c r="N14" s="557">
        <f t="shared" si="15"/>
        <v>0</v>
      </c>
      <c r="O14" s="557">
        <f t="shared" si="16"/>
        <v>0</v>
      </c>
      <c r="P14" s="557">
        <f>IF(Stamoplysninger!$H$29="JA",Maj!DG14,CX14)</f>
        <v>0</v>
      </c>
      <c r="Q14" s="557">
        <f t="shared" si="17"/>
        <v>0</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0</v>
      </c>
      <c r="BB14" s="421">
        <f t="shared" si="8"/>
        <v>0</v>
      </c>
      <c r="BC14" s="1">
        <f t="shared" si="20"/>
        <v>0</v>
      </c>
      <c r="BD14" s="1">
        <f t="shared" si="9"/>
        <v>0</v>
      </c>
      <c r="BE14" s="1">
        <f t="shared" si="10"/>
        <v>0</v>
      </c>
      <c r="BF14" s="1">
        <f t="shared" si="11"/>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0</v>
      </c>
      <c r="CB14" s="1">
        <f t="shared" si="12"/>
        <v>0</v>
      </c>
      <c r="CC14" s="1">
        <f t="shared" si="13"/>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0</v>
      </c>
    </row>
    <row r="15" spans="1:211" ht="16" customHeight="1">
      <c r="A15" s="443">
        <f t="shared" si="14"/>
        <v>7</v>
      </c>
      <c r="B15" s="218" t="str">
        <f t="shared" si="0"/>
        <v>sø</v>
      </c>
      <c r="C15" s="219" t="s">
        <v>138</v>
      </c>
      <c r="D15" s="220" t="str">
        <f t="shared" si="1"/>
        <v/>
      </c>
      <c r="E15" s="906"/>
      <c r="F15" s="907"/>
      <c r="G15" s="908"/>
      <c r="H15" s="526"/>
      <c r="I15" s="726"/>
      <c r="J15" s="726"/>
      <c r="K15" s="669"/>
      <c r="L15" s="669"/>
      <c r="M15" s="669"/>
      <c r="N15" s="557">
        <f t="shared" si="15"/>
        <v>0</v>
      </c>
      <c r="O15" s="557">
        <f t="shared" si="16"/>
        <v>0</v>
      </c>
      <c r="P15" s="557">
        <f>IF(Stamoplysninger!$H$29="JA",Maj!DG15,CX15)</f>
        <v>0</v>
      </c>
      <c r="Q15" s="557">
        <f t="shared" si="17"/>
        <v>0</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0</v>
      </c>
      <c r="BB15" s="421">
        <f t="shared" si="8"/>
        <v>0</v>
      </c>
      <c r="BC15" s="1">
        <f t="shared" si="20"/>
        <v>0</v>
      </c>
      <c r="BD15" s="1">
        <f t="shared" si="9"/>
        <v>0</v>
      </c>
      <c r="BE15" s="1">
        <f t="shared" si="10"/>
        <v>0</v>
      </c>
      <c r="BF15" s="1">
        <f t="shared" si="11"/>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0</v>
      </c>
      <c r="CB15" s="1">
        <f t="shared" si="12"/>
        <v>0</v>
      </c>
      <c r="CC15" s="1">
        <f t="shared" si="13"/>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0</v>
      </c>
    </row>
    <row r="16" spans="1:211">
      <c r="A16" s="443">
        <f t="shared" si="14"/>
        <v>8</v>
      </c>
      <c r="B16" s="218" t="str">
        <f t="shared" si="0"/>
        <v>ma</v>
      </c>
      <c r="C16" s="219" t="s">
        <v>242</v>
      </c>
      <c r="D16" s="220">
        <f t="shared" si="1"/>
        <v>19.142857142857142</v>
      </c>
      <c r="E16" s="906"/>
      <c r="F16" s="907"/>
      <c r="G16" s="908"/>
      <c r="H16" s="526"/>
      <c r="I16" s="855"/>
      <c r="J16" s="726"/>
      <c r="K16" s="669"/>
      <c r="L16" s="669"/>
      <c r="M16" s="669"/>
      <c r="N16" s="557">
        <f t="shared" si="15"/>
        <v>8</v>
      </c>
      <c r="O16" s="557">
        <f t="shared" si="16"/>
        <v>4.5</v>
      </c>
      <c r="P16" s="557">
        <f>IF(Stamoplysninger!$H$29="JA",Maj!DG16,CX16)</f>
        <v>1.0833333333333335</v>
      </c>
      <c r="Q16" s="557">
        <f t="shared" si="17"/>
        <v>2.4166666666666665</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f>IF(AND(C16="Skema 2",B16="ma"),Arbejdstidsoversigt!$E$53,"")</f>
        <v>8</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8</v>
      </c>
      <c r="BB16" s="421">
        <f t="shared" si="8"/>
        <v>0</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f>IF(AND(C16="Skema 2",B16="ma"),Skemaoplysninger!$O$28,"")</f>
        <v>0.1875</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4.5</v>
      </c>
      <c r="CB16" s="1">
        <f t="shared" si="12"/>
        <v>0</v>
      </c>
      <c r="CC16" s="1">
        <f t="shared" si="13"/>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f>IF(AND(C16="Skema 2",B16="ma"),Skemaoplysninger!$O$37,"")</f>
        <v>1.0833333333333335</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1.0833333333333335</v>
      </c>
      <c r="CY16" s="457">
        <f>IF(C16="Skema 1",Stamoplysninger!$H$30/200,0)</f>
        <v>0</v>
      </c>
      <c r="CZ16" s="457">
        <f>IF(C16="Skema 2",Stamoplysninger!$H$30/200,0)</f>
        <v>1</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1</v>
      </c>
    </row>
    <row r="17" spans="1:111">
      <c r="A17" s="443">
        <f t="shared" si="14"/>
        <v>9</v>
      </c>
      <c r="B17" s="218" t="str">
        <f t="shared" si="0"/>
        <v>ti</v>
      </c>
      <c r="C17" s="219" t="s">
        <v>242</v>
      </c>
      <c r="D17" s="220" t="str">
        <f t="shared" si="1"/>
        <v/>
      </c>
      <c r="E17" s="906"/>
      <c r="F17" s="907"/>
      <c r="G17" s="908"/>
      <c r="H17" s="526"/>
      <c r="I17" s="855"/>
      <c r="J17" s="726"/>
      <c r="K17" s="669"/>
      <c r="L17" s="669"/>
      <c r="M17" s="669"/>
      <c r="N17" s="557">
        <f t="shared" si="15"/>
        <v>8</v>
      </c>
      <c r="O17" s="557">
        <f t="shared" si="16"/>
        <v>4.5</v>
      </c>
      <c r="P17" s="557">
        <f>IF(Stamoplysninger!$H$29="JA",Maj!DG17,CX17)</f>
        <v>1.0833333333333335</v>
      </c>
      <c r="Q17" s="557">
        <f t="shared" si="17"/>
        <v>2.4166666666666665</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f>IF(AND(C17="Skema 2",B17="ti"),Arbejdstidsoversigt!$E$54,"")</f>
        <v>8</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8</v>
      </c>
      <c r="BB17" s="421">
        <f t="shared" si="8"/>
        <v>0</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f>IF(AND(C17="Skema 2",B17="ti"),Skemaoplysninger!$P$28,"")</f>
        <v>0.1875</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4.5</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f>IF(AND(C17="Skema 2",B17="ti"),Skemaoplysninger!$P$37,"")</f>
        <v>1.0833333333333335</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1.0833333333333335</v>
      </c>
      <c r="CY17" s="457">
        <f>IF(C17="Skema 1",Stamoplysninger!$H$30/200,0)</f>
        <v>0</v>
      </c>
      <c r="CZ17" s="457">
        <f>IF(C17="Skema 2",Stamoplysninger!$H$30/200,0)</f>
        <v>1</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4"/>
        <v>10</v>
      </c>
      <c r="B18" s="218" t="str">
        <f t="shared" si="0"/>
        <v>on</v>
      </c>
      <c r="C18" s="219" t="s">
        <v>242</v>
      </c>
      <c r="D18" s="220" t="str">
        <f t="shared" si="1"/>
        <v/>
      </c>
      <c r="E18" s="906"/>
      <c r="F18" s="907"/>
      <c r="G18" s="908"/>
      <c r="H18" s="526"/>
      <c r="I18" s="855"/>
      <c r="J18" s="726"/>
      <c r="K18" s="669"/>
      <c r="L18" s="669"/>
      <c r="M18" s="669"/>
      <c r="N18" s="557">
        <f t="shared" si="15"/>
        <v>8</v>
      </c>
      <c r="O18" s="557">
        <f t="shared" si="16"/>
        <v>3</v>
      </c>
      <c r="P18" s="557">
        <f>IF(Stamoplysninger!$H$29="JA",Maj!DG18,CX18)</f>
        <v>0.5</v>
      </c>
      <c r="Q18" s="557">
        <f t="shared" si="17"/>
        <v>4.5</v>
      </c>
      <c r="R18" s="558"/>
      <c r="S18" s="564"/>
      <c r="T18" s="565"/>
      <c r="U18" s="565"/>
      <c r="V18" s="559"/>
      <c r="W18" s="763"/>
      <c r="X18" s="560"/>
      <c r="Y18">
        <f t="shared" si="18"/>
        <v>0</v>
      </c>
      <c r="Z18">
        <f t="shared" si="2"/>
        <v>0</v>
      </c>
      <c r="AA18" s="1">
        <f t="shared" si="3"/>
        <v>0</v>
      </c>
      <c r="AB18" s="1">
        <f t="shared" si="4"/>
        <v>0</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f>IF(AND(C18="Skema 2",B18="on"),Arbejdstidsoversigt!$E$55,"")</f>
        <v>8</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8</v>
      </c>
      <c r="BB18" s="421">
        <f t="shared" si="8"/>
        <v>0</v>
      </c>
      <c r="BC18" s="1">
        <f t="shared" si="20"/>
        <v>0</v>
      </c>
      <c r="BD18" s="1">
        <f t="shared" si="9"/>
        <v>0</v>
      </c>
      <c r="BE18" s="1">
        <f t="shared" si="10"/>
        <v>0</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f>IF(AND(C18="Skema 2",B18="on"),Skemaoplysninger!$Q$28,"")</f>
        <v>0.125</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3</v>
      </c>
      <c r="CB18" s="1">
        <f t="shared" si="12"/>
        <v>0</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f>IF(AND(C18="Skema 2",B18="on"),Skemaoplysninger!$Q$37,"")</f>
        <v>0.5</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0.5</v>
      </c>
      <c r="CY18" s="457">
        <f>IF(C18="Skema 1",Stamoplysninger!$H$30/200,0)</f>
        <v>0</v>
      </c>
      <c r="CZ18" s="457">
        <f>IF(C18="Skema 2",Stamoplysninger!$H$30/200,0)</f>
        <v>1</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row>
    <row r="19" spans="1:111">
      <c r="A19" s="443">
        <f t="shared" si="14"/>
        <v>11</v>
      </c>
      <c r="B19" s="218" t="str">
        <f t="shared" si="0"/>
        <v>to</v>
      </c>
      <c r="C19" s="219" t="s">
        <v>242</v>
      </c>
      <c r="D19" s="220" t="str">
        <f t="shared" si="1"/>
        <v/>
      </c>
      <c r="E19" s="906"/>
      <c r="F19" s="907"/>
      <c r="G19" s="908"/>
      <c r="H19" s="526"/>
      <c r="I19" s="855"/>
      <c r="J19" s="726"/>
      <c r="K19" s="669"/>
      <c r="L19" s="669"/>
      <c r="M19" s="669"/>
      <c r="N19" s="557">
        <f t="shared" si="15"/>
        <v>8</v>
      </c>
      <c r="O19" s="557">
        <f t="shared" si="16"/>
        <v>3</v>
      </c>
      <c r="P19" s="557">
        <f>IF(Stamoplysninger!$H$29="JA",Maj!DG19,CX19)</f>
        <v>0.5</v>
      </c>
      <c r="Q19" s="557">
        <f t="shared" si="17"/>
        <v>4.5</v>
      </c>
      <c r="R19" s="558"/>
      <c r="S19" s="564"/>
      <c r="T19" s="565"/>
      <c r="U19" s="565"/>
      <c r="V19" s="559"/>
      <c r="W19" s="763"/>
      <c r="X19" s="560"/>
      <c r="Y19">
        <f t="shared" si="18"/>
        <v>0</v>
      </c>
      <c r="Z19">
        <f t="shared" si="2"/>
        <v>0</v>
      </c>
      <c r="AA19" s="1">
        <f t="shared" si="3"/>
        <v>0</v>
      </c>
      <c r="AB19" s="1">
        <f t="shared" si="4"/>
        <v>0</v>
      </c>
      <c r="AC19" s="1">
        <f t="shared" si="5"/>
        <v>0</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f>IF(AND(C19="Skema 2",B19="to"),Arbejdstidsoversigt!$E$56,"")</f>
        <v>8</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8</v>
      </c>
      <c r="BB19" s="421">
        <f t="shared" si="8"/>
        <v>0</v>
      </c>
      <c r="BC19" s="1">
        <f t="shared" si="20"/>
        <v>0</v>
      </c>
      <c r="BD19" s="1">
        <f t="shared" si="9"/>
        <v>0</v>
      </c>
      <c r="BE19" s="1">
        <f t="shared" si="10"/>
        <v>0</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f>IF(AND(C19="Skema 2",B19="to"),Skemaoplysninger!$R$28,"")</f>
        <v>0.125</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3</v>
      </c>
      <c r="CB19" s="1">
        <f t="shared" si="12"/>
        <v>0</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f>IF(AND(C19="Skema 2",B19="to"),Skemaoplysninger!$R$37,"")</f>
        <v>0.5</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0.5</v>
      </c>
      <c r="CY19" s="457">
        <f>IF(C19="Skema 1",Stamoplysninger!$H$30/200,0)</f>
        <v>0</v>
      </c>
      <c r="CZ19" s="457">
        <f>IF(C19="Skema 2",Stamoplysninger!$H$30/200,0)</f>
        <v>1</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1</v>
      </c>
    </row>
    <row r="20" spans="1:111">
      <c r="A20" s="443">
        <f>IF(ISNUMBER(A19),A19+1,1)</f>
        <v>12</v>
      </c>
      <c r="B20" s="218" t="str">
        <f t="shared" si="0"/>
        <v>fr</v>
      </c>
      <c r="C20" s="219" t="s">
        <v>242</v>
      </c>
      <c r="D20" s="220" t="str">
        <f t="shared" si="1"/>
        <v/>
      </c>
      <c r="E20" s="906"/>
      <c r="F20" s="907"/>
      <c r="G20" s="908"/>
      <c r="H20" s="526"/>
      <c r="I20" s="855"/>
      <c r="J20" s="726"/>
      <c r="K20" s="669"/>
      <c r="L20" s="669"/>
      <c r="M20" s="669"/>
      <c r="N20" s="557">
        <f t="shared" si="15"/>
        <v>6.5</v>
      </c>
      <c r="O20" s="557">
        <f t="shared" si="16"/>
        <v>3</v>
      </c>
      <c r="P20" s="557">
        <f>IF(Stamoplysninger!$H$29="JA",Maj!DG20,CX20)</f>
        <v>0.5</v>
      </c>
      <c r="Q20" s="557">
        <f t="shared" si="17"/>
        <v>3</v>
      </c>
      <c r="R20" s="558"/>
      <c r="S20" s="564"/>
      <c r="T20" s="565"/>
      <c r="U20" s="565"/>
      <c r="V20" s="559"/>
      <c r="W20" s="763"/>
      <c r="X20" s="560"/>
      <c r="Y20">
        <f t="shared" si="18"/>
        <v>0</v>
      </c>
      <c r="Z20">
        <f t="shared" si="2"/>
        <v>0</v>
      </c>
      <c r="AA20" s="1">
        <f t="shared" si="3"/>
        <v>0</v>
      </c>
      <c r="AB20" s="1">
        <f t="shared" si="4"/>
        <v>0</v>
      </c>
      <c r="AC20" s="1">
        <f t="shared" si="5"/>
        <v>0</v>
      </c>
      <c r="AD20" s="1">
        <f t="shared" si="6"/>
        <v>0</v>
      </c>
      <c r="AE20" s="1">
        <f t="shared" si="7"/>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f>IF(AND(C20="Skema 2",B20="fr"),Arbejdstidsoversigt!$E$57,"")</f>
        <v>6.5</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6.5</v>
      </c>
      <c r="BB20" s="421">
        <f t="shared" si="8"/>
        <v>0</v>
      </c>
      <c r="BC20" s="1">
        <f t="shared" si="20"/>
        <v>0</v>
      </c>
      <c r="BD20" s="1">
        <f t="shared" si="9"/>
        <v>0</v>
      </c>
      <c r="BE20" s="1">
        <f t="shared" si="10"/>
        <v>0</v>
      </c>
      <c r="BF20" s="1">
        <f t="shared" si="11"/>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f>IF(AND(C20="Skema 2",B20="fr"),Skemaoplysninger!$S$28,"")</f>
        <v>0.125</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v>
      </c>
      <c r="CB20" s="1">
        <f t="shared" si="12"/>
        <v>0</v>
      </c>
      <c r="CC20" s="1">
        <f t="shared" si="13"/>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f>IF(AND(C20="Skema 2",B20="fr"),Skemaoplysninger!$S$37,"")</f>
        <v>0.5</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0.5</v>
      </c>
      <c r="CY20" s="457">
        <f>IF(C20="Skema 1",Stamoplysninger!$H$30/200,0)</f>
        <v>0</v>
      </c>
      <c r="CZ20" s="457">
        <f>IF(C20="Skema 2",Stamoplysninger!$H$30/200,0)</f>
        <v>1</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lø</v>
      </c>
      <c r="C21" s="219" t="s">
        <v>138</v>
      </c>
      <c r="D21" s="220" t="str">
        <f t="shared" si="1"/>
        <v/>
      </c>
      <c r="E21" s="909"/>
      <c r="F21" s="910"/>
      <c r="G21" s="911"/>
      <c r="H21" s="525"/>
      <c r="I21" s="726"/>
      <c r="J21" s="726"/>
      <c r="K21" s="669"/>
      <c r="L21" s="669"/>
      <c r="M21" s="669"/>
      <c r="N21" s="557">
        <f t="shared" si="15"/>
        <v>0</v>
      </c>
      <c r="O21" s="557">
        <f t="shared" si="16"/>
        <v>0</v>
      </c>
      <c r="P21" s="557">
        <f>IF(Stamoplysninger!$H$29="JA",Maj!DG21,CX21)</f>
        <v>0</v>
      </c>
      <c r="Q21" s="557">
        <f t="shared" si="17"/>
        <v>0</v>
      </c>
      <c r="R21" s="558"/>
      <c r="S21" s="564"/>
      <c r="T21" s="565"/>
      <c r="U21" s="565"/>
      <c r="V21" s="559"/>
      <c r="W21" s="763"/>
      <c r="X21" s="560"/>
      <c r="Y21">
        <f t="shared" si="18"/>
        <v>0</v>
      </c>
      <c r="Z21">
        <f t="shared" si="2"/>
        <v>0</v>
      </c>
      <c r="AA21" s="1">
        <f t="shared" si="3"/>
        <v>0</v>
      </c>
      <c r="AB21" s="1">
        <f t="shared" si="4"/>
        <v>0</v>
      </c>
      <c r="AC21" s="1">
        <f t="shared" si="5"/>
        <v>0</v>
      </c>
      <c r="AD21" s="1">
        <f t="shared" si="6"/>
        <v>0</v>
      </c>
      <c r="AE21" s="1">
        <f t="shared" si="7"/>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0</v>
      </c>
      <c r="BB21" s="421">
        <f t="shared" si="8"/>
        <v>0</v>
      </c>
      <c r="BC21" s="1">
        <f t="shared" si="20"/>
        <v>0</v>
      </c>
      <c r="BD21" s="1">
        <f t="shared" si="9"/>
        <v>0</v>
      </c>
      <c r="BE21" s="1">
        <f t="shared" si="10"/>
        <v>0</v>
      </c>
      <c r="BF21" s="1">
        <f t="shared" si="11"/>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0</v>
      </c>
      <c r="CB21" s="1">
        <f t="shared" si="12"/>
        <v>0</v>
      </c>
      <c r="CC21" s="1">
        <f t="shared" si="13"/>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v>
      </c>
      <c r="CY21" s="457">
        <f>IF(C21="Skema 1",Stamoplysninger!$H$30/200,0)</f>
        <v>0</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0</v>
      </c>
    </row>
    <row r="22" spans="1:111">
      <c r="A22" s="443">
        <f t="shared" si="14"/>
        <v>14</v>
      </c>
      <c r="B22" s="218" t="str">
        <f t="shared" si="0"/>
        <v>sø</v>
      </c>
      <c r="C22" s="219" t="s">
        <v>138</v>
      </c>
      <c r="D22" s="220" t="str">
        <f t="shared" si="1"/>
        <v/>
      </c>
      <c r="E22" s="909"/>
      <c r="F22" s="910"/>
      <c r="G22" s="911"/>
      <c r="H22" s="525"/>
      <c r="I22" s="726"/>
      <c r="J22" s="726"/>
      <c r="K22" s="669"/>
      <c r="L22" s="669"/>
      <c r="M22" s="669"/>
      <c r="N22" s="557">
        <f t="shared" si="15"/>
        <v>0</v>
      </c>
      <c r="O22" s="557">
        <f t="shared" si="16"/>
        <v>0</v>
      </c>
      <c r="P22" s="557">
        <f>IF(Stamoplysninger!$H$29="JA",Maj!DG22,CX22)</f>
        <v>0</v>
      </c>
      <c r="Q22" s="557">
        <f t="shared" si="17"/>
        <v>0</v>
      </c>
      <c r="R22" s="558"/>
      <c r="S22" s="564"/>
      <c r="T22" s="565"/>
      <c r="U22" s="565"/>
      <c r="V22" s="559"/>
      <c r="W22" s="763"/>
      <c r="X22" s="560"/>
      <c r="Y22">
        <f t="shared" si="18"/>
        <v>0</v>
      </c>
      <c r="Z22">
        <f t="shared" si="2"/>
        <v>0</v>
      </c>
      <c r="AA22" s="1">
        <f t="shared" si="3"/>
        <v>0</v>
      </c>
      <c r="AB22" s="1">
        <f t="shared" si="4"/>
        <v>0</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0</v>
      </c>
      <c r="BB22" s="421">
        <f t="shared" si="8"/>
        <v>0</v>
      </c>
      <c r="BC22" s="1">
        <f t="shared" si="20"/>
        <v>0</v>
      </c>
      <c r="BD22" s="1">
        <f t="shared" si="9"/>
        <v>0</v>
      </c>
      <c r="BE22" s="1">
        <f t="shared" si="10"/>
        <v>0</v>
      </c>
      <c r="BF22" s="1">
        <f t="shared" si="11"/>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0</v>
      </c>
      <c r="CB22" s="1">
        <f t="shared" si="12"/>
        <v>0</v>
      </c>
      <c r="CC22" s="1">
        <f t="shared" si="13"/>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v>
      </c>
      <c r="CY22" s="457">
        <f>IF(C22="Skema 1",Stamoplysninger!$H$30/200,0)</f>
        <v>0</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0</v>
      </c>
    </row>
    <row r="23" spans="1:111">
      <c r="A23" s="443">
        <f t="shared" si="14"/>
        <v>15</v>
      </c>
      <c r="B23" s="218" t="str">
        <f t="shared" si="0"/>
        <v>ma</v>
      </c>
      <c r="C23" s="219" t="s">
        <v>242</v>
      </c>
      <c r="D23" s="220">
        <f t="shared" si="1"/>
        <v>20.142857142857142</v>
      </c>
      <c r="E23" s="909"/>
      <c r="F23" s="910"/>
      <c r="G23" s="911"/>
      <c r="H23" s="525"/>
      <c r="I23" s="855"/>
      <c r="J23" s="726"/>
      <c r="K23" s="669"/>
      <c r="L23" s="669"/>
      <c r="M23" s="669"/>
      <c r="N23" s="557">
        <f t="shared" si="15"/>
        <v>8</v>
      </c>
      <c r="O23" s="557">
        <f t="shared" si="16"/>
        <v>4.5</v>
      </c>
      <c r="P23" s="557">
        <f>IF(Stamoplysninger!$H$29="JA",Maj!DG23,CX23)</f>
        <v>1.0833333333333335</v>
      </c>
      <c r="Q23" s="557">
        <f t="shared" si="17"/>
        <v>2.4166666666666665</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f>IF(AND(C23="Skema 2",B23="ma"),Arbejdstidsoversigt!$E$53,"")</f>
        <v>8</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8"/>
        <v>0</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f>IF(AND(C23="Skema 2",B23="ma"),Skemaoplysninger!$O$28,"")</f>
        <v>0.1875</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4.5</v>
      </c>
      <c r="CB23" s="1">
        <f t="shared" si="12"/>
        <v>0</v>
      </c>
      <c r="CC23" s="1">
        <f t="shared" si="13"/>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f>IF(AND(C23="Skema 2",B23="ma"),Skemaoplysninger!$O$37,"")</f>
        <v>1.0833333333333335</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1.0833333333333335</v>
      </c>
      <c r="CY23" s="457">
        <f>IF(C23="Skema 1",Stamoplysninger!$H$30/200,0)</f>
        <v>0</v>
      </c>
      <c r="CZ23" s="457">
        <f>IF(C23="Skema 2",Stamoplysninger!$H$30/200,0)</f>
        <v>1</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ti</v>
      </c>
      <c r="C24" s="219" t="s">
        <v>242</v>
      </c>
      <c r="D24" s="220" t="str">
        <f t="shared" si="1"/>
        <v/>
      </c>
      <c r="E24" s="906"/>
      <c r="F24" s="907"/>
      <c r="G24" s="908"/>
      <c r="H24" s="526"/>
      <c r="I24" s="855"/>
      <c r="J24" s="726"/>
      <c r="K24" s="669"/>
      <c r="L24" s="669"/>
      <c r="M24" s="669"/>
      <c r="N24" s="557">
        <f t="shared" si="15"/>
        <v>8</v>
      </c>
      <c r="O24" s="557">
        <f t="shared" si="16"/>
        <v>4.5</v>
      </c>
      <c r="P24" s="557">
        <f>IF(Stamoplysninger!$H$29="JA",Maj!DG24,CX24)</f>
        <v>1.0833333333333335</v>
      </c>
      <c r="Q24" s="557">
        <f t="shared" si="17"/>
        <v>2.4166666666666665</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f>IF(AND(C24="Skema 2",B24="ti"),Arbejdstidsoversigt!$E$54,"")</f>
        <v>8</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8</v>
      </c>
      <c r="BB24" s="421">
        <f t="shared" si="8"/>
        <v>0</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f>IF(AND(C24="Skema 2",B24="ti"),Skemaoplysninger!$P$28,"")</f>
        <v>0.1875</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4.5</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f>IF(AND(C24="Skema 2",B24="ti"),Skemaoplysninger!$P$37,"")</f>
        <v>1.0833333333333335</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1.0833333333333335</v>
      </c>
      <c r="CY24" s="457">
        <f>IF(C24="Skema 1",Stamoplysninger!$H$30/200,0)</f>
        <v>0</v>
      </c>
      <c r="CZ24" s="457">
        <f>IF(C24="Skema 2",Stamoplysninger!$H$30/200,0)</f>
        <v>1</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4"/>
        <v>17</v>
      </c>
      <c r="B25" s="218" t="str">
        <f t="shared" si="0"/>
        <v>on</v>
      </c>
      <c r="C25" s="219" t="s">
        <v>242</v>
      </c>
      <c r="D25" s="220" t="str">
        <f t="shared" si="1"/>
        <v/>
      </c>
      <c r="E25" s="906"/>
      <c r="F25" s="907"/>
      <c r="G25" s="908"/>
      <c r="H25" s="526"/>
      <c r="I25" s="855"/>
      <c r="J25" s="726"/>
      <c r="K25" s="669"/>
      <c r="L25" s="669"/>
      <c r="M25" s="669"/>
      <c r="N25" s="557">
        <f t="shared" si="15"/>
        <v>8</v>
      </c>
      <c r="O25" s="557">
        <f t="shared" si="16"/>
        <v>3</v>
      </c>
      <c r="P25" s="557">
        <f>IF(Stamoplysninger!$H$29="JA",Maj!DG25,CX25)</f>
        <v>0.5</v>
      </c>
      <c r="Q25" s="557">
        <f t="shared" si="17"/>
        <v>4.5</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f>IF(AND(C25="Skema 2",B25="on"),Arbejdstidsoversigt!$E$55,"")</f>
        <v>8</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8</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f>IF(AND(C25="Skema 2",B25="on"),Skemaoplysninger!$Q$28,"")</f>
        <v>0.125</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3</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f>IF(AND(C25="Skema 2",B25="on"),Skemaoplysninger!$Q$37,"")</f>
        <v>0.5</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0.5</v>
      </c>
      <c r="CY25" s="457">
        <f>IF(C25="Skema 1",Stamoplysninger!$H$30/200,0)</f>
        <v>0</v>
      </c>
      <c r="CZ25" s="457">
        <f>IF(C25="Skema 2",Stamoplysninger!$H$30/200,0)</f>
        <v>1</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row>
    <row r="26" spans="1:111">
      <c r="A26" s="443">
        <f t="shared" si="14"/>
        <v>18</v>
      </c>
      <c r="B26" s="218" t="str">
        <f t="shared" si="0"/>
        <v>to</v>
      </c>
      <c r="C26" s="219" t="s">
        <v>137</v>
      </c>
      <c r="D26" s="220" t="str">
        <f t="shared" si="1"/>
        <v/>
      </c>
      <c r="E26" s="906" t="s">
        <v>404</v>
      </c>
      <c r="F26" s="907"/>
      <c r="G26" s="908"/>
      <c r="H26" s="526"/>
      <c r="I26" s="726"/>
      <c r="J26" s="726"/>
      <c r="K26" s="669"/>
      <c r="L26" s="669"/>
      <c r="M26" s="669"/>
      <c r="N26" s="557">
        <f t="shared" si="15"/>
        <v>0</v>
      </c>
      <c r="O26" s="557">
        <f t="shared" si="16"/>
        <v>0</v>
      </c>
      <c r="P26" s="557">
        <f>IF(Stamoplysninger!$H$29="JA",Maj!DG26,CX26)</f>
        <v>0</v>
      </c>
      <c r="Q26" s="557">
        <f t="shared" si="17"/>
        <v>0</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4"/>
        <v>19</v>
      </c>
      <c r="B27" s="218" t="str">
        <f t="shared" si="0"/>
        <v>fr</v>
      </c>
      <c r="C27" s="219" t="s">
        <v>147</v>
      </c>
      <c r="D27" s="220" t="str">
        <f t="shared" si="1"/>
        <v/>
      </c>
      <c r="E27" s="906"/>
      <c r="F27" s="907"/>
      <c r="G27" s="908"/>
      <c r="H27" s="526"/>
      <c r="I27" s="855"/>
      <c r="J27" s="726"/>
      <c r="K27" s="669"/>
      <c r="L27" s="669"/>
      <c r="M27" s="669"/>
      <c r="N27" s="557">
        <f t="shared" si="15"/>
        <v>0</v>
      </c>
      <c r="O27" s="557">
        <f t="shared" si="16"/>
        <v>0</v>
      </c>
      <c r="P27" s="557">
        <f>IF(Stamoplysninger!$H$29="JA",Maj!DG27,CX27)</f>
        <v>0</v>
      </c>
      <c r="Q27" s="557">
        <f t="shared" si="17"/>
        <v>0</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8"/>
        <v>0</v>
      </c>
      <c r="BC27" s="1">
        <f t="shared" si="20"/>
        <v>0</v>
      </c>
      <c r="BD27" s="1">
        <f t="shared" si="9"/>
        <v>0</v>
      </c>
      <c r="BE27" s="1">
        <f t="shared" si="10"/>
        <v>0</v>
      </c>
      <c r="BF27" s="1">
        <f t="shared" si="11"/>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2"/>
        <v>0</v>
      </c>
      <c r="CC27" s="1">
        <f t="shared" si="13"/>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4"/>
        <v>20</v>
      </c>
      <c r="B28" s="218" t="str">
        <f t="shared" si="0"/>
        <v>lø</v>
      </c>
      <c r="C28" s="219" t="s">
        <v>138</v>
      </c>
      <c r="D28" s="220" t="str">
        <f t="shared" si="1"/>
        <v/>
      </c>
      <c r="E28" s="906"/>
      <c r="F28" s="907"/>
      <c r="G28" s="908"/>
      <c r="H28" s="526"/>
      <c r="I28" s="726"/>
      <c r="J28" s="726"/>
      <c r="K28" s="669"/>
      <c r="L28" s="669"/>
      <c r="M28" s="669"/>
      <c r="N28" s="557">
        <f t="shared" si="15"/>
        <v>0</v>
      </c>
      <c r="O28" s="557">
        <f t="shared" si="16"/>
        <v>0</v>
      </c>
      <c r="P28" s="557">
        <f>IF(Stamoplysninger!$H$29="JA",Maj!DG28,CX28)</f>
        <v>0</v>
      </c>
      <c r="Q28" s="557">
        <f t="shared" si="17"/>
        <v>0</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0</v>
      </c>
      <c r="BB28" s="421">
        <f t="shared" si="8"/>
        <v>0</v>
      </c>
      <c r="BC28" s="1">
        <f t="shared" si="20"/>
        <v>0</v>
      </c>
      <c r="BD28" s="1">
        <f t="shared" si="9"/>
        <v>0</v>
      </c>
      <c r="BE28" s="1">
        <f t="shared" si="10"/>
        <v>0</v>
      </c>
      <c r="BF28" s="1">
        <f t="shared" si="11"/>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0</v>
      </c>
      <c r="CB28" s="1">
        <f t="shared" si="12"/>
        <v>0</v>
      </c>
      <c r="CC28" s="1">
        <f t="shared" si="13"/>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v>
      </c>
      <c r="CY28" s="457">
        <f>IF(C28="Skema 1",Stamoplysninger!$H$30/200,0)</f>
        <v>0</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0</v>
      </c>
    </row>
    <row r="29" spans="1:111">
      <c r="A29" s="443">
        <f t="shared" si="14"/>
        <v>21</v>
      </c>
      <c r="B29" s="218" t="str">
        <f t="shared" si="0"/>
        <v>sø</v>
      </c>
      <c r="C29" s="219" t="s">
        <v>138</v>
      </c>
      <c r="D29" s="220" t="str">
        <f t="shared" si="1"/>
        <v/>
      </c>
      <c r="E29" s="906"/>
      <c r="F29" s="907"/>
      <c r="G29" s="908"/>
      <c r="H29" s="526"/>
      <c r="I29" s="726"/>
      <c r="J29" s="726"/>
      <c r="K29" s="669"/>
      <c r="L29" s="669"/>
      <c r="M29" s="669"/>
      <c r="N29" s="557">
        <f t="shared" si="15"/>
        <v>0</v>
      </c>
      <c r="O29" s="557">
        <f t="shared" si="16"/>
        <v>0</v>
      </c>
      <c r="P29" s="557">
        <f>IF(Stamoplysninger!$H$29="JA",Maj!DG29,CX29)</f>
        <v>0</v>
      </c>
      <c r="Q29" s="557">
        <f t="shared" si="17"/>
        <v>0</v>
      </c>
      <c r="R29" s="558"/>
      <c r="S29" s="564"/>
      <c r="T29" s="565"/>
      <c r="U29" s="565"/>
      <c r="V29" s="559"/>
      <c r="W29" s="763"/>
      <c r="X29" s="560"/>
      <c r="Y29">
        <f t="shared" si="18"/>
        <v>0</v>
      </c>
      <c r="Z29">
        <f t="shared" si="2"/>
        <v>0</v>
      </c>
      <c r="AA29" s="1">
        <f t="shared" si="3"/>
        <v>0</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0</v>
      </c>
      <c r="BB29" s="421">
        <f t="shared" si="8"/>
        <v>0</v>
      </c>
      <c r="BC29" s="1">
        <f t="shared" si="20"/>
        <v>0</v>
      </c>
      <c r="BD29" s="1">
        <f t="shared" si="9"/>
        <v>0</v>
      </c>
      <c r="BE29" s="1">
        <f t="shared" si="10"/>
        <v>0</v>
      </c>
      <c r="BF29" s="1">
        <f t="shared" si="11"/>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0</v>
      </c>
      <c r="CB29" s="1">
        <f t="shared" si="12"/>
        <v>0</v>
      </c>
      <c r="CC29" s="1">
        <f t="shared" si="13"/>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0</v>
      </c>
    </row>
    <row r="30" spans="1:111">
      <c r="A30" s="443">
        <f t="shared" si="14"/>
        <v>22</v>
      </c>
      <c r="B30" s="218" t="str">
        <f t="shared" si="0"/>
        <v>ma</v>
      </c>
      <c r="C30" s="219" t="s">
        <v>242</v>
      </c>
      <c r="D30" s="220">
        <f t="shared" si="1"/>
        <v>21.142857142857142</v>
      </c>
      <c r="E30" s="906"/>
      <c r="F30" s="907"/>
      <c r="G30" s="908"/>
      <c r="H30" s="526"/>
      <c r="I30" s="855"/>
      <c r="J30" s="726"/>
      <c r="K30" s="669"/>
      <c r="L30" s="669"/>
      <c r="M30" s="669"/>
      <c r="N30" s="557">
        <f t="shared" si="15"/>
        <v>8</v>
      </c>
      <c r="O30" s="557">
        <f t="shared" si="16"/>
        <v>4.5</v>
      </c>
      <c r="P30" s="557">
        <f>IF(Stamoplysninger!$H$29="JA",Maj!DG30,CX30)</f>
        <v>1.0833333333333335</v>
      </c>
      <c r="Q30" s="557">
        <f t="shared" si="17"/>
        <v>2.4166666666666665</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f>IF(AND(C30="Skema 2",B30="ma"),Arbejdstidsoversigt!$E$53,"")</f>
        <v>8</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f>IF(AND(C30="Skema 2",B30="ma"),Skemaoplysninger!$O$28,"")</f>
        <v>0.1875</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4.5</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f>IF(AND(C30="Skema 2",B30="ma"),Skemaoplysninger!$O$37,"")</f>
        <v>1.0833333333333335</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1.0833333333333335</v>
      </c>
      <c r="CY30" s="457">
        <f>IF(C30="Skema 1",Stamoplysninger!$H$30/200,0)</f>
        <v>0</v>
      </c>
      <c r="CZ30" s="457">
        <f>IF(C30="Skema 2",Stamoplysninger!$H$30/200,0)</f>
        <v>1</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4"/>
        <v>23</v>
      </c>
      <c r="B31" s="218" t="str">
        <f t="shared" si="0"/>
        <v>ti</v>
      </c>
      <c r="C31" s="219" t="s">
        <v>242</v>
      </c>
      <c r="D31" s="220" t="str">
        <f t="shared" si="1"/>
        <v/>
      </c>
      <c r="E31" s="906"/>
      <c r="F31" s="907"/>
      <c r="G31" s="908"/>
      <c r="H31" s="526"/>
      <c r="I31" s="855"/>
      <c r="J31" s="726"/>
      <c r="K31" s="669"/>
      <c r="L31" s="669"/>
      <c r="M31" s="669"/>
      <c r="N31" s="557">
        <f t="shared" si="15"/>
        <v>8</v>
      </c>
      <c r="O31" s="557">
        <f t="shared" si="16"/>
        <v>4.5</v>
      </c>
      <c r="P31" s="557">
        <f>IF(Stamoplysninger!$H$29="JA",Maj!DG31,CX31)</f>
        <v>1.0833333333333335</v>
      </c>
      <c r="Q31" s="557">
        <f t="shared" si="17"/>
        <v>2.4166666666666665</v>
      </c>
      <c r="R31" s="558"/>
      <c r="S31" s="564"/>
      <c r="T31" s="565"/>
      <c r="U31" s="565"/>
      <c r="V31" s="559"/>
      <c r="W31" s="763"/>
      <c r="X31" s="560"/>
      <c r="Y31">
        <f t="shared" si="18"/>
        <v>0</v>
      </c>
      <c r="Z31">
        <f t="shared" si="2"/>
        <v>0</v>
      </c>
      <c r="AA31" s="1">
        <f t="shared" si="3"/>
        <v>0</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f>IF(AND(C31="Skema 2",B31="ti"),Arbejdstidsoversigt!$E$54,"")</f>
        <v>8</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8</v>
      </c>
      <c r="BB31" s="421">
        <f t="shared" si="8"/>
        <v>0</v>
      </c>
      <c r="BC31" s="1">
        <f t="shared" si="20"/>
        <v>0</v>
      </c>
      <c r="BD31" s="1">
        <f t="shared" si="9"/>
        <v>0</v>
      </c>
      <c r="BE31" s="1">
        <f t="shared" si="10"/>
        <v>0</v>
      </c>
      <c r="BF31" s="1">
        <f t="shared" si="11"/>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f>IF(AND(C31="Skema 2",B31="ti"),Skemaoplysninger!$P$28,"")</f>
        <v>0.1875</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4.5</v>
      </c>
      <c r="CB31" s="1">
        <f t="shared" si="12"/>
        <v>0</v>
      </c>
      <c r="CC31" s="1">
        <f t="shared" si="13"/>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f>IF(AND(C31="Skema 2",B31="ti"),Skemaoplysninger!$P$37,"")</f>
        <v>1.0833333333333335</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1.0833333333333335</v>
      </c>
      <c r="CY31" s="457">
        <f>IF(C31="Skema 1",Stamoplysninger!$H$30/200,0)</f>
        <v>0</v>
      </c>
      <c r="CZ31" s="457">
        <f>IF(C31="Skema 2",Stamoplysninger!$H$30/200,0)</f>
        <v>1</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1</v>
      </c>
    </row>
    <row r="32" spans="1:111">
      <c r="A32" s="443">
        <f t="shared" si="14"/>
        <v>24</v>
      </c>
      <c r="B32" s="218" t="str">
        <f t="shared" si="0"/>
        <v>on</v>
      </c>
      <c r="C32" s="219" t="s">
        <v>242</v>
      </c>
      <c r="D32" s="220" t="str">
        <f t="shared" si="1"/>
        <v/>
      </c>
      <c r="E32" s="449"/>
      <c r="F32" s="450"/>
      <c r="G32" s="451"/>
      <c r="H32" s="526"/>
      <c r="I32" s="855"/>
      <c r="J32" s="726"/>
      <c r="K32" s="669"/>
      <c r="L32" s="669"/>
      <c r="M32" s="669"/>
      <c r="N32" s="557">
        <f t="shared" si="15"/>
        <v>8</v>
      </c>
      <c r="O32" s="557">
        <f t="shared" si="16"/>
        <v>3</v>
      </c>
      <c r="P32" s="557">
        <f>IF(Stamoplysninger!$H$29="JA",Maj!DG32,CX32)</f>
        <v>0.5</v>
      </c>
      <c r="Q32" s="557">
        <f t="shared" si="17"/>
        <v>4.5</v>
      </c>
      <c r="R32" s="558"/>
      <c r="S32" s="564"/>
      <c r="T32" s="565"/>
      <c r="U32" s="565"/>
      <c r="V32" s="559"/>
      <c r="W32" s="763"/>
      <c r="X32" s="560"/>
      <c r="Y32">
        <f t="shared" si="18"/>
        <v>0</v>
      </c>
      <c r="Z32">
        <f t="shared" si="2"/>
        <v>0</v>
      </c>
      <c r="AA32" s="1">
        <f t="shared" si="3"/>
        <v>0</v>
      </c>
      <c r="AB32" s="1">
        <f t="shared" si="4"/>
        <v>0</v>
      </c>
      <c r="AC32" s="1">
        <f t="shared" si="5"/>
        <v>0</v>
      </c>
      <c r="AD32" s="1">
        <f t="shared" si="6"/>
        <v>0</v>
      </c>
      <c r="AE32" s="1">
        <f t="shared" si="7"/>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f>IF(AND(C32="Skema 2",B32="on"),Arbejdstidsoversigt!$E$55,"")</f>
        <v>8</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8</v>
      </c>
      <c r="BB32" s="421">
        <f t="shared" si="8"/>
        <v>0</v>
      </c>
      <c r="BC32" s="1">
        <f t="shared" si="20"/>
        <v>0</v>
      </c>
      <c r="BD32" s="1">
        <f t="shared" si="9"/>
        <v>0</v>
      </c>
      <c r="BE32" s="1">
        <f t="shared" si="10"/>
        <v>0</v>
      </c>
      <c r="BF32" s="1">
        <f t="shared" si="11"/>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f>IF(AND(C32="Skema 2",B32="on"),Skemaoplysninger!$Q$28,"")</f>
        <v>0.125</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3</v>
      </c>
      <c r="CB32" s="1">
        <f t="shared" si="12"/>
        <v>0</v>
      </c>
      <c r="CC32" s="1">
        <f t="shared" si="13"/>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f>IF(AND(C32="Skema 2",B32="on"),Skemaoplysninger!$Q$37,"")</f>
        <v>0.5</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0.5</v>
      </c>
      <c r="CY32" s="457">
        <f>IF(C32="Skema 1",Stamoplysninger!$H$30/200,0)</f>
        <v>0</v>
      </c>
      <c r="CZ32" s="457">
        <f>IF(C32="Skema 2",Stamoplysninger!$H$30/200,0)</f>
        <v>1</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4"/>
        <v>25</v>
      </c>
      <c r="B33" s="218" t="str">
        <f t="shared" si="0"/>
        <v>to</v>
      </c>
      <c r="C33" s="219" t="s">
        <v>242</v>
      </c>
      <c r="D33" s="220" t="str">
        <f t="shared" si="1"/>
        <v/>
      </c>
      <c r="E33" s="906"/>
      <c r="F33" s="907"/>
      <c r="G33" s="908"/>
      <c r="H33" s="526"/>
      <c r="I33" s="855"/>
      <c r="J33" s="726"/>
      <c r="K33" s="669"/>
      <c r="L33" s="669"/>
      <c r="M33" s="669"/>
      <c r="N33" s="557">
        <f t="shared" si="15"/>
        <v>8</v>
      </c>
      <c r="O33" s="557">
        <f t="shared" si="16"/>
        <v>3</v>
      </c>
      <c r="P33" s="557">
        <f>IF(Stamoplysninger!$H$29="JA",Maj!DG33,CX33)</f>
        <v>0.5</v>
      </c>
      <c r="Q33" s="557">
        <f t="shared" si="17"/>
        <v>4.5</v>
      </c>
      <c r="R33" s="558"/>
      <c r="S33" s="564"/>
      <c r="T33" s="565"/>
      <c r="U33" s="565"/>
      <c r="V33" s="559"/>
      <c r="W33" s="763"/>
      <c r="X33" s="560"/>
      <c r="Y33">
        <f t="shared" si="18"/>
        <v>0</v>
      </c>
      <c r="Z33">
        <f t="shared" si="2"/>
        <v>0</v>
      </c>
      <c r="AA33" s="1">
        <f t="shared" si="3"/>
        <v>0</v>
      </c>
      <c r="AB33" s="1">
        <f t="shared" si="4"/>
        <v>0</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f>IF(AND(C33="Skema 2",B33="to"),Arbejdstidsoversigt!$E$56,"")</f>
        <v>8</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8</v>
      </c>
      <c r="BB33" s="421">
        <f t="shared" si="8"/>
        <v>0</v>
      </c>
      <c r="BC33" s="1">
        <f t="shared" si="20"/>
        <v>0</v>
      </c>
      <c r="BD33" s="1">
        <f t="shared" si="9"/>
        <v>0</v>
      </c>
      <c r="BE33" s="1">
        <f t="shared" si="10"/>
        <v>0</v>
      </c>
      <c r="BF33" s="1">
        <f t="shared" si="11"/>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f>IF(AND(C33="Skema 2",B33="to"),Skemaoplysninger!$R$28,"")</f>
        <v>0.125</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3</v>
      </c>
      <c r="CB33" s="1">
        <f t="shared" si="12"/>
        <v>0</v>
      </c>
      <c r="CC33" s="1">
        <f t="shared" si="13"/>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f>IF(AND(C33="Skema 2",B33="to"),Skemaoplysninger!$R$37,"")</f>
        <v>0.5</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0.5</v>
      </c>
      <c r="CY33" s="457">
        <f>IF(C33="Skema 1",Stamoplysninger!$H$30/200,0)</f>
        <v>0</v>
      </c>
      <c r="CZ33" s="457">
        <f>IF(C33="Skema 2",Stamoplysninger!$H$30/200,0)</f>
        <v>1</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1</v>
      </c>
    </row>
    <row r="34" spans="1:111">
      <c r="A34" s="443">
        <f t="shared" si="14"/>
        <v>26</v>
      </c>
      <c r="B34" s="218" t="str">
        <f t="shared" si="0"/>
        <v>fr</v>
      </c>
      <c r="C34" s="219" t="s">
        <v>242</v>
      </c>
      <c r="D34" s="220" t="str">
        <f t="shared" si="1"/>
        <v/>
      </c>
      <c r="E34" s="906"/>
      <c r="F34" s="907"/>
      <c r="G34" s="908"/>
      <c r="H34" s="526"/>
      <c r="I34" s="855"/>
      <c r="J34" s="726"/>
      <c r="K34" s="669"/>
      <c r="L34" s="669"/>
      <c r="M34" s="669"/>
      <c r="N34" s="557">
        <f t="shared" si="15"/>
        <v>6.5</v>
      </c>
      <c r="O34" s="557">
        <f t="shared" si="16"/>
        <v>3</v>
      </c>
      <c r="P34" s="557">
        <f>IF(Stamoplysninger!$H$29="JA",Maj!DG34,CX34)</f>
        <v>0.5</v>
      </c>
      <c r="Q34" s="557">
        <f t="shared" si="17"/>
        <v>3</v>
      </c>
      <c r="R34" s="558"/>
      <c r="S34" s="564"/>
      <c r="T34" s="565"/>
      <c r="U34" s="565"/>
      <c r="V34" s="559"/>
      <c r="W34" s="763"/>
      <c r="X34" s="560"/>
      <c r="Y34">
        <f t="shared" si="18"/>
        <v>0</v>
      </c>
      <c r="Z34">
        <f t="shared" si="2"/>
        <v>0</v>
      </c>
      <c r="AA34" s="1">
        <f t="shared" si="3"/>
        <v>0</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f>IF(AND(C34="Skema 2",B34="fr"),Arbejdstidsoversigt!$E$57,"")</f>
        <v>6.5</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6.5</v>
      </c>
      <c r="BB34" s="421">
        <f t="shared" si="8"/>
        <v>0</v>
      </c>
      <c r="BC34" s="1">
        <f t="shared" si="20"/>
        <v>0</v>
      </c>
      <c r="BD34" s="1">
        <f t="shared" si="9"/>
        <v>0</v>
      </c>
      <c r="BE34" s="1">
        <f t="shared" si="10"/>
        <v>0</v>
      </c>
      <c r="BF34" s="1">
        <f t="shared" si="11"/>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f>IF(AND(C34="Skema 2",B34="fr"),Skemaoplysninger!$S$28,"")</f>
        <v>0.125</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3</v>
      </c>
      <c r="CB34" s="1">
        <f t="shared" si="12"/>
        <v>0</v>
      </c>
      <c r="CC34" s="1">
        <f t="shared" si="13"/>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f>IF(AND(C34="Skema 2",B34="fr"),Skemaoplysninger!$S$37,"")</f>
        <v>0.5</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0.5</v>
      </c>
      <c r="CY34" s="457">
        <f>IF(C34="Skema 1",Stamoplysninger!$H$30/200,0)</f>
        <v>0</v>
      </c>
      <c r="CZ34" s="457">
        <f>IF(C34="Skema 2",Stamoplysninger!$H$30/200,0)</f>
        <v>1</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1</v>
      </c>
    </row>
    <row r="35" spans="1:111">
      <c r="A35" s="443">
        <f t="shared" si="14"/>
        <v>27</v>
      </c>
      <c r="B35" s="218" t="str">
        <f t="shared" si="0"/>
        <v>lø</v>
      </c>
      <c r="C35" s="219" t="s">
        <v>138</v>
      </c>
      <c r="D35" s="220" t="str">
        <f t="shared" si="1"/>
        <v/>
      </c>
      <c r="E35" s="906"/>
      <c r="F35" s="907"/>
      <c r="G35" s="908"/>
      <c r="H35" s="526"/>
      <c r="I35" s="726"/>
      <c r="J35" s="726"/>
      <c r="K35" s="669"/>
      <c r="L35" s="669"/>
      <c r="M35" s="669"/>
      <c r="N35" s="557">
        <f t="shared" si="15"/>
        <v>0</v>
      </c>
      <c r="O35" s="557">
        <f t="shared" si="16"/>
        <v>0</v>
      </c>
      <c r="P35" s="557">
        <f>IF(Stamoplysninger!$H$29="JA",Maj!DG35,CX35)</f>
        <v>0</v>
      </c>
      <c r="Q35" s="557">
        <f t="shared" si="17"/>
        <v>0</v>
      </c>
      <c r="R35" s="558"/>
      <c r="S35" s="564"/>
      <c r="T35" s="565"/>
      <c r="U35" s="565"/>
      <c r="V35" s="559"/>
      <c r="W35" s="763"/>
      <c r="X35" s="560"/>
      <c r="Y35">
        <f t="shared" si="18"/>
        <v>0</v>
      </c>
      <c r="Z35">
        <f t="shared" si="2"/>
        <v>0</v>
      </c>
      <c r="AA35" s="1">
        <f t="shared" si="3"/>
        <v>0</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0</v>
      </c>
      <c r="BB35" s="421">
        <f t="shared" si="8"/>
        <v>0</v>
      </c>
      <c r="BC35" s="1">
        <f t="shared" si="20"/>
        <v>0</v>
      </c>
      <c r="BD35" s="1">
        <f t="shared" si="9"/>
        <v>0</v>
      </c>
      <c r="BE35" s="1">
        <f t="shared" si="10"/>
        <v>0</v>
      </c>
      <c r="BF35" s="1">
        <f t="shared" si="11"/>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0</v>
      </c>
      <c r="CB35" s="1">
        <f t="shared" si="12"/>
        <v>0</v>
      </c>
      <c r="CC35" s="1">
        <f t="shared" si="13"/>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0</v>
      </c>
    </row>
    <row r="36" spans="1:111">
      <c r="A36" s="443">
        <f t="shared" si="14"/>
        <v>28</v>
      </c>
      <c r="B36" s="218" t="str">
        <f t="shared" si="0"/>
        <v>sø</v>
      </c>
      <c r="C36" s="219" t="s">
        <v>138</v>
      </c>
      <c r="D36" s="220" t="str">
        <f t="shared" si="1"/>
        <v/>
      </c>
      <c r="E36" s="906" t="s">
        <v>209</v>
      </c>
      <c r="F36" s="907"/>
      <c r="G36" s="908"/>
      <c r="H36" s="526"/>
      <c r="I36" s="726"/>
      <c r="J36" s="726"/>
      <c r="K36" s="669"/>
      <c r="L36" s="669"/>
      <c r="M36" s="669"/>
      <c r="N36" s="557">
        <f t="shared" si="15"/>
        <v>0</v>
      </c>
      <c r="O36" s="557">
        <f t="shared" si="16"/>
        <v>0</v>
      </c>
      <c r="P36" s="557">
        <f>IF(Stamoplysninger!$H$29="JA",Maj!DG36,CX36)</f>
        <v>0</v>
      </c>
      <c r="Q36" s="557">
        <f t="shared" si="17"/>
        <v>0</v>
      </c>
      <c r="R36" s="558"/>
      <c r="S36" s="564"/>
      <c r="T36" s="565"/>
      <c r="U36" s="565"/>
      <c r="V36" s="559"/>
      <c r="W36" s="763"/>
      <c r="X36" s="560"/>
      <c r="Y36">
        <f t="shared" si="18"/>
        <v>0</v>
      </c>
      <c r="Z36">
        <f t="shared" si="2"/>
        <v>0</v>
      </c>
      <c r="AA36" s="1">
        <f t="shared" si="3"/>
        <v>0</v>
      </c>
      <c r="AB36" s="1">
        <f t="shared" si="4"/>
        <v>0</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0</v>
      </c>
      <c r="BB36" s="421">
        <f t="shared" si="8"/>
        <v>0</v>
      </c>
      <c r="BC36" s="1">
        <f t="shared" si="20"/>
        <v>0</v>
      </c>
      <c r="BD36" s="1">
        <f t="shared" si="9"/>
        <v>0</v>
      </c>
      <c r="BE36" s="1">
        <f t="shared" si="10"/>
        <v>0</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2"/>
        <v>0</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row>
    <row r="37" spans="1:111">
      <c r="A37" s="443">
        <f>IF(ISNUMBER(A36),A36+1,1)</f>
        <v>29</v>
      </c>
      <c r="B37" s="218" t="str">
        <f t="shared" si="0"/>
        <v>ma</v>
      </c>
      <c r="C37" s="219" t="s">
        <v>137</v>
      </c>
      <c r="D37" s="220">
        <f t="shared" si="1"/>
        <v>22.142857142857142</v>
      </c>
      <c r="E37" s="906" t="s">
        <v>376</v>
      </c>
      <c r="F37" s="907"/>
      <c r="G37" s="908"/>
      <c r="H37" s="526"/>
      <c r="I37" s="726"/>
      <c r="J37" s="726"/>
      <c r="K37" s="669"/>
      <c r="L37" s="669"/>
      <c r="M37" s="669"/>
      <c r="N37" s="557">
        <f t="shared" si="15"/>
        <v>0</v>
      </c>
      <c r="O37" s="557">
        <f t="shared" si="16"/>
        <v>0</v>
      </c>
      <c r="P37" s="557">
        <f>IF(Stamoplysninger!$H$29="JA",Maj!DG37,CX37)</f>
        <v>0</v>
      </c>
      <c r="Q37" s="557">
        <f t="shared" si="17"/>
        <v>0</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4"/>
        <v>30</v>
      </c>
      <c r="B38" s="218" t="str">
        <f t="shared" si="0"/>
        <v>ti</v>
      </c>
      <c r="C38" s="219" t="s">
        <v>242</v>
      </c>
      <c r="D38" s="220" t="str">
        <f t="shared" si="1"/>
        <v/>
      </c>
      <c r="E38" s="906"/>
      <c r="F38" s="907"/>
      <c r="G38" s="908"/>
      <c r="H38" s="526"/>
      <c r="I38" s="855"/>
      <c r="J38" s="726"/>
      <c r="K38" s="669"/>
      <c r="L38" s="669"/>
      <c r="M38" s="669"/>
      <c r="N38" s="557">
        <f t="shared" si="15"/>
        <v>8</v>
      </c>
      <c r="O38" s="557">
        <f t="shared" si="16"/>
        <v>4.5</v>
      </c>
      <c r="P38" s="557">
        <f>IF(Stamoplysninger!$H$29="JA",Maj!DG38,CX38)</f>
        <v>1.0833333333333335</v>
      </c>
      <c r="Q38" s="557">
        <f t="shared" si="17"/>
        <v>2.4166666666666665</v>
      </c>
      <c r="R38" s="558"/>
      <c r="S38" s="564"/>
      <c r="T38" s="565"/>
      <c r="U38" s="762"/>
      <c r="V38" s="559"/>
      <c r="W38" s="763"/>
      <c r="X38" s="560"/>
      <c r="Y38">
        <f t="shared" si="18"/>
        <v>0</v>
      </c>
      <c r="Z38">
        <f t="shared" si="2"/>
        <v>0</v>
      </c>
      <c r="AA38" s="1">
        <f t="shared" si="3"/>
        <v>0</v>
      </c>
      <c r="AB38" s="1">
        <f t="shared" si="4"/>
        <v>0</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f>IF(AND(C38="Skema 2",B38="ti"),Arbejdstidsoversigt!$E$54,"")</f>
        <v>8</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8</v>
      </c>
      <c r="BB38" s="421">
        <f t="shared" si="8"/>
        <v>0</v>
      </c>
      <c r="BC38" s="1">
        <f t="shared" si="20"/>
        <v>0</v>
      </c>
      <c r="BD38" s="1">
        <f t="shared" si="9"/>
        <v>0</v>
      </c>
      <c r="BE38" s="1">
        <f t="shared" si="10"/>
        <v>0</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f>IF(AND(C38="Skema 2",B38="ti"),Skemaoplysninger!$P$28,"")</f>
        <v>0.1875</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4.5</v>
      </c>
      <c r="CB38" s="1">
        <f t="shared" si="12"/>
        <v>0</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f>IF(AND(C38="Skema 2",B38="ti"),Skemaoplysninger!$P$37,"")</f>
        <v>1.0833333333333335</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1.0833333333333335</v>
      </c>
      <c r="CY38" s="457">
        <f>IF(C38="Skema 1",Stamoplysninger!$H$30/200,0)</f>
        <v>0</v>
      </c>
      <c r="CZ38" s="457">
        <f>IF(C38="Skema 2",Stamoplysninger!$H$30/200,0)</f>
        <v>1</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1</v>
      </c>
    </row>
    <row r="39" spans="1:111">
      <c r="A39" s="443">
        <f>IF(ISNUMBER(A38),A38+1,1)</f>
        <v>31</v>
      </c>
      <c r="B39" s="218" t="str">
        <f t="shared" si="0"/>
        <v>on</v>
      </c>
      <c r="C39" s="219" t="s">
        <v>242</v>
      </c>
      <c r="D39" s="220" t="str">
        <f t="shared" si="1"/>
        <v/>
      </c>
      <c r="E39" s="909"/>
      <c r="F39" s="910"/>
      <c r="G39" s="911"/>
      <c r="H39" s="525"/>
      <c r="I39" s="855"/>
      <c r="J39" s="726"/>
      <c r="K39" s="669"/>
      <c r="L39" s="669"/>
      <c r="M39" s="669"/>
      <c r="N39" s="557">
        <f t="shared" si="15"/>
        <v>8</v>
      </c>
      <c r="O39" s="557">
        <f t="shared" si="16"/>
        <v>3</v>
      </c>
      <c r="P39" s="557">
        <f>IF(Stamoplysninger!$H$29="JA",Maj!DG39,CX39)</f>
        <v>0.5</v>
      </c>
      <c r="Q39" s="557">
        <f t="shared" si="17"/>
        <v>4.5</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t="str">
        <f>IF(AND(C39="Skema 1",B39="ma"),Arbejdstidsoversigt!$E$44,"")</f>
        <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f>IF(AND(C39="Skema 2",B39="on"),Arbejdstidsoversigt!$E$55,"")</f>
        <v>8</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8</v>
      </c>
      <c r="BB39" s="421">
        <f t="shared" si="8"/>
        <v>0</v>
      </c>
      <c r="BC39" s="1">
        <f t="shared" si="20"/>
        <v>0</v>
      </c>
      <c r="BD39" s="1">
        <f t="shared" si="9"/>
        <v>0</v>
      </c>
      <c r="BE39" s="1">
        <f t="shared" si="10"/>
        <v>0</v>
      </c>
      <c r="BF39" s="1">
        <f t="shared" si="11"/>
        <v>0</v>
      </c>
      <c r="BG39" s="382" t="str">
        <f>IF(AND(C39="Skema 1",B39="ma"),Skemaoplysninger!$E$28,"")</f>
        <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f>IF(AND(C39="Skema 2",B39="on"),Skemaoplysninger!$Q$28,"")</f>
        <v>0.125</v>
      </c>
      <c r="BO39" s="382" t="str">
        <f>IF(AND(C39="Skema 2",B39="to"),Skemaoplysninger!$R$28,"")</f>
        <v/>
      </c>
      <c r="BP39" s="382" t="str">
        <f>IF(AND(C39="Skema 2",B39="fr"),Skemaoplysninger!$S$28,"")</f>
        <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3</v>
      </c>
      <c r="CB39" s="1">
        <f t="shared" si="12"/>
        <v>0</v>
      </c>
      <c r="CC39" s="1">
        <f t="shared" si="13"/>
        <v>0</v>
      </c>
      <c r="CD39" s="382" t="str">
        <f>IF(AND(C39="Skema 1",B39="ma"),Skemaoplysninger!$E$37,"")</f>
        <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f>IF(AND(C39="Skema 2",B39="on"),Skemaoplysninger!$Q$37,"")</f>
        <v>0.5</v>
      </c>
      <c r="CL39" s="382" t="str">
        <f>IF(AND(C39="Skema 2",B39="to"),Skemaoplysninger!$R$37,"")</f>
        <v/>
      </c>
      <c r="CM39" s="382" t="str">
        <f>IF(AND(C39="Skema 2",B39="fr"),Skemaoplysninger!$S$37,"")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0.5</v>
      </c>
      <c r="CY39" s="457">
        <f>IF(C39="Skema 1",Stamoplysninger!$H$30/200,0)</f>
        <v>0</v>
      </c>
      <c r="CZ39" s="457">
        <f>IF(C39="Skema 2",Stamoplysninger!$H$30/200,0)</f>
        <v>1</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1</v>
      </c>
    </row>
    <row r="40" spans="1:111" ht="17" thickBot="1">
      <c r="A40" s="1101" t="s">
        <v>308</v>
      </c>
      <c r="B40" s="1102"/>
      <c r="C40" s="1102"/>
      <c r="D40" s="1102"/>
      <c r="E40" s="1102"/>
      <c r="F40" s="1102"/>
      <c r="G40" s="1102"/>
      <c r="H40" s="1102"/>
      <c r="I40" s="1103"/>
      <c r="J40" s="552"/>
      <c r="K40" s="561"/>
      <c r="L40" s="561"/>
      <c r="M40" s="561"/>
      <c r="N40" s="562">
        <f t="shared" ref="N40:Q40" si="23">SUM(N9:N39)</f>
        <v>149</v>
      </c>
      <c r="O40" s="562">
        <f t="shared" si="23"/>
        <v>70.5</v>
      </c>
      <c r="P40" s="562">
        <f t="shared" si="23"/>
        <v>14.750000000000004</v>
      </c>
      <c r="Q40" s="562">
        <f t="shared" si="23"/>
        <v>63.749999999999993</v>
      </c>
      <c r="R40"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0</v>
      </c>
      <c r="Z40" s="706">
        <f>Z9+Z10+Z11+Z12+Z13+Z14+Z15+Z16+Z17+Z18+Z19+Z20+Z21+Z22+Z23+Z24+Z25+Z26+Z27+Z28+Z29+Z30+Z31+Z32+Z33+Z34+Z35+Z36+Z37+Z38+Z39</f>
        <v>0</v>
      </c>
      <c r="AA40" s="431">
        <f t="shared" ref="AA40:AF40" si="24">SUM(AA9:AA39)</f>
        <v>0</v>
      </c>
      <c r="AB40" s="431">
        <f t="shared" si="24"/>
        <v>0</v>
      </c>
      <c r="AC40" s="431">
        <f t="shared" si="24"/>
        <v>0</v>
      </c>
      <c r="AD40" s="431">
        <f t="shared" si="24"/>
        <v>0</v>
      </c>
      <c r="AE40" s="431">
        <f t="shared" si="24"/>
        <v>0</v>
      </c>
      <c r="AF40" s="585">
        <f t="shared" si="24"/>
        <v>0</v>
      </c>
      <c r="AQ40" s="383"/>
      <c r="AR40" s="383"/>
      <c r="AS40" s="383"/>
      <c r="AT40" s="383"/>
      <c r="AU40" s="383"/>
      <c r="AV40" s="383"/>
      <c r="AW40" s="383"/>
      <c r="AX40" s="383"/>
      <c r="AY40" s="383"/>
      <c r="AZ40" s="383"/>
      <c r="BA40" s="1">
        <f>SUM(BA9:BA39)</f>
        <v>149</v>
      </c>
      <c r="BB40" s="180"/>
      <c r="BC40" s="431">
        <f>SUM(BC9:BC39)</f>
        <v>0</v>
      </c>
      <c r="BD40" s="431">
        <f>SUM(BD9:BD39)</f>
        <v>0</v>
      </c>
      <c r="BE40" s="431">
        <f t="shared" ref="BE40:BF40" si="25">SUM(BE9:BE39)</f>
        <v>0</v>
      </c>
      <c r="BF40" s="431">
        <f t="shared" si="25"/>
        <v>0</v>
      </c>
      <c r="BQ40" s="383"/>
      <c r="BR40" s="383"/>
      <c r="BS40" s="383"/>
      <c r="BT40" s="383"/>
      <c r="BU40" s="383"/>
      <c r="BV40" s="383"/>
      <c r="BW40" s="383"/>
      <c r="BX40" s="383"/>
      <c r="BY40" s="383"/>
      <c r="BZ40" s="383"/>
      <c r="CA40" s="431">
        <f>SUM(CA9:CA39)</f>
        <v>70.5</v>
      </c>
      <c r="CB40" s="431">
        <f t="shared" ref="CB40:CC40" si="26">SUM(CB9:CB39)</f>
        <v>0</v>
      </c>
      <c r="CC40" s="431">
        <f t="shared" si="26"/>
        <v>0</v>
      </c>
      <c r="CN40" s="383"/>
      <c r="CO40" s="383"/>
      <c r="CP40" s="383"/>
      <c r="CQ40" s="383"/>
      <c r="CR40" s="383"/>
      <c r="CS40" s="383"/>
      <c r="CT40" s="383"/>
      <c r="CU40" s="383"/>
      <c r="CV40" s="383"/>
      <c r="CW40" s="383"/>
      <c r="CX40" s="457"/>
      <c r="CY40" s="457">
        <f t="shared" ref="CY40:DG40" si="27">SUM(CY9:CY39)</f>
        <v>0</v>
      </c>
      <c r="CZ40" s="457">
        <f t="shared" si="27"/>
        <v>19</v>
      </c>
      <c r="DA40" s="457">
        <f t="shared" si="27"/>
        <v>0</v>
      </c>
      <c r="DB40" s="457">
        <f t="shared" si="27"/>
        <v>0</v>
      </c>
      <c r="DC40" s="457">
        <f t="shared" si="27"/>
        <v>0</v>
      </c>
      <c r="DD40" s="457">
        <f t="shared" si="27"/>
        <v>0</v>
      </c>
      <c r="DE40" s="457">
        <f t="shared" si="27"/>
        <v>0</v>
      </c>
      <c r="DF40" s="457">
        <f t="shared" si="27"/>
        <v>0</v>
      </c>
      <c r="DG40" s="457">
        <f t="shared" si="27"/>
        <v>19</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6"/>
      <c r="AB41" s="445"/>
      <c r="AC41" s="445"/>
      <c r="AD41" s="446"/>
      <c r="AE41" s="446"/>
      <c r="AF41"/>
      <c r="AG41" s="446"/>
      <c r="AR41" s="447"/>
      <c r="AS41" s="447"/>
      <c r="AT41" s="447"/>
      <c r="AU41" s="447"/>
      <c r="AV41" s="447"/>
      <c r="AW41" s="447"/>
      <c r="AX41" s="447"/>
      <c r="AY41" s="447"/>
      <c r="AZ41" s="447"/>
      <c r="BA41" s="447"/>
      <c r="BB41" s="447"/>
      <c r="BC41" s="446"/>
      <c r="BD41" s="446"/>
      <c r="BE41" s="446"/>
      <c r="BF41" s="446"/>
      <c r="BG41" s="448"/>
      <c r="BR41" s="447"/>
      <c r="BS41" s="447"/>
      <c r="BT41" s="447"/>
      <c r="BU41" s="447"/>
      <c r="BV41" s="447"/>
      <c r="BW41" s="447"/>
      <c r="BX41" s="447"/>
      <c r="BY41" s="447"/>
      <c r="BZ41" s="447"/>
      <c r="CA41" s="447"/>
      <c r="CB41" s="446"/>
      <c r="CC41" s="446"/>
      <c r="CD41" s="448"/>
      <c r="CO41" s="447"/>
      <c r="CP41" s="447"/>
      <c r="CQ41" s="447"/>
      <c r="CR41" s="447"/>
      <c r="CS41" s="447"/>
      <c r="CT41" s="447"/>
      <c r="CU41" s="447"/>
      <c r="CV41" s="447"/>
      <c r="CW41" s="447"/>
      <c r="CX41" s="458"/>
      <c r="CY41" s="458"/>
    </row>
    <row r="42" spans="1:111" ht="70" customHeight="1">
      <c r="A42" s="1138" t="str">
        <f>"Arbejdstid for "&amp;A7&amp;" måned:"</f>
        <v>Arbejdstid for Maj måned:</v>
      </c>
      <c r="B42" s="1139"/>
      <c r="C42" s="1139"/>
      <c r="D42" s="1139"/>
      <c r="E42" s="1139"/>
      <c r="F42" s="1139"/>
      <c r="G42" s="1139"/>
      <c r="H42" s="571" t="s">
        <v>303</v>
      </c>
      <c r="I42" s="1139" t="s">
        <v>264</v>
      </c>
      <c r="J42" s="1140"/>
      <c r="K42" s="1141"/>
      <c r="L42" s="472"/>
      <c r="M42" s="1164" t="str">
        <f>"Ulempetimer og weekendtimer i "&amp;A5&amp;""</f>
        <v>Ulempetimer og weekendtimer i Maj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23</v>
      </c>
      <c r="I43" s="1107">
        <f>IF(Stamoplysninger!$E$12="Ja",1924/Arbejdstidsoversigt!$K$9*Stamoplysninger!$E$15*H43,H43*7.4*Stamoplysninger!$E$13)</f>
        <v>169.54789272030652</v>
      </c>
      <c r="J43" s="1108"/>
      <c r="K43" s="1109"/>
      <c r="L43" s="468"/>
      <c r="M43" s="1167" t="s">
        <v>368</v>
      </c>
      <c r="N43" s="1168"/>
      <c r="O43" s="1168"/>
      <c r="P43" s="1168"/>
      <c r="Q43" s="1168"/>
      <c r="R43" s="1168"/>
      <c r="S43" s="1168"/>
      <c r="T43" s="1168"/>
      <c r="U43" s="1168"/>
      <c r="V43" s="1169">
        <f>M62+S61+T61+M65+M69+M63+N62+N69</f>
        <v>0</v>
      </c>
      <c r="W43" s="1169"/>
      <c r="X43" s="1170"/>
      <c r="Y43" s="437"/>
      <c r="Z43" s="437"/>
      <c r="AD43" s="124"/>
      <c r="AE43" s="124"/>
      <c r="AZ43" s="436"/>
      <c r="BM43" s="1"/>
      <c r="CJ43" s="1"/>
      <c r="CU43" s="455"/>
      <c r="CV43" s="455"/>
      <c r="CY43"/>
      <c r="CZ43"/>
    </row>
    <row r="44" spans="1:111">
      <c r="A44" s="1105" t="str">
        <f>"Ferie "&amp;A7&amp;" måned"</f>
        <v>Ferie Maj måned</v>
      </c>
      <c r="B44" s="1106"/>
      <c r="C44" s="1106"/>
      <c r="D44" s="1106"/>
      <c r="E44" s="1106"/>
      <c r="F44" s="1106"/>
      <c r="G44" s="1106"/>
      <c r="H44" s="467" t="str">
        <f>IF(D62&gt;0,$D$62,"0")</f>
        <v>0</v>
      </c>
      <c r="I44" s="1110">
        <f>H44*7.4*Stamoplysninger!$E$15</f>
        <v>0</v>
      </c>
      <c r="J44" s="1111"/>
      <c r="K44" s="1112"/>
      <c r="L44" s="468"/>
      <c r="M44" s="1171" t="s">
        <v>307</v>
      </c>
      <c r="N44" s="1172"/>
      <c r="O44" s="1172"/>
      <c r="P44" s="1172"/>
      <c r="Q44" s="1172"/>
      <c r="R44" s="1172"/>
      <c r="S44" s="1172"/>
      <c r="T44" s="1172"/>
      <c r="U44" s="1172"/>
      <c r="V44" s="1173">
        <f>M61+S60+T60+M64+M68+M60+N60+N68</f>
        <v>0</v>
      </c>
      <c r="W44" s="1173"/>
      <c r="X44" s="1174"/>
      <c r="Y44" s="437"/>
      <c r="Z44" s="437"/>
      <c r="AD44" s="124"/>
      <c r="AE44" s="124"/>
      <c r="AZ44" s="436"/>
      <c r="BM44" s="1"/>
      <c r="CJ44" s="1"/>
      <c r="CU44" s="455"/>
      <c r="CV44" s="455"/>
      <c r="CY44"/>
      <c r="CZ44"/>
    </row>
    <row r="45" spans="1:111">
      <c r="A45" s="1105" t="str">
        <f>"Søgnehelligdage i "&amp;A7&amp;" måned"</f>
        <v>Søgnehelligdage i Maj måned</v>
      </c>
      <c r="B45" s="1106"/>
      <c r="C45" s="1106"/>
      <c r="D45" s="1106"/>
      <c r="E45" s="1106"/>
      <c r="F45" s="1106"/>
      <c r="G45" s="1106"/>
      <c r="H45" s="467">
        <f>IF(D61&gt;0,D61,0)</f>
        <v>3</v>
      </c>
      <c r="I45" s="1110">
        <f>H45*7.4*Stamoplysninger!$E$15</f>
        <v>22.200000000000003</v>
      </c>
      <c r="J45" s="1111"/>
      <c r="K45" s="1112"/>
      <c r="L45" s="469"/>
      <c r="M45" s="1175" t="s">
        <v>347</v>
      </c>
      <c r="N45" s="1176"/>
      <c r="O45" s="1176"/>
      <c r="P45" s="1176"/>
      <c r="Q45" s="1176"/>
      <c r="R45" s="1176"/>
      <c r="S45" s="1176"/>
      <c r="T45" s="1176"/>
      <c r="U45" s="1176"/>
      <c r="V45" s="1186">
        <f>April!V54</f>
        <v>9</v>
      </c>
      <c r="W45" s="1186"/>
      <c r="X45" s="1187"/>
      <c r="Y45" s="437"/>
      <c r="Z45" s="437"/>
      <c r="AD45" s="124"/>
      <c r="AE45" s="124"/>
      <c r="AZ45" s="436"/>
      <c r="BM45" s="1"/>
      <c r="CJ45" s="1"/>
      <c r="CU45" s="455"/>
      <c r="CV45" s="455"/>
      <c r="CY45"/>
      <c r="CZ45"/>
    </row>
    <row r="46" spans="1:111">
      <c r="A46" s="1105" t="str">
        <f>"Nettoarbejdstid ialt i "&amp;A7&amp;" måned"</f>
        <v>Nettoarbejdstid ialt i Maj måned</v>
      </c>
      <c r="B46" s="1106"/>
      <c r="C46" s="1106"/>
      <c r="D46" s="1106"/>
      <c r="E46" s="1106"/>
      <c r="F46" s="1106"/>
      <c r="G46" s="1106"/>
      <c r="H46" s="470">
        <f>H43-H44-H45</f>
        <v>20</v>
      </c>
      <c r="I46" s="1110">
        <f>I43-I44-I45</f>
        <v>147.3478927203065</v>
      </c>
      <c r="J46" s="1111"/>
      <c r="K46" s="1112"/>
      <c r="L46" s="469"/>
      <c r="M46" s="1134" t="s">
        <v>354</v>
      </c>
      <c r="N46" s="1135"/>
      <c r="O46" s="1135"/>
      <c r="P46" s="1135"/>
      <c r="Q46" s="1135"/>
      <c r="R46" s="1135"/>
      <c r="S46" s="1135"/>
      <c r="T46" s="1135"/>
      <c r="U46" s="1135"/>
      <c r="V46" s="1136">
        <f>V44+V45</f>
        <v>9</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Maj måned kalender</v>
      </c>
      <c r="B47" s="1114"/>
      <c r="C47" s="1114"/>
      <c r="D47" s="1114"/>
      <c r="E47" s="1114"/>
      <c r="F47" s="1114"/>
      <c r="G47" s="1114"/>
      <c r="H47" s="866">
        <f>D53+D54+D55+D56+D57+D58+D59</f>
        <v>19</v>
      </c>
      <c r="I47" s="1115">
        <f>N40+R40-J56</f>
        <v>149</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0</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09">
      <c r="A49" s="1126" t="str">
        <f>"Arbejde særligt planlagt for "&amp;A7&amp;" måned efter fanen skemaoplysninger"</f>
        <v>Arbejde særligt planlagt for Maj måned efter fanen skemaoplysninger</v>
      </c>
      <c r="B49" s="1127"/>
      <c r="C49" s="1127"/>
      <c r="D49" s="1127"/>
      <c r="E49" s="1127"/>
      <c r="F49" s="1127"/>
      <c r="G49" s="1127"/>
      <c r="H49" s="1128"/>
      <c r="I49" s="1116">
        <f>Skemaoplysninger!T67</f>
        <v>0</v>
      </c>
      <c r="J49" s="1124"/>
      <c r="K49" s="1125"/>
      <c r="L49" s="680"/>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09">
      <c r="A50" s="1142" t="s">
        <v>342</v>
      </c>
      <c r="B50" s="1143"/>
      <c r="C50" s="1143"/>
      <c r="D50" s="1143"/>
      <c r="E50" s="1143"/>
      <c r="F50" s="1143"/>
      <c r="G50" s="1143"/>
      <c r="H50" s="1143"/>
      <c r="I50" s="1194">
        <f>V40+X40-N57</f>
        <v>0</v>
      </c>
      <c r="J50" s="1118"/>
      <c r="K50" s="1195"/>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09" ht="17" thickBot="1">
      <c r="A51" s="471" t="str">
        <f>"Faktisk arbejdstid ialt i "&amp;A7&amp;" måned"</f>
        <v>Faktisk arbejdstid ialt i Maj måned</v>
      </c>
      <c r="B51" s="553"/>
      <c r="C51" s="554"/>
      <c r="D51" s="554"/>
      <c r="E51" s="554"/>
      <c r="F51" s="554"/>
      <c r="G51" s="554"/>
      <c r="H51" s="555"/>
      <c r="I51" s="1129">
        <f>I47+I50+I49+I48</f>
        <v>149</v>
      </c>
      <c r="J51" s="1130"/>
      <c r="K51" s="1131"/>
      <c r="L51" s="581"/>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761"/>
      <c r="B52" s="761"/>
      <c r="C52" s="761"/>
      <c r="D52" s="761"/>
      <c r="E52" s="761"/>
      <c r="F52" s="761"/>
      <c r="G52" s="761"/>
      <c r="H52" s="780"/>
      <c r="I52" s="582"/>
      <c r="J52" s="582"/>
      <c r="K52" s="473" t="s">
        <v>343</v>
      </c>
      <c r="L52" s="581"/>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683" t="s">
        <v>241</v>
      </c>
      <c r="B53" s="689"/>
      <c r="C53" s="689"/>
      <c r="D53" s="683">
        <f>COUNTIF([0]!Maj,"Skema 1")</f>
        <v>0</v>
      </c>
      <c r="E53" s="690"/>
      <c r="F53" s="576" t="s">
        <v>221</v>
      </c>
      <c r="G53" s="576">
        <f>COUNTIFS($B$9:$B$39,"ma",[0]!Maj,"Skema 1")</f>
        <v>0</v>
      </c>
      <c r="H53" s="576"/>
      <c r="I53" s="576"/>
      <c r="J53" s="579"/>
      <c r="K53" s="581"/>
      <c r="L53" s="5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c r="A54" s="1188" t="s">
        <v>242</v>
      </c>
      <c r="B54" s="1188"/>
      <c r="C54" s="1188"/>
      <c r="D54" s="683">
        <f>COUNTIF([0]!Maj,"Skema 2")</f>
        <v>19</v>
      </c>
      <c r="E54" s="690"/>
      <c r="F54" s="576" t="s">
        <v>222</v>
      </c>
      <c r="G54" s="576">
        <f>COUNTIFS($B$9:$B$39,"ti",[0]!Maj,"Skema 1")</f>
        <v>0</v>
      </c>
      <c r="H54" s="576"/>
      <c r="I54" s="576"/>
      <c r="J54" s="579"/>
      <c r="K54" s="581"/>
      <c r="L54" s="581"/>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09" ht="17" thickBot="1">
      <c r="A55" s="1188" t="s">
        <v>243</v>
      </c>
      <c r="B55" s="1188"/>
      <c r="C55" s="1188"/>
      <c r="D55" s="683">
        <f>COUNTIF([0]!Maj,"Skema 3")</f>
        <v>0</v>
      </c>
      <c r="E55" s="690"/>
      <c r="F55" s="576" t="s">
        <v>223</v>
      </c>
      <c r="G55" s="576">
        <f>COUNTIFS($B$9:$B$39,"on",[0]!Maj,"Skema 1")</f>
        <v>0</v>
      </c>
      <c r="H55" s="576"/>
      <c r="I55" s="576"/>
      <c r="J55" s="579"/>
      <c r="K55" s="581"/>
      <c r="L55" s="768"/>
      <c r="M55" s="1151" t="s">
        <v>346</v>
      </c>
      <c r="N55" s="1152"/>
      <c r="O55" s="1152"/>
      <c r="P55" s="1152"/>
      <c r="Q55" s="1152"/>
      <c r="R55" s="1152"/>
      <c r="S55" s="1152"/>
      <c r="T55" s="1152"/>
      <c r="U55" s="1153"/>
      <c r="V55" s="1154">
        <f>V46-SUM(V49:W54)</f>
        <v>9</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09" hidden="1">
      <c r="A56" s="1188" t="s">
        <v>244</v>
      </c>
      <c r="B56" s="1188"/>
      <c r="C56" s="1188"/>
      <c r="D56" s="683">
        <f>COUNTIF([0]!Maj,"Skema 4")</f>
        <v>0</v>
      </c>
      <c r="E56" s="690"/>
      <c r="F56" s="576" t="s">
        <v>225</v>
      </c>
      <c r="G56" s="576">
        <f>COUNTIFS($B$9:$B$39,"to",[0]!Maj,"Skema 1")</f>
        <v>0</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769"/>
      <c r="L56" s="768"/>
      <c r="M56" s="761" t="s">
        <v>378</v>
      </c>
      <c r="N56" s="761" t="s">
        <v>482</v>
      </c>
      <c r="O56" s="465"/>
      <c r="P56" s="465"/>
      <c r="Q56" s="465"/>
      <c r="R56" s="465"/>
      <c r="S56" s="465"/>
      <c r="T56" s="465"/>
      <c r="U56" s="465"/>
      <c r="V56" s="465"/>
      <c r="W56" s="465"/>
      <c r="X56" s="465"/>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83" t="s">
        <v>117</v>
      </c>
      <c r="B57" s="683"/>
      <c r="C57" s="683"/>
      <c r="D57" s="683">
        <f>COUNTIF([0]!Maj,"Fagdag")+COUNTIF([0]!Maj,"emnedag")</f>
        <v>0</v>
      </c>
      <c r="E57" s="690"/>
      <c r="F57" s="576" t="s">
        <v>224</v>
      </c>
      <c r="G57" s="576">
        <f>COUNTIFS($B$9:$B$39,"fr",[0]!Maj,"Skema 1")</f>
        <v>0</v>
      </c>
      <c r="H57" s="576"/>
      <c r="I57" s="578" t="s">
        <v>380</v>
      </c>
      <c r="J57" s="579"/>
      <c r="K57" s="768"/>
      <c r="L57" s="769"/>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7" s="754"/>
      <c r="P57" s="581"/>
      <c r="Q57" s="757" t="s">
        <v>382</v>
      </c>
      <c r="R57" s="459"/>
      <c r="S57" s="459"/>
      <c r="T57" s="459" t="s">
        <v>383</v>
      </c>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91" t="s">
        <v>116</v>
      </c>
      <c r="B58" s="683"/>
      <c r="C58" s="683"/>
      <c r="D58" s="683">
        <f>COUNTIF([0]!Maj,"Lejrskole")+COUNTIF([0]!Maj,"Ekskursion")</f>
        <v>0</v>
      </c>
      <c r="E58" s="690"/>
      <c r="F58" s="576"/>
      <c r="G58" s="576"/>
      <c r="H58" s="576"/>
      <c r="I58" s="578" t="s">
        <v>394</v>
      </c>
      <c r="J58" s="579"/>
      <c r="K58" s="768"/>
      <c r="L58" s="769"/>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115</v>
      </c>
      <c r="B59" s="683"/>
      <c r="C59" s="683"/>
      <c r="D59" s="683">
        <f>COUNTIF([0]!Maj,"Pæd.dag")</f>
        <v>0</v>
      </c>
      <c r="E59" s="690"/>
      <c r="F59" s="576" t="s">
        <v>226</v>
      </c>
      <c r="G59" s="576">
        <f>COUNTIFS($B$9:$B$39,"ma",[0]!Maj,"Skema 2")</f>
        <v>4</v>
      </c>
      <c r="H59" s="576"/>
      <c r="I59" s="576" t="s">
        <v>393</v>
      </c>
      <c r="J59" s="579"/>
      <c r="K59" s="769"/>
      <c r="L59" s="769"/>
      <c r="M59" s="754">
        <f>SUM(M57:M58)</f>
        <v>0</v>
      </c>
      <c r="N59" s="754">
        <f>SUM(N57:N58)</f>
        <v>0</v>
      </c>
      <c r="O59" s="756">
        <f>(M59+N59)/2</f>
        <v>0</v>
      </c>
      <c r="P59" s="581">
        <f>SUM(M59:O59)</f>
        <v>0</v>
      </c>
      <c r="Q59" s="757">
        <f>(M59+N59)*25%</f>
        <v>0</v>
      </c>
      <c r="R59" s="459"/>
      <c r="S59" s="459"/>
      <c r="T59" s="459"/>
      <c r="U59" s="459"/>
      <c r="V59" s="459"/>
      <c r="W59" s="582"/>
      <c r="X59" s="582"/>
      <c r="Y59" s="437"/>
      <c r="Z59" s="437"/>
      <c r="AA59" s="437"/>
      <c r="AB59" s="387"/>
      <c r="AC59" s="454"/>
      <c r="AD59" s="454"/>
      <c r="AE59" s="454"/>
      <c r="AG59" s="437"/>
      <c r="AI59" s="437"/>
      <c r="AJ59" s="437"/>
      <c r="AN59" s="124"/>
      <c r="AO59" s="124"/>
      <c r="BI59" s="436"/>
      <c r="BV59" s="1"/>
      <c r="CS59" s="1"/>
      <c r="CY59"/>
      <c r="CZ59"/>
      <c r="DD59" s="455"/>
      <c r="DE59" s="455"/>
    </row>
    <row r="60" spans="1:109" hidden="1">
      <c r="A60" s="683" t="s">
        <v>138</v>
      </c>
      <c r="B60" s="683"/>
      <c r="C60" s="683"/>
      <c r="D60" s="683">
        <f>COUNTIF([0]!Maj,"Weekend")</f>
        <v>8</v>
      </c>
      <c r="E60" s="690"/>
      <c r="F60" s="576" t="s">
        <v>227</v>
      </c>
      <c r="G60" s="576">
        <f>COUNTIFS($B$9:$B$39,"ti",[0]!Maj,"Skema 2")</f>
        <v>5</v>
      </c>
      <c r="H60" s="576"/>
      <c r="I60" s="576" t="s">
        <v>564</v>
      </c>
      <c r="J60" s="856"/>
      <c r="K60" s="857"/>
      <c r="L60" s="857"/>
      <c r="M60" s="858">
        <f>IF(Stamoplysninger!$B$26="Weekendtimer og weekendtillæg afspadseres.",M57,0)</f>
        <v>0</v>
      </c>
      <c r="N60" s="858">
        <f>IF(Stamoplysninger!$B$26="Weekendtimer og weekendtillæg afspadseres.",N57,0)</f>
        <v>0</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s="436"/>
      <c r="Z60"/>
      <c r="AM60" s="1"/>
      <c r="BJ60" s="1"/>
      <c r="BU60" s="455"/>
      <c r="BV60" s="455"/>
      <c r="CY60"/>
      <c r="CZ60"/>
    </row>
    <row r="61" spans="1:109" hidden="1">
      <c r="A61" s="683" t="s">
        <v>146</v>
      </c>
      <c r="B61" s="683"/>
      <c r="C61" s="683"/>
      <c r="D61" s="683">
        <f>COUNTIF([0]!Maj,"SH-dag")</f>
        <v>3</v>
      </c>
      <c r="E61" s="690"/>
      <c r="F61" s="576" t="s">
        <v>228</v>
      </c>
      <c r="G61" s="576">
        <f>COUNTIFS($B$9:$B$39,"on",[0]!Maj,"Skema 2")</f>
        <v>5</v>
      </c>
      <c r="H61" s="576"/>
      <c r="I61" s="854" t="s">
        <v>565</v>
      </c>
      <c r="J61" s="864"/>
      <c r="K61" s="864"/>
      <c r="L61" s="864"/>
      <c r="M61" s="858">
        <f>IF(Stamoplysninger!$B$26="Weekendtimer og weekendtillæg afspadseres.",O59,0)</f>
        <v>0</v>
      </c>
      <c r="N61" s="858">
        <f>IF(Stamoplysninger!$B$26="Weekendtimer og weekendtillæg afspadseres.",O59,0)</f>
        <v>0</v>
      </c>
      <c r="O61" s="754"/>
      <c r="P61" s="581"/>
      <c r="Q61" s="757" t="s">
        <v>381</v>
      </c>
      <c r="R61" s="459"/>
      <c r="S61" s="459">
        <f>IF(Stamoplysninger!B22="Ulempetillæg udbetales med 25% af nettotimelønnen.",Q59,0)</f>
        <v>0</v>
      </c>
      <c r="T61" s="459">
        <f>IF(Stamoplysninger!B22="Ulempetillæg udbetales med 25% af nettotimelønnen.",(R40+X40)*0.25,0)</f>
        <v>0</v>
      </c>
      <c r="U61" s="459"/>
      <c r="V61" s="459"/>
      <c r="W61" s="582"/>
      <c r="X61" s="582"/>
      <c r="Y61" s="436"/>
      <c r="Z61"/>
      <c r="AM61" s="1"/>
      <c r="BJ61" s="1"/>
      <c r="BU61" s="455"/>
      <c r="BV61" s="455"/>
      <c r="CY61"/>
      <c r="CZ61"/>
    </row>
    <row r="62" spans="1:109" hidden="1">
      <c r="A62" s="683" t="s">
        <v>114</v>
      </c>
      <c r="B62" s="683"/>
      <c r="C62" s="683"/>
      <c r="D62" s="683">
        <f>COUNTIF([0]!Maj,"Feriedag")</f>
        <v>0</v>
      </c>
      <c r="E62" s="690"/>
      <c r="F62" s="576" t="s">
        <v>229</v>
      </c>
      <c r="G62" s="576">
        <f>COUNTIFS($B$9:$B$39,"to",[0]!Maj,"Skema 2")</f>
        <v>3</v>
      </c>
      <c r="H62" s="576"/>
      <c r="I62" s="854" t="s">
        <v>566</v>
      </c>
      <c r="J62" s="865"/>
      <c r="K62" s="865"/>
      <c r="L62" s="865"/>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s="436"/>
      <c r="Z62"/>
      <c r="AM62" s="1"/>
      <c r="BJ62" s="1"/>
      <c r="BU62" s="455"/>
      <c r="BV62" s="455"/>
      <c r="CY62"/>
      <c r="CZ62"/>
    </row>
    <row r="63" spans="1:109" hidden="1">
      <c r="A63" s="683" t="s">
        <v>210</v>
      </c>
      <c r="B63" s="683"/>
      <c r="C63" s="683"/>
      <c r="D63" s="683">
        <f>COUNTIF([0]!Maj,"Nul-dag")</f>
        <v>1</v>
      </c>
      <c r="E63" s="690"/>
      <c r="F63" s="576" t="s">
        <v>230</v>
      </c>
      <c r="G63" s="576">
        <f>COUNTIFS($B$9:$B$39,"fr",[0]!Maj,"Skema 2")</f>
        <v>2</v>
      </c>
      <c r="H63" s="576"/>
      <c r="I63" s="854" t="s">
        <v>567</v>
      </c>
      <c r="J63" s="865"/>
      <c r="K63" s="865"/>
      <c r="L63" s="865"/>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s="436"/>
      <c r="Z63"/>
      <c r="AM63" s="1"/>
      <c r="BJ63" s="1"/>
      <c r="BU63" s="455"/>
      <c r="BV63" s="455"/>
      <c r="CY63"/>
      <c r="CZ63"/>
    </row>
    <row r="64" spans="1:109" hidden="1">
      <c r="A64" s="683" t="s">
        <v>505</v>
      </c>
      <c r="B64" s="683"/>
      <c r="C64" s="683"/>
      <c r="D64" s="683">
        <f>COUNTIF([0]!Maj,"Orlov")</f>
        <v>0</v>
      </c>
      <c r="E64" s="690"/>
      <c r="F64" s="692"/>
      <c r="G64" s="692"/>
      <c r="H64" s="692"/>
      <c r="I64" s="854" t="s">
        <v>385</v>
      </c>
      <c r="J64" s="861"/>
      <c r="K64" s="861"/>
      <c r="L64" s="861"/>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c r="Z64"/>
      <c r="AM64" s="1"/>
      <c r="BJ64" s="1"/>
      <c r="BU64" s="455"/>
      <c r="BV64" s="455"/>
      <c r="CY64"/>
      <c r="CZ64"/>
    </row>
    <row r="65" spans="1:104" hidden="1">
      <c r="A65" s="683" t="s">
        <v>185</v>
      </c>
      <c r="B65" s="683"/>
      <c r="C65" s="683"/>
      <c r="D65" s="683">
        <f>COUNTIF([0]!Maj,"Ikke relevant")</f>
        <v>0</v>
      </c>
      <c r="E65" s="690"/>
      <c r="F65" s="576" t="s">
        <v>231</v>
      </c>
      <c r="G65" s="576">
        <f>COUNTIFS($B$9:$B$39,"ma",[0]!Maj,"Skema 3")</f>
        <v>0</v>
      </c>
      <c r="H65" s="576">
        <v>1</v>
      </c>
      <c r="I65" s="854" t="s">
        <v>386</v>
      </c>
      <c r="J65" s="861"/>
      <c r="K65" s="861"/>
      <c r="L65" s="861"/>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c r="Z65"/>
      <c r="AM65" s="1"/>
      <c r="BJ65" s="1"/>
      <c r="BU65" s="455"/>
      <c r="BV65" s="455"/>
      <c r="CY65"/>
      <c r="CZ65"/>
    </row>
    <row r="66" spans="1:104" hidden="1">
      <c r="A66" s="683" t="s">
        <v>113</v>
      </c>
      <c r="B66" s="683"/>
      <c r="C66" s="683"/>
      <c r="D66" s="693">
        <f>SUM(D53:D65)</f>
        <v>31</v>
      </c>
      <c r="E66" s="693"/>
      <c r="F66" s="576" t="s">
        <v>232</v>
      </c>
      <c r="G66" s="576">
        <f>COUNTIFS($B$9:$B$39,"ti",[0]!Maj,"Skema 3")</f>
        <v>0</v>
      </c>
      <c r="H66" s="576">
        <v>2</v>
      </c>
      <c r="I66" s="854" t="s">
        <v>569</v>
      </c>
      <c r="J66" s="861"/>
      <c r="K66" s="861"/>
      <c r="L66" s="861"/>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c r="Z66" s="1"/>
      <c r="AX66" s="1"/>
      <c r="BI66" s="455"/>
      <c r="BJ66" s="455"/>
      <c r="CY66"/>
      <c r="CZ66"/>
    </row>
    <row r="67" spans="1:104" hidden="1">
      <c r="A67" s="683" t="s">
        <v>282</v>
      </c>
      <c r="B67" s="683"/>
      <c r="C67" s="683"/>
      <c r="D67" s="693">
        <f>D66-D60-A76-D65</f>
        <v>23</v>
      </c>
      <c r="E67" s="695"/>
      <c r="F67" s="576" t="s">
        <v>233</v>
      </c>
      <c r="G67" s="576">
        <f>COUNTIFS($B$9:$B$39,"on",[0]!Maj,"Skema 3")</f>
        <v>0</v>
      </c>
      <c r="H67" s="576"/>
      <c r="I67" s="854" t="s">
        <v>570</v>
      </c>
      <c r="J67" s="861"/>
      <c r="K67" s="861"/>
      <c r="L67" s="861"/>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s="1"/>
      <c r="AX67" s="1"/>
      <c r="BI67" s="455"/>
      <c r="BJ67" s="455"/>
      <c r="CY67"/>
      <c r="CZ67"/>
    </row>
    <row r="68" spans="1:104" hidden="1">
      <c r="A68" s="576"/>
      <c r="B68" s="576"/>
      <c r="C68" s="576"/>
      <c r="D68" s="694"/>
      <c r="E68" s="576"/>
      <c r="F68" s="576" t="s">
        <v>234</v>
      </c>
      <c r="G68" s="576">
        <f>COUNTIFS($B$9:$B$39,"to",[0]!Maj,"Skema 3")</f>
        <v>0</v>
      </c>
      <c r="H68" s="576"/>
      <c r="I68" s="854" t="s">
        <v>387</v>
      </c>
      <c r="J68" s="863"/>
      <c r="K68" s="863"/>
      <c r="L68" s="863"/>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s="1"/>
      <c r="AO68" s="1"/>
      <c r="BL68" s="1"/>
      <c r="BW68" s="455"/>
      <c r="BX68" s="455"/>
      <c r="CY68"/>
      <c r="CZ68"/>
    </row>
    <row r="69" spans="1:104" hidden="1">
      <c r="A69" s="576"/>
      <c r="B69" s="576"/>
      <c r="C69" s="576"/>
      <c r="D69" s="694"/>
      <c r="E69" s="576"/>
      <c r="F69" s="576" t="s">
        <v>235</v>
      </c>
      <c r="G69" s="576">
        <f>COUNTIFS($B$9:$B$39,"fr",[0]!Maj,"Skema 3")</f>
        <v>0</v>
      </c>
      <c r="H69" s="576">
        <v>1</v>
      </c>
      <c r="I69" s="854" t="s">
        <v>388</v>
      </c>
      <c r="J69" s="863"/>
      <c r="K69" s="863"/>
      <c r="L69" s="863"/>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s="1"/>
      <c r="AO69" s="1"/>
      <c r="BL69" s="1"/>
      <c r="BW69" s="455"/>
      <c r="BX69" s="455"/>
      <c r="CY69"/>
      <c r="CZ69"/>
    </row>
    <row r="70" spans="1:104" hidden="1">
      <c r="A70" s="576" t="s">
        <v>344</v>
      </c>
      <c r="B70" s="576"/>
      <c r="C70" s="576"/>
      <c r="D70" s="694"/>
      <c r="E70" s="694"/>
      <c r="F70" s="576"/>
      <c r="G70" s="576"/>
      <c r="H70" s="576">
        <v>2</v>
      </c>
      <c r="I70" s="854" t="s">
        <v>571</v>
      </c>
      <c r="J70" s="863"/>
      <c r="K70" s="863"/>
      <c r="L70" s="863"/>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s="1"/>
      <c r="AO70" s="1"/>
      <c r="BL70" s="1"/>
      <c r="BW70" s="455"/>
      <c r="BX70" s="455"/>
      <c r="CY70"/>
      <c r="CZ70"/>
    </row>
    <row r="71" spans="1:104" hidden="1">
      <c r="A71" s="576"/>
      <c r="B71" s="576"/>
      <c r="C71" s="576"/>
      <c r="D71" s="576"/>
      <c r="E71" s="694"/>
      <c r="F71" s="576" t="s">
        <v>236</v>
      </c>
      <c r="G71" s="576">
        <f>COUNTIFS($B$9:$B$39,"ma",[0]!Maj,"Skema 4")</f>
        <v>0</v>
      </c>
      <c r="H71" s="576"/>
      <c r="I71" s="854" t="s">
        <v>572</v>
      </c>
      <c r="J71" s="863"/>
      <c r="K71" s="863"/>
      <c r="L71" s="863"/>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s="1"/>
      <c r="AO71" s="1"/>
      <c r="BL71" s="1"/>
      <c r="BW71" s="455"/>
      <c r="BX71" s="455"/>
      <c r="CY71"/>
      <c r="CZ71"/>
    </row>
    <row r="72" spans="1:104" hidden="1">
      <c r="A72" s="576">
        <f>COUNTIF($C$14:$C$15,"Skema 1")+COUNTIF($C$14:$C$15,"Skema 2")+COUNTIF($C$14:$C$15,"Skema 3")+COUNTIF($C$14:$C$15,"Skema 4")+COUNTIF($C$14:$C$15,"Fagdag")+COUNTIF($C$14:$C$15,"Emnedag")+COUNTIF($C$14:$C$15,"Lejrskole")+COUNTIF($C$14:$C$15,"Ekskursion")+COUNTIF($C$14:$C$15,"Pæd.dag")</f>
        <v>0</v>
      </c>
      <c r="B72" s="576"/>
      <c r="C72" s="576"/>
      <c r="D72" s="576"/>
      <c r="E72" s="694"/>
      <c r="F72" s="576" t="s">
        <v>237</v>
      </c>
      <c r="G72" s="576">
        <f>COUNTIFS($B$9:$B$39,"ti",[0]!Maj,"Skema 4")</f>
        <v>0</v>
      </c>
      <c r="H72" s="576"/>
      <c r="I72" s="576" t="s">
        <v>568</v>
      </c>
      <c r="J72" s="769"/>
      <c r="K72" s="769"/>
      <c r="L72" s="769"/>
      <c r="M72" s="754">
        <f>IF(Stamoplysninger!$B$26="Der er indgået lokalaftale omkring weekendtimer og weekendtillæg.(Kræver aftale med TR/FSL).",M57,0)</f>
        <v>0</v>
      </c>
      <c r="N72" s="754"/>
      <c r="O72" s="580"/>
      <c r="P72" s="580"/>
      <c r="Q72" s="580"/>
      <c r="R72" s="580"/>
      <c r="S72" s="580"/>
      <c r="T72" s="580"/>
      <c r="V72" s="580"/>
      <c r="X72" s="580"/>
      <c r="Y72"/>
      <c r="Z72" s="1"/>
      <c r="AO72" s="1"/>
      <c r="BL72" s="1"/>
      <c r="BW72" s="455"/>
      <c r="BX72" s="455"/>
      <c r="CY72"/>
      <c r="CZ72"/>
    </row>
    <row r="73" spans="1:104">
      <c r="A73" s="576">
        <f>COUNTIF($C$21:$C$22,"Skema 1")+COUNTIF($C$21:$C$22,"Skema 2")+COUNTIF($C$21:$C$22,"Skema 3")+COUNTIF($C$21:$C$22,"Skema 4")+COUNTIF($C$21:$C$22,"Fagdag")+COUNTIF($C$21:$C$22,"Emnedag")+COUNTIF($C$21:$C$22,"Lejrskole")+COUNTIF($C$21:$C$22,"Ekskursion")+COUNTIF($C$21:$C$22,"Pæd.dag")</f>
        <v>0</v>
      </c>
      <c r="B73" s="576"/>
      <c r="C73" s="576"/>
      <c r="D73" s="576"/>
      <c r="E73" s="694"/>
      <c r="F73" s="576" t="s">
        <v>238</v>
      </c>
      <c r="G73" s="576">
        <f>COUNTIFS($B$9:$B$39,"on",[0]!Maj,"Skema 4")</f>
        <v>0</v>
      </c>
      <c r="H73" s="576"/>
      <c r="I73" s="576"/>
      <c r="J73" s="769"/>
      <c r="K73" s="769"/>
      <c r="L73" s="769"/>
      <c r="M73" s="580"/>
      <c r="N73" s="580"/>
      <c r="O73" s="580"/>
      <c r="P73" s="580"/>
      <c r="Q73" s="580"/>
      <c r="R73" s="580"/>
      <c r="S73" s="580"/>
      <c r="T73" s="580"/>
      <c r="V73" s="580"/>
      <c r="Y73"/>
      <c r="Z73" s="1"/>
      <c r="AO73" s="1"/>
      <c r="BL73" s="1"/>
      <c r="BW73" s="455"/>
      <c r="BX73" s="455"/>
      <c r="CY73"/>
      <c r="CZ73"/>
    </row>
    <row r="74" spans="1:104">
      <c r="A74" s="576">
        <f>COUNTIF($C$28:$C$29,"Skema 1")+COUNTIF($C$28:$C$29,"Skema 2")+COUNTIF($C$28:$C$29,"Skema 3")+COUNTIF($C$28:$C$29,"Skema 4")+COUNTIF($C$28:$C$29,"Fagdag")+COUNTIF($C$28:$C$29,"Emnedag")+COUNTIF($C$28:$C$29,"Lejrskole")+COUNTIF($C$28:$C$29,"Ekskursion")+COUNTIF($C$28:$C$29,"Pæd.dag")</f>
        <v>0</v>
      </c>
      <c r="B74" s="576"/>
      <c r="C74" s="576"/>
      <c r="D74" s="576"/>
      <c r="E74" s="694"/>
      <c r="F74" s="576" t="s">
        <v>239</v>
      </c>
      <c r="G74" s="576">
        <f>COUNTIFS($B$9:$B$39,"to",[0]!Maj,"Skema 4")</f>
        <v>0</v>
      </c>
      <c r="H74" s="576"/>
      <c r="I74" s="576"/>
      <c r="J74" s="769"/>
      <c r="K74" s="769"/>
      <c r="L74" s="769"/>
      <c r="M74" s="580"/>
      <c r="N74" s="580"/>
      <c r="O74" s="580"/>
      <c r="P74" s="580"/>
      <c r="Q74" s="580"/>
      <c r="R74" s="580"/>
      <c r="S74" s="580"/>
      <c r="T74" s="580"/>
      <c r="V74" s="580"/>
      <c r="Y74"/>
      <c r="Z74"/>
      <c r="AO74" s="1">
        <f>SUM(N74:AN74)</f>
        <v>0</v>
      </c>
      <c r="BL74" s="1">
        <f>SUM(AI74:BK74)</f>
        <v>0</v>
      </c>
      <c r="BW74" s="455"/>
      <c r="BX74" s="455"/>
      <c r="CY74"/>
      <c r="CZ74"/>
    </row>
    <row r="75" spans="1:104">
      <c r="A75" s="576">
        <f>COUNTIF($C$35:$C$36,"Skema 1")+COUNTIF($C$35:$C$36,"Skema 2")+COUNTIF($C$35:$C$36,"Skema 3")+COUNTIF($C$35:$C$36,"Skema 4")+COUNTIF($C$35:$C$36,"Fagdag")+COUNTIF($C$35:$C$36,"Emnedag")+COUNTIF($C$35:$C$36,"Lejrskole")+COUNTIF($C$35:$C$36,"Ekskursion")+COUNTIF($C$35:$C$36,"Pæd.dag")</f>
        <v>0</v>
      </c>
      <c r="B75" s="576"/>
      <c r="C75" s="576"/>
      <c r="D75" s="576"/>
      <c r="E75" s="694"/>
      <c r="F75" s="576" t="s">
        <v>240</v>
      </c>
      <c r="G75" s="576">
        <f>COUNTIFS($B$9:$B$39,"fr",[0]!Maj,"Skema 4")</f>
        <v>0</v>
      </c>
      <c r="H75" s="576"/>
      <c r="I75" s="45"/>
      <c r="J75" s="769"/>
      <c r="K75" s="769"/>
      <c r="L75" s="769"/>
      <c r="M75" s="580"/>
      <c r="N75" s="580"/>
      <c r="O75" s="580"/>
      <c r="P75" s="580"/>
      <c r="Q75" s="580"/>
      <c r="R75" s="580"/>
      <c r="S75" s="580"/>
      <c r="T75" s="580"/>
      <c r="V75" s="580"/>
      <c r="Y75"/>
      <c r="Z75"/>
      <c r="AO75" s="1">
        <f>SUM(N75:AN75)</f>
        <v>0</v>
      </c>
      <c r="BL75" s="1">
        <f>SUM(AI75:BK75)</f>
        <v>0</v>
      </c>
      <c r="BW75" s="455"/>
      <c r="BX75" s="455"/>
      <c r="CY75"/>
      <c r="CZ75"/>
    </row>
    <row r="76" spans="1:104">
      <c r="A76" s="576">
        <f>SUM(A71:A75)</f>
        <v>0</v>
      </c>
      <c r="B76" s="576"/>
      <c r="C76" s="576"/>
      <c r="D76" s="576"/>
      <c r="E76" s="694"/>
      <c r="F76" s="694"/>
      <c r="G76" s="697">
        <f>SUM(G53:G75)</f>
        <v>19</v>
      </c>
      <c r="H76" s="45"/>
      <c r="I76" s="45"/>
      <c r="J76" s="769"/>
      <c r="K76" s="769"/>
      <c r="L76" s="769"/>
      <c r="Y76"/>
      <c r="Z76"/>
      <c r="AO76" s="1">
        <f>SUM(N76:AN76)</f>
        <v>0</v>
      </c>
      <c r="BL76" s="1">
        <f>SUM(AI76:BK76)</f>
        <v>0</v>
      </c>
      <c r="BW76" s="455"/>
      <c r="BX76" s="455"/>
      <c r="CY76"/>
      <c r="CZ76"/>
    </row>
    <row r="77" spans="1:104">
      <c r="A77" s="779"/>
      <c r="B77" s="779"/>
      <c r="C77" s="779"/>
      <c r="D77" s="779"/>
      <c r="E77" s="777"/>
      <c r="F77" s="777"/>
      <c r="G77" s="777"/>
      <c r="H77" s="769"/>
      <c r="I77" s="769"/>
      <c r="J77" s="769"/>
      <c r="K77" s="769"/>
      <c r="L77" s="769"/>
      <c r="Y77"/>
      <c r="Z77"/>
      <c r="AO77" s="1">
        <f>SUM(N77:AN77)</f>
        <v>0</v>
      </c>
      <c r="BL77" s="1">
        <f>SUM(AI77:BK77)</f>
        <v>0</v>
      </c>
      <c r="BW77" s="455"/>
      <c r="BX77" s="455"/>
      <c r="CY77"/>
      <c r="CZ77"/>
    </row>
    <row r="78" spans="1:104">
      <c r="A78" s="769"/>
      <c r="B78" s="769"/>
      <c r="C78" s="769"/>
      <c r="D78" s="769"/>
      <c r="E78" s="777"/>
      <c r="F78" s="777"/>
      <c r="G78" s="777"/>
      <c r="H78" s="769"/>
      <c r="I78" s="769"/>
      <c r="J78" s="769"/>
      <c r="K78" s="769"/>
      <c r="L78" s="769"/>
      <c r="Y78"/>
      <c r="Z78"/>
      <c r="BW78" s="455"/>
      <c r="BX78" s="455"/>
      <c r="CY78"/>
      <c r="CZ78"/>
    </row>
    <row r="79" spans="1:104">
      <c r="A79" s="769"/>
      <c r="B79" s="769"/>
      <c r="C79" s="769"/>
      <c r="D79" s="769"/>
      <c r="E79" s="777"/>
      <c r="F79" s="777"/>
      <c r="G79" s="777"/>
      <c r="H79" s="769"/>
      <c r="I79" s="769"/>
      <c r="J79" s="769"/>
      <c r="K79" s="769"/>
      <c r="L79" s="769"/>
      <c r="Y79"/>
      <c r="Z79"/>
      <c r="BW79" s="455"/>
      <c r="BX79" s="455"/>
      <c r="CY79"/>
      <c r="CZ79"/>
    </row>
    <row r="80" spans="1:104">
      <c r="A80" s="769"/>
      <c r="B80" s="769"/>
      <c r="C80" s="769"/>
      <c r="D80" s="769"/>
      <c r="E80" s="777"/>
      <c r="F80" s="777"/>
      <c r="G80" s="777"/>
      <c r="H80" s="769"/>
      <c r="I80" s="769"/>
      <c r="J80" s="769"/>
      <c r="K80" s="769"/>
      <c r="L80" s="769"/>
      <c r="Y80"/>
      <c r="Z80"/>
      <c r="BW80" s="455"/>
      <c r="BX80" s="455"/>
      <c r="CY80"/>
      <c r="CZ80"/>
    </row>
    <row r="81" spans="1:111">
      <c r="A81" s="769"/>
      <c r="B81" s="769"/>
      <c r="C81" s="769"/>
      <c r="D81" s="769"/>
      <c r="E81" s="188"/>
      <c r="F81" s="777"/>
      <c r="G81" s="777"/>
      <c r="H81" s="769"/>
      <c r="I81" s="769"/>
      <c r="J81" s="769"/>
      <c r="K81" s="769"/>
      <c r="L81" s="769"/>
      <c r="Y81"/>
      <c r="Z81"/>
      <c r="BW81" s="455"/>
      <c r="BX81" s="455"/>
      <c r="CY81"/>
      <c r="CZ81"/>
    </row>
    <row r="82" spans="1:111">
      <c r="A82" s="769"/>
      <c r="B82" s="769"/>
      <c r="C82" s="769"/>
      <c r="D82" s="769"/>
      <c r="E82" s="188"/>
      <c r="F82" s="777"/>
      <c r="G82" s="777"/>
      <c r="H82" s="769"/>
      <c r="I82" s="769"/>
      <c r="J82" s="769"/>
      <c r="K82" s="769"/>
      <c r="L82" s="769"/>
      <c r="Y82"/>
      <c r="Z82"/>
      <c r="AF82" s="424"/>
      <c r="BW82" s="455"/>
      <c r="BX82" s="455"/>
      <c r="CY82"/>
      <c r="CZ82"/>
    </row>
    <row r="83" spans="1:111">
      <c r="A83" s="769"/>
      <c r="B83" s="769"/>
      <c r="C83" s="769"/>
      <c r="D83" s="769"/>
      <c r="E83" s="188"/>
      <c r="F83" s="777"/>
      <c r="G83" s="777"/>
      <c r="H83" s="769"/>
      <c r="I83" s="769"/>
      <c r="J83" s="769"/>
      <c r="K83" s="769"/>
      <c r="L83" s="769"/>
      <c r="Y83"/>
      <c r="Z83"/>
      <c r="AD83" s="406"/>
      <c r="AE83" s="424"/>
      <c r="AF83" s="424"/>
      <c r="AG83" s="424"/>
      <c r="AH83" s="424"/>
      <c r="CY83"/>
      <c r="CZ83"/>
      <c r="DF83" s="455"/>
      <c r="DG83" s="455"/>
    </row>
    <row r="84" spans="1:111">
      <c r="A84" s="769"/>
      <c r="B84" s="769"/>
      <c r="C84" s="769"/>
      <c r="D84" s="769"/>
      <c r="E84" s="188"/>
      <c r="F84" s="777"/>
      <c r="G84" s="777"/>
      <c r="H84" s="769"/>
      <c r="I84" s="769"/>
      <c r="J84" s="769"/>
      <c r="K84" s="769"/>
      <c r="L84" s="769"/>
      <c r="Y84"/>
      <c r="Z84"/>
      <c r="AD84" s="406"/>
      <c r="AE84" s="424"/>
      <c r="AG84" s="424"/>
      <c r="AH84" s="424"/>
      <c r="CY84"/>
      <c r="CZ84"/>
      <c r="DF84" s="455"/>
      <c r="DG84" s="455"/>
    </row>
    <row r="85" spans="1:111">
      <c r="A85" s="769"/>
      <c r="B85" s="769"/>
      <c r="C85" s="769"/>
      <c r="D85" s="769"/>
      <c r="E85" s="188"/>
      <c r="F85" s="188"/>
      <c r="G85" s="188"/>
      <c r="H85" s="769"/>
      <c r="I85" s="769"/>
      <c r="J85" s="769"/>
      <c r="K85" s="769"/>
      <c r="L85" s="769"/>
    </row>
    <row r="86" spans="1:111">
      <c r="A86" s="769"/>
      <c r="B86" s="769"/>
      <c r="C86" s="769"/>
      <c r="D86" s="769"/>
      <c r="E86" s="188"/>
      <c r="F86" s="188"/>
      <c r="G86" s="188"/>
      <c r="H86" s="769"/>
    </row>
    <row r="87" spans="1:111">
      <c r="A87" s="769"/>
      <c r="B87" s="769"/>
      <c r="C87" s="769"/>
      <c r="D87" s="769"/>
    </row>
  </sheetData>
  <sheetProtection sheet="1" objects="1" scenarios="1"/>
  <mergeCells count="117">
    <mergeCell ref="A56:C56"/>
    <mergeCell ref="M55:U55"/>
    <mergeCell ref="V55:X55"/>
    <mergeCell ref="A54:C54"/>
    <mergeCell ref="A55:C55"/>
    <mergeCell ref="I51:K51"/>
    <mergeCell ref="M50:U50"/>
    <mergeCell ref="V50:X50"/>
    <mergeCell ref="M51:U51"/>
    <mergeCell ref="V51:X51"/>
    <mergeCell ref="M52:U52"/>
    <mergeCell ref="V52:X52"/>
    <mergeCell ref="M53:U53"/>
    <mergeCell ref="V53:X53"/>
    <mergeCell ref="M54:U54"/>
    <mergeCell ref="V54:X54"/>
    <mergeCell ref="A50:H50"/>
    <mergeCell ref="I50:K50"/>
    <mergeCell ref="M49:U49"/>
    <mergeCell ref="V49:X49"/>
    <mergeCell ref="A44:G44"/>
    <mergeCell ref="I44:K44"/>
    <mergeCell ref="A45:G45"/>
    <mergeCell ref="I45:K45"/>
    <mergeCell ref="M45:U45"/>
    <mergeCell ref="V45:X45"/>
    <mergeCell ref="A49:H49"/>
    <mergeCell ref="I49:K49"/>
    <mergeCell ref="A46:G46"/>
    <mergeCell ref="I46:K46"/>
    <mergeCell ref="A47:G47"/>
    <mergeCell ref="I47:K47"/>
    <mergeCell ref="M46:U46"/>
    <mergeCell ref="A48:H48"/>
    <mergeCell ref="I48:K48"/>
    <mergeCell ref="V46:X46"/>
    <mergeCell ref="M47:X47"/>
    <mergeCell ref="M48:U48"/>
    <mergeCell ref="V48:X48"/>
    <mergeCell ref="A42:G42"/>
    <mergeCell ref="I42:K42"/>
    <mergeCell ref="A43:G43"/>
    <mergeCell ref="I43:K43"/>
    <mergeCell ref="M42:X42"/>
    <mergeCell ref="M43:U43"/>
    <mergeCell ref="V43:X43"/>
    <mergeCell ref="M44:U44"/>
    <mergeCell ref="V44:X44"/>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S5:X5"/>
    <mergeCell ref="A3:X3"/>
  </mergeCells>
  <phoneticPr fontId="5" type="noConversion"/>
  <conditionalFormatting sqref="E20">
    <cfRule type="expression" dxfId="530" priority="56">
      <formula>OR($D19="pæd.dag")</formula>
    </cfRule>
    <cfRule type="expression" dxfId="529" priority="57">
      <formula>OR($D19="nul-dag")</formula>
    </cfRule>
    <cfRule type="expression" dxfId="528" priority="58">
      <formula>OR($D19="SH-dag")</formula>
    </cfRule>
    <cfRule type="expression" dxfId="527" priority="59">
      <formula>OR($D19="ekskursion")</formula>
    </cfRule>
    <cfRule type="expression" dxfId="526" priority="60">
      <formula>OR($D19="lejrskole")</formula>
    </cfRule>
    <cfRule type="expression" dxfId="525" priority="61">
      <formula>OR($D19="emnedag")</formula>
    </cfRule>
    <cfRule type="expression" dxfId="524" priority="62">
      <formula>OR($D19="fagdag")</formula>
    </cfRule>
    <cfRule type="expression" dxfId="523" priority="63">
      <formula>OR($D19="feriedag")</formula>
    </cfRule>
    <cfRule type="expression" dxfId="522" priority="64">
      <formula>OR($D19="weekend")</formula>
    </cfRule>
    <cfRule type="expression" dxfId="521" priority="65" stopIfTrue="1">
      <formula>OR($D19="skoledag")</formula>
    </cfRule>
  </conditionalFormatting>
  <conditionalFormatting sqref="E20">
    <cfRule type="expression" dxfId="520" priority="66">
      <formula>OR($D19="Ikke relevant")</formula>
    </cfRule>
  </conditionalFormatting>
  <conditionalFormatting sqref="K9:M39">
    <cfRule type="expression" dxfId="519" priority="36">
      <formula>OR($C9="fagdag",)</formula>
    </cfRule>
    <cfRule type="expression" dxfId="518" priority="37">
      <formula>OR($C9="emnedag",)</formula>
    </cfRule>
  </conditionalFormatting>
  <conditionalFormatting sqref="K9:K39">
    <cfRule type="expression" dxfId="517" priority="38">
      <formula>OR($C9="Pæd.dag",)</formula>
    </cfRule>
  </conditionalFormatting>
  <conditionalFormatting sqref="K9:L39">
    <cfRule type="expression" dxfId="516" priority="39">
      <formula>OR($C9="Lejrskole",)</formula>
    </cfRule>
    <cfRule type="expression" dxfId="515" priority="40">
      <formula>OR($C9="Ekskursion",)</formula>
    </cfRule>
  </conditionalFormatting>
  <conditionalFormatting sqref="R9:R39">
    <cfRule type="expression" dxfId="514" priority="67">
      <formula>OR($H9&gt;"0",)</formula>
    </cfRule>
  </conditionalFormatting>
  <conditionalFormatting sqref="A9:H39">
    <cfRule type="expression" dxfId="513" priority="41">
      <formula>OR($C9="Skema 1")</formula>
    </cfRule>
    <cfRule type="expression" dxfId="512" priority="42">
      <formula>OR($C9="skema 2")</formula>
    </cfRule>
    <cfRule type="expression" dxfId="511" priority="43">
      <formula>OR($C9="Skema 3")</formula>
    </cfRule>
    <cfRule type="expression" dxfId="510" priority="44">
      <formula>OR($C9="Skema 4")</formula>
    </cfRule>
    <cfRule type="expression" dxfId="509" priority="45">
      <formula>OR($C9="Ikke relevant")</formula>
    </cfRule>
    <cfRule type="expression" dxfId="508" priority="46">
      <formula>OR($C9="pæd.dag")</formula>
    </cfRule>
    <cfRule type="expression" dxfId="507" priority="47">
      <formula>OR($C9="nul-dag")</formula>
    </cfRule>
    <cfRule type="expression" dxfId="506" priority="48">
      <formula>OR($C9="SH-dag")</formula>
    </cfRule>
    <cfRule type="expression" dxfId="505" priority="49">
      <formula>OR($C9="ekskursion")</formula>
    </cfRule>
    <cfRule type="expression" dxfId="504" priority="50">
      <formula>OR($C9="lejrskole")</formula>
    </cfRule>
    <cfRule type="expression" dxfId="503" priority="51">
      <formula>OR($C9="emnedag")</formula>
    </cfRule>
    <cfRule type="expression" dxfId="502" priority="52">
      <formula>OR($C9="fagdag")</formula>
    </cfRule>
    <cfRule type="expression" dxfId="501" priority="53">
      <formula>OR($C9="feriedag")</formula>
    </cfRule>
    <cfRule type="expression" dxfId="500" priority="54">
      <formula>OR($C9="weekend")</formula>
    </cfRule>
    <cfRule type="expression" dxfId="499" priority="55" stopIfTrue="1">
      <formula>OR($C9="Orlov")</formula>
    </cfRule>
  </conditionalFormatting>
  <conditionalFormatting sqref="V9:V39">
    <cfRule type="expression" dxfId="498" priority="3">
      <formula>OR($S9="X",)</formula>
    </cfRule>
  </conditionalFormatting>
  <conditionalFormatting sqref="W9:W39">
    <cfRule type="expression" dxfId="497" priority="2">
      <formula>OR($T9="X",)</formula>
    </cfRule>
  </conditionalFormatting>
  <conditionalFormatting sqref="X9:X39">
    <cfRule type="expression" dxfId="496" priority="1">
      <formula>OR($U9="X",)</formula>
    </cfRule>
  </conditionalFormatting>
  <dataValidations count="3">
    <dataValidation type="list" allowBlank="1" showInputMessage="1" showErrorMessage="1" sqref="S9:T39 U9:U37"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3:I15 I21:I22 I28:I29 I35:I37 I26"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August!$A$79:$A$93</xm:f>
          </x14:formula1>
          <xm:sqref>C9:C39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HC86"/>
  <sheetViews>
    <sheetView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113"/>
      <c r="Y1"/>
      <c r="Z1" s="113"/>
      <c r="AB1" s="113"/>
      <c r="AC1" s="113"/>
      <c r="AH1" s="113"/>
      <c r="AI1" s="113"/>
      <c r="CX1" s="455"/>
      <c r="CZ1"/>
    </row>
    <row r="2" spans="1:211" ht="20">
      <c r="A2" s="155">
        <v>6</v>
      </c>
      <c r="B2" s="1180"/>
      <c r="C2" s="1180"/>
      <c r="D2" s="1180"/>
      <c r="E2" s="1180"/>
      <c r="F2" s="113"/>
      <c r="G2" s="113"/>
      <c r="H2" s="505"/>
      <c r="I2" s="504"/>
      <c r="J2" s="423"/>
      <c r="K2" s="423"/>
      <c r="L2" s="423"/>
      <c r="M2" s="423"/>
      <c r="N2" s="423"/>
      <c r="O2" s="423"/>
      <c r="P2" s="113"/>
      <c r="Q2" s="113"/>
      <c r="R2" s="113"/>
      <c r="S2" s="113"/>
      <c r="T2" s="113"/>
      <c r="U2" s="113"/>
      <c r="V2" s="113"/>
      <c r="W2" s="299" t="s">
        <v>31</v>
      </c>
      <c r="X2" s="299"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Juni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483</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6" customHeight="1">
      <c r="A7" s="1078" t="s">
        <v>337</v>
      </c>
      <c r="B7" s="1079"/>
      <c r="C7" s="1079"/>
      <c r="D7" s="1080"/>
      <c r="E7" s="1095"/>
      <c r="F7" s="1096"/>
      <c r="G7" s="1097"/>
      <c r="H7" s="1087" t="s">
        <v>395</v>
      </c>
      <c r="I7" s="1077"/>
      <c r="J7" s="1459"/>
      <c r="K7" s="568" t="s">
        <v>356</v>
      </c>
      <c r="L7" s="568" t="s">
        <v>357</v>
      </c>
      <c r="M7" s="885" t="s">
        <v>624</v>
      </c>
      <c r="N7" s="1059"/>
      <c r="O7" s="1059"/>
      <c r="P7" s="1059"/>
      <c r="Q7" s="1059"/>
      <c r="R7" s="1193"/>
      <c r="S7" s="896" t="s">
        <v>635</v>
      </c>
      <c r="T7" s="567" t="s">
        <v>362</v>
      </c>
      <c r="U7" s="567" t="s">
        <v>487</v>
      </c>
      <c r="V7" s="766" t="s">
        <v>540</v>
      </c>
      <c r="W7" s="766" t="s">
        <v>539</v>
      </c>
      <c r="X7" s="767" t="s">
        <v>484</v>
      </c>
      <c r="Y7" s="385" t="s">
        <v>328</v>
      </c>
      <c r="Z7" s="758"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177" t="s">
        <v>469</v>
      </c>
      <c r="W8" s="1178"/>
      <c r="X8" s="1179"/>
      <c r="Y8" s="385"/>
      <c r="Z8" s="758"/>
      <c r="AA8" s="531"/>
      <c r="BB8" s="420"/>
      <c r="CA8" s="180"/>
      <c r="CB8" s="430"/>
      <c r="CC8" s="531"/>
      <c r="CX8" s="455"/>
      <c r="DA8" s="455"/>
      <c r="DB8" s="455"/>
      <c r="DC8" s="455"/>
      <c r="DD8" s="455"/>
      <c r="DE8" s="455"/>
      <c r="DF8" s="455"/>
      <c r="DG8" s="455"/>
    </row>
    <row r="9" spans="1:211">
      <c r="A9" s="443">
        <f>IF(ISNUMBER(A7),A7+1,1)</f>
        <v>1</v>
      </c>
      <c r="B9" s="218" t="str">
        <f t="shared" ref="B9:B38" si="0">CHOOSE(MOD(WEEKDAY(DATE(A$6,A$2,A9)),7)+1,"lø","sø","ma","ti","on","to","fr",)</f>
        <v>to</v>
      </c>
      <c r="C9" s="219" t="s">
        <v>242</v>
      </c>
      <c r="D9" s="220" t="str">
        <f t="shared" ref="D9:D38" si="1">IF(B9="ma",(DATE(A$6,A$2,A9)-DATE(A$6,1,1)+7)/7,"")</f>
        <v/>
      </c>
      <c r="E9" s="906"/>
      <c r="F9" s="907"/>
      <c r="G9" s="908"/>
      <c r="H9" s="526"/>
      <c r="I9" s="855"/>
      <c r="J9" s="726"/>
      <c r="K9" s="669"/>
      <c r="L9" s="669"/>
      <c r="M9" s="669"/>
      <c r="N9" s="557">
        <f>BA9</f>
        <v>8</v>
      </c>
      <c r="O9" s="557">
        <f>CA9</f>
        <v>3</v>
      </c>
      <c r="P9" s="557">
        <f>IF(Stamoplysninger!$H$29="JA",Juni!DG9,CX9)</f>
        <v>0.5</v>
      </c>
      <c r="Q9" s="557">
        <f>IF(OR(C9="Lejrskole",C9="Ekskursion"),0,N9-O9-P9)</f>
        <v>4.5</v>
      </c>
      <c r="R9" s="558"/>
      <c r="S9" s="564"/>
      <c r="T9" s="565"/>
      <c r="U9" s="565"/>
      <c r="V9" s="753"/>
      <c r="W9" s="559"/>
      <c r="X9" s="760"/>
      <c r="Y9">
        <f>IF($S$9="x",V9-N9,0)</f>
        <v>0</v>
      </c>
      <c r="Z9" s="759">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f>IF(AND(C9="Skema 2",B9="to"),Arbejdstidsoversigt!$E$56,"")</f>
        <v>8</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8" si="7">SUM(AG9:AK9)*24</f>
        <v>0</v>
      </c>
      <c r="BC9" s="1">
        <f>IF($C$9="Lejrskole",$L$9,0)</f>
        <v>0</v>
      </c>
      <c r="BD9" s="1">
        <f t="shared" ref="BD9:BD38" si="8">IF(C9="Ekskursion",L9,0)</f>
        <v>0</v>
      </c>
      <c r="BE9" s="1">
        <f t="shared" ref="BE9:BE38" si="9">IF(C9="fagdag",L9,0)</f>
        <v>0</v>
      </c>
      <c r="BF9" s="1">
        <f t="shared" ref="BF9:BF38" si="10">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f>IF(AND(C9="Skema 2",B9="to"),Skemaoplysninger!$R$28,"")</f>
        <v>0.125</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3</v>
      </c>
      <c r="CB9" s="1">
        <f t="shared" ref="CB9:CB38" si="11">IF(C9="fagdag",M9,0)</f>
        <v>0</v>
      </c>
      <c r="CC9" s="1">
        <f t="shared" ref="CC9:CC38" si="12">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f>IF(AND(C9="Skema 2",B9="to"),Skemaoplysninger!$R$37,"")</f>
        <v>0.5</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0.5</v>
      </c>
      <c r="CY9" s="457">
        <f>IF(C9="Skema 1",Stamoplysninger!$H$30/200,0)</f>
        <v>0</v>
      </c>
      <c r="CZ9" s="457">
        <f>IF(C9="Skema 2",Stamoplysninger!$H$30/200,0)</f>
        <v>1</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8" si="13">IF(ISNUMBER(A9),A9+1,1)</f>
        <v>2</v>
      </c>
      <c r="B10" s="218" t="str">
        <f t="shared" si="0"/>
        <v>fr</v>
      </c>
      <c r="C10" s="219" t="s">
        <v>242</v>
      </c>
      <c r="D10" s="220" t="str">
        <f t="shared" si="1"/>
        <v/>
      </c>
      <c r="E10" s="906"/>
      <c r="F10" s="907"/>
      <c r="G10" s="908"/>
      <c r="H10" s="526"/>
      <c r="I10" s="855"/>
      <c r="J10" s="726"/>
      <c r="K10" s="669"/>
      <c r="L10" s="669"/>
      <c r="M10" s="669"/>
      <c r="N10" s="557">
        <f t="shared" ref="N10:N38" si="14">BA10</f>
        <v>6.5</v>
      </c>
      <c r="O10" s="557">
        <f t="shared" ref="O10:O38" si="15">CA10</f>
        <v>3</v>
      </c>
      <c r="P10" s="557">
        <f>IF(Stamoplysninger!$H$29="JA",Juni!DG10,CX10)</f>
        <v>0.5</v>
      </c>
      <c r="Q10" s="557">
        <f t="shared" ref="Q10:Q38" si="16">IF(OR(C10="Lejrskole",C10="Ekskursion"),0,N10-O10-P10)</f>
        <v>3</v>
      </c>
      <c r="R10" s="558"/>
      <c r="S10" s="564"/>
      <c r="T10" s="565"/>
      <c r="U10" s="565"/>
      <c r="V10" s="753"/>
      <c r="W10" s="559"/>
      <c r="X10" s="760"/>
      <c r="Y10">
        <f t="shared" ref="Y10:Y38" si="17">IF(S10="x",V10-N10,0)</f>
        <v>0</v>
      </c>
      <c r="Z10" s="759">
        <f t="shared" ref="Z10:Z38" si="18">W10</f>
        <v>0</v>
      </c>
      <c r="AA10" s="1">
        <f t="shared" si="2"/>
        <v>0</v>
      </c>
      <c r="AB10" s="1">
        <f t="shared" si="3"/>
        <v>0</v>
      </c>
      <c r="AC10" s="1">
        <f t="shared" si="4"/>
        <v>0</v>
      </c>
      <c r="AD10" s="1">
        <f t="shared" si="5"/>
        <v>0</v>
      </c>
      <c r="AE10" s="1">
        <f t="shared" si="6"/>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f>IF(AND(C10="Skema 2",B10="fr"),Arbejdstidsoversigt!$E$57,"")</f>
        <v>6.5</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8" si="19">SUM(AA10:AZ10)</f>
        <v>6.5</v>
      </c>
      <c r="BB10" s="421">
        <f t="shared" si="7"/>
        <v>0</v>
      </c>
      <c r="BC10" s="1">
        <f t="shared" ref="BC10:BC38" si="20">IF(C10="Lejrskole",L10,0)</f>
        <v>0</v>
      </c>
      <c r="BD10" s="1">
        <f t="shared" si="8"/>
        <v>0</v>
      </c>
      <c r="BE10" s="1">
        <f t="shared" si="9"/>
        <v>0</v>
      </c>
      <c r="BF10" s="1">
        <f t="shared" si="10"/>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f>IF(AND(C10="Skema 2",B10="fr"),Skemaoplysninger!$S$28,"")</f>
        <v>0.125</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8" si="21">SUM(BG10:BZ10)*24+SUM(BC10:BF10)</f>
        <v>3</v>
      </c>
      <c r="CB10" s="1">
        <f t="shared" si="11"/>
        <v>0</v>
      </c>
      <c r="CC10" s="1">
        <f t="shared" si="12"/>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f>IF(AND(C10="Skema 2",B10="fr"),Skemaoplysninger!$S$37,"")</f>
        <v>0.5</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0.5</v>
      </c>
      <c r="CY10" s="457">
        <f>IF(C10="Skema 1",Stamoplysninger!$H$30/200,0)</f>
        <v>0</v>
      </c>
      <c r="CZ10" s="457">
        <f>IF(C10="Skema 2",Stamoplysninger!$H$30/200,0)</f>
        <v>1</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8" si="22">SUM(CY10:DF10)</f>
        <v>1</v>
      </c>
    </row>
    <row r="11" spans="1:211">
      <c r="A11" s="443">
        <f t="shared" si="13"/>
        <v>3</v>
      </c>
      <c r="B11" s="218" t="str">
        <f t="shared" si="0"/>
        <v>lø</v>
      </c>
      <c r="C11" s="219" t="s">
        <v>138</v>
      </c>
      <c r="D11" s="220" t="str">
        <f t="shared" si="1"/>
        <v/>
      </c>
      <c r="E11" s="906"/>
      <c r="F11" s="907"/>
      <c r="G11" s="908"/>
      <c r="H11" s="526"/>
      <c r="I11" s="726"/>
      <c r="J11" s="726"/>
      <c r="K11" s="669"/>
      <c r="L11" s="669"/>
      <c r="M11" s="669"/>
      <c r="N11" s="557">
        <f t="shared" si="14"/>
        <v>0</v>
      </c>
      <c r="O11" s="557">
        <f t="shared" si="15"/>
        <v>0</v>
      </c>
      <c r="P11" s="557">
        <f>IF(Stamoplysninger!$H$29="JA",Juni!DG11,CX11)</f>
        <v>0</v>
      </c>
      <c r="Q11" s="557">
        <f t="shared" si="16"/>
        <v>0</v>
      </c>
      <c r="R11" s="558"/>
      <c r="S11" s="564"/>
      <c r="T11" s="565"/>
      <c r="U11" s="565"/>
      <c r="V11" s="753"/>
      <c r="W11" s="559"/>
      <c r="X11" s="760"/>
      <c r="Y11">
        <f t="shared" si="17"/>
        <v>0</v>
      </c>
      <c r="Z11" s="759">
        <f t="shared" si="18"/>
        <v>0</v>
      </c>
      <c r="AA11" s="1">
        <f t="shared" si="2"/>
        <v>0</v>
      </c>
      <c r="AB11" s="1">
        <f t="shared" si="3"/>
        <v>0</v>
      </c>
      <c r="AC11" s="1">
        <f t="shared" si="4"/>
        <v>0</v>
      </c>
      <c r="AD11" s="1">
        <f t="shared" si="5"/>
        <v>0</v>
      </c>
      <c r="AE11" s="1">
        <f t="shared" si="6"/>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7"/>
        <v>0</v>
      </c>
      <c r="BC11" s="1">
        <f t="shared" si="20"/>
        <v>0</v>
      </c>
      <c r="BD11" s="1">
        <f t="shared" si="8"/>
        <v>0</v>
      </c>
      <c r="BE11" s="1">
        <f t="shared" si="9"/>
        <v>0</v>
      </c>
      <c r="BF11" s="1">
        <f t="shared" si="10"/>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1"/>
        <v>0</v>
      </c>
      <c r="CC11" s="1">
        <f t="shared" si="12"/>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3"/>
        <v>4</v>
      </c>
      <c r="B12" s="218" t="str">
        <f t="shared" si="0"/>
        <v>sø</v>
      </c>
      <c r="C12" s="219" t="s">
        <v>138</v>
      </c>
      <c r="D12" s="220" t="str">
        <f t="shared" si="1"/>
        <v/>
      </c>
      <c r="E12" s="906"/>
      <c r="F12" s="907"/>
      <c r="G12" s="908"/>
      <c r="H12" s="526"/>
      <c r="I12" s="726"/>
      <c r="J12" s="726"/>
      <c r="K12" s="669"/>
      <c r="L12" s="669"/>
      <c r="M12" s="669"/>
      <c r="N12" s="557">
        <f t="shared" si="14"/>
        <v>0</v>
      </c>
      <c r="O12" s="557">
        <f t="shared" si="15"/>
        <v>0</v>
      </c>
      <c r="P12" s="557">
        <f>IF(Stamoplysninger!$H$29="JA",Juni!DG12,CX12)</f>
        <v>0</v>
      </c>
      <c r="Q12" s="557">
        <f t="shared" si="16"/>
        <v>0</v>
      </c>
      <c r="R12" s="558"/>
      <c r="S12" s="564"/>
      <c r="T12" s="565"/>
      <c r="U12" s="565"/>
      <c r="V12" s="753"/>
      <c r="W12" s="559"/>
      <c r="X12" s="760"/>
      <c r="Y12">
        <f t="shared" si="17"/>
        <v>0</v>
      </c>
      <c r="Z12" s="759">
        <f t="shared" si="18"/>
        <v>0</v>
      </c>
      <c r="AA12" s="1">
        <f t="shared" si="2"/>
        <v>0</v>
      </c>
      <c r="AB12" s="1">
        <f t="shared" si="3"/>
        <v>0</v>
      </c>
      <c r="AC12" s="1">
        <f t="shared" si="4"/>
        <v>0</v>
      </c>
      <c r="AD12" s="1">
        <f t="shared" si="5"/>
        <v>0</v>
      </c>
      <c r="AE12" s="1">
        <f t="shared" si="6"/>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7"/>
        <v>0</v>
      </c>
      <c r="BC12" s="1">
        <f t="shared" si="20"/>
        <v>0</v>
      </c>
      <c r="BD12" s="1">
        <f t="shared" si="8"/>
        <v>0</v>
      </c>
      <c r="BE12" s="1">
        <f t="shared" si="9"/>
        <v>0</v>
      </c>
      <c r="BF12" s="1">
        <f t="shared" si="10"/>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1"/>
        <v>0</v>
      </c>
      <c r="CC12" s="1">
        <f t="shared" si="12"/>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3"/>
        <v>5</v>
      </c>
      <c r="B13" s="218" t="str">
        <f t="shared" si="0"/>
        <v>ma</v>
      </c>
      <c r="C13" s="219" t="s">
        <v>147</v>
      </c>
      <c r="D13" s="220">
        <f t="shared" si="1"/>
        <v>23.142857142857142</v>
      </c>
      <c r="E13" s="906" t="s">
        <v>255</v>
      </c>
      <c r="F13" s="907"/>
      <c r="G13" s="908"/>
      <c r="H13" s="526"/>
      <c r="I13" s="855"/>
      <c r="J13" s="726"/>
      <c r="K13" s="669"/>
      <c r="L13" s="669"/>
      <c r="M13" s="669"/>
      <c r="N13" s="557">
        <f t="shared" si="14"/>
        <v>0</v>
      </c>
      <c r="O13" s="557">
        <f t="shared" si="15"/>
        <v>0</v>
      </c>
      <c r="P13" s="557">
        <f>IF(Stamoplysninger!$H$29="JA",Juni!DG13,CX13)</f>
        <v>0</v>
      </c>
      <c r="Q13" s="557">
        <f t="shared" si="16"/>
        <v>0</v>
      </c>
      <c r="R13" s="558"/>
      <c r="S13" s="564"/>
      <c r="T13" s="565"/>
      <c r="U13" s="565"/>
      <c r="V13" s="753"/>
      <c r="W13" s="559"/>
      <c r="X13" s="760"/>
      <c r="Y13">
        <f t="shared" si="17"/>
        <v>0</v>
      </c>
      <c r="Z13" s="759">
        <f t="shared" si="18"/>
        <v>0</v>
      </c>
      <c r="AA13" s="1">
        <f t="shared" si="2"/>
        <v>0</v>
      </c>
      <c r="AB13" s="1">
        <f t="shared" si="3"/>
        <v>0</v>
      </c>
      <c r="AC13" s="1">
        <f t="shared" si="4"/>
        <v>0</v>
      </c>
      <c r="AD13" s="1">
        <f t="shared" si="5"/>
        <v>0</v>
      </c>
      <c r="AE13" s="1">
        <f t="shared" si="6"/>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7"/>
        <v>0</v>
      </c>
      <c r="BC13" s="1">
        <f t="shared" si="20"/>
        <v>0</v>
      </c>
      <c r="BD13" s="1">
        <f t="shared" si="8"/>
        <v>0</v>
      </c>
      <c r="BE13" s="1">
        <f t="shared" si="9"/>
        <v>0</v>
      </c>
      <c r="BF13" s="1">
        <f t="shared" si="10"/>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1"/>
        <v>0</v>
      </c>
      <c r="CC13" s="1">
        <f t="shared" si="12"/>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3"/>
        <v>6</v>
      </c>
      <c r="B14" s="218" t="str">
        <f t="shared" si="0"/>
        <v>ti</v>
      </c>
      <c r="C14" s="219" t="s">
        <v>242</v>
      </c>
      <c r="D14" s="220" t="str">
        <f t="shared" si="1"/>
        <v/>
      </c>
      <c r="E14" s="906"/>
      <c r="F14" s="907"/>
      <c r="G14" s="908"/>
      <c r="H14" s="526"/>
      <c r="I14" s="855"/>
      <c r="J14" s="726"/>
      <c r="K14" s="669"/>
      <c r="L14" s="669"/>
      <c r="M14" s="669"/>
      <c r="N14" s="557">
        <f t="shared" si="14"/>
        <v>8</v>
      </c>
      <c r="O14" s="557">
        <f t="shared" si="15"/>
        <v>4.5</v>
      </c>
      <c r="P14" s="557">
        <f>IF(Stamoplysninger!$H$29="JA",Juni!DG14,CX14)</f>
        <v>1.0833333333333335</v>
      </c>
      <c r="Q14" s="557">
        <f t="shared" si="16"/>
        <v>2.4166666666666665</v>
      </c>
      <c r="R14" s="558"/>
      <c r="S14" s="564"/>
      <c r="T14" s="565"/>
      <c r="U14" s="565"/>
      <c r="V14" s="753"/>
      <c r="W14" s="559"/>
      <c r="X14" s="760"/>
      <c r="Y14">
        <f t="shared" si="17"/>
        <v>0</v>
      </c>
      <c r="Z14" s="759">
        <f t="shared" si="18"/>
        <v>0</v>
      </c>
      <c r="AA14" s="1">
        <f t="shared" si="2"/>
        <v>0</v>
      </c>
      <c r="AB14" s="1">
        <f t="shared" si="3"/>
        <v>0</v>
      </c>
      <c r="AC14" s="1">
        <f t="shared" si="4"/>
        <v>0</v>
      </c>
      <c r="AD14" s="1">
        <f t="shared" si="5"/>
        <v>0</v>
      </c>
      <c r="AE14" s="1">
        <f t="shared" si="6"/>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f>IF(AND(C14="Skema 2",B14="ti"),Arbejdstidsoversigt!$E$54,"")</f>
        <v>8</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8</v>
      </c>
      <c r="BB14" s="421">
        <f t="shared" si="7"/>
        <v>0</v>
      </c>
      <c r="BC14" s="1">
        <f t="shared" si="20"/>
        <v>0</v>
      </c>
      <c r="BD14" s="1">
        <f t="shared" si="8"/>
        <v>0</v>
      </c>
      <c r="BE14" s="1">
        <f t="shared" si="9"/>
        <v>0</v>
      </c>
      <c r="BF14" s="1">
        <f t="shared" si="10"/>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f>IF(AND(C14="Skema 2",B14="ti"),Skemaoplysninger!$P$28,"")</f>
        <v>0.1875</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4.5</v>
      </c>
      <c r="CB14" s="1">
        <f t="shared" si="11"/>
        <v>0</v>
      </c>
      <c r="CC14" s="1">
        <f t="shared" si="12"/>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f>IF(AND(C14="Skema 2",B14="ti"),Skemaoplysninger!$P$37,"")</f>
        <v>1.0833333333333335</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1.0833333333333335</v>
      </c>
      <c r="CY14" s="457">
        <f>IF(C14="Skema 1",Stamoplysninger!$H$30/200,0)</f>
        <v>0</v>
      </c>
      <c r="CZ14" s="457">
        <f>IF(C14="Skema 2",Stamoplysninger!$H$30/200,0)</f>
        <v>1</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3"/>
        <v>7</v>
      </c>
      <c r="B15" s="218" t="str">
        <f t="shared" si="0"/>
        <v>on</v>
      </c>
      <c r="C15" s="219" t="s">
        <v>156</v>
      </c>
      <c r="D15" s="220" t="str">
        <f t="shared" si="1"/>
        <v/>
      </c>
      <c r="E15" s="906" t="s">
        <v>600</v>
      </c>
      <c r="F15" s="907"/>
      <c r="G15" s="908"/>
      <c r="H15" s="526"/>
      <c r="I15" s="855"/>
      <c r="J15" s="726"/>
      <c r="K15" s="669">
        <v>14.67</v>
      </c>
      <c r="L15" s="669">
        <v>4.5</v>
      </c>
      <c r="M15" s="669"/>
      <c r="N15" s="557">
        <f t="shared" si="14"/>
        <v>14.67</v>
      </c>
      <c r="O15" s="557">
        <f t="shared" si="15"/>
        <v>4.5</v>
      </c>
      <c r="P15" s="557">
        <f>IF(Stamoplysninger!$H$29="JA",Juni!DG15,CX15)</f>
        <v>0</v>
      </c>
      <c r="Q15" s="557">
        <f t="shared" si="16"/>
        <v>0</v>
      </c>
      <c r="R15" s="558"/>
      <c r="S15" s="564"/>
      <c r="T15" s="565"/>
      <c r="U15" s="565"/>
      <c r="V15" s="753"/>
      <c r="W15" s="559"/>
      <c r="X15" s="760"/>
      <c r="Y15">
        <f t="shared" si="17"/>
        <v>0</v>
      </c>
      <c r="Z15" s="759">
        <f t="shared" si="18"/>
        <v>0</v>
      </c>
      <c r="AA15" s="1">
        <f t="shared" si="2"/>
        <v>0</v>
      </c>
      <c r="AB15" s="1">
        <f t="shared" si="3"/>
        <v>0</v>
      </c>
      <c r="AC15" s="1">
        <f t="shared" si="4"/>
        <v>0</v>
      </c>
      <c r="AD15" s="1">
        <f t="shared" si="5"/>
        <v>0</v>
      </c>
      <c r="AE15" s="1">
        <f t="shared" si="6"/>
        <v>14.67</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14.67</v>
      </c>
      <c r="BB15" s="421">
        <f t="shared" si="7"/>
        <v>0</v>
      </c>
      <c r="BC15" s="1">
        <f t="shared" si="20"/>
        <v>4.5</v>
      </c>
      <c r="BD15" s="1">
        <f t="shared" si="8"/>
        <v>0</v>
      </c>
      <c r="BE15" s="1">
        <f t="shared" si="9"/>
        <v>0</v>
      </c>
      <c r="BF15" s="1">
        <f t="shared" si="10"/>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4.5</v>
      </c>
      <c r="CB15" s="1">
        <f t="shared" si="11"/>
        <v>0</v>
      </c>
      <c r="CC15" s="1">
        <f t="shared" si="12"/>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1</v>
      </c>
      <c r="DF15" s="457">
        <f>IF(C15="ekskursion",Stamoplysninger!$H$30/200,0)</f>
        <v>0</v>
      </c>
      <c r="DG15" s="457">
        <f t="shared" si="22"/>
        <v>1</v>
      </c>
    </row>
    <row r="16" spans="1:211">
      <c r="A16" s="443">
        <f t="shared" si="13"/>
        <v>8</v>
      </c>
      <c r="B16" s="218" t="str">
        <f t="shared" si="0"/>
        <v>to</v>
      </c>
      <c r="C16" s="219" t="s">
        <v>156</v>
      </c>
      <c r="D16" s="220" t="str">
        <f t="shared" si="1"/>
        <v/>
      </c>
      <c r="E16" s="906" t="s">
        <v>601</v>
      </c>
      <c r="F16" s="907"/>
      <c r="G16" s="908"/>
      <c r="H16" s="526"/>
      <c r="I16" s="855"/>
      <c r="J16" s="726"/>
      <c r="K16" s="669">
        <v>17.329999999999998</v>
      </c>
      <c r="L16" s="669">
        <v>4.5</v>
      </c>
      <c r="M16" s="669"/>
      <c r="N16" s="557">
        <f t="shared" si="14"/>
        <v>17.329999999999998</v>
      </c>
      <c r="O16" s="557">
        <f t="shared" si="15"/>
        <v>4.5</v>
      </c>
      <c r="P16" s="557">
        <f>IF(Stamoplysninger!$H$29="JA",Juni!DG16,CX16)</f>
        <v>0</v>
      </c>
      <c r="Q16" s="557">
        <f t="shared" si="16"/>
        <v>0</v>
      </c>
      <c r="R16" s="558"/>
      <c r="S16" s="564"/>
      <c r="T16" s="565"/>
      <c r="U16" s="565"/>
      <c r="V16" s="753"/>
      <c r="W16" s="559"/>
      <c r="X16" s="760"/>
      <c r="Y16">
        <f t="shared" si="17"/>
        <v>0</v>
      </c>
      <c r="Z16" s="759">
        <f t="shared" si="18"/>
        <v>0</v>
      </c>
      <c r="AA16" s="1">
        <f t="shared" si="2"/>
        <v>0</v>
      </c>
      <c r="AB16" s="1">
        <f t="shared" si="3"/>
        <v>0</v>
      </c>
      <c r="AC16" s="1">
        <f t="shared" si="4"/>
        <v>0</v>
      </c>
      <c r="AD16" s="1">
        <f t="shared" si="5"/>
        <v>0</v>
      </c>
      <c r="AE16" s="1">
        <f t="shared" si="6"/>
        <v>17.329999999999998</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17.329999999999998</v>
      </c>
      <c r="BB16" s="421">
        <f t="shared" si="7"/>
        <v>0</v>
      </c>
      <c r="BC16" s="1">
        <f t="shared" si="20"/>
        <v>4.5</v>
      </c>
      <c r="BD16" s="1">
        <f t="shared" si="8"/>
        <v>0</v>
      </c>
      <c r="BE16" s="1">
        <f t="shared" si="9"/>
        <v>0</v>
      </c>
      <c r="BF16" s="1">
        <f t="shared" si="10"/>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4.5</v>
      </c>
      <c r="CB16" s="1">
        <f t="shared" si="11"/>
        <v>0</v>
      </c>
      <c r="CC16" s="1">
        <f t="shared" si="12"/>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1</v>
      </c>
      <c r="DF16" s="457">
        <f>IF(C16="ekskursion",Stamoplysninger!$H$30/200,0)</f>
        <v>0</v>
      </c>
      <c r="DG16" s="457">
        <f t="shared" si="22"/>
        <v>1</v>
      </c>
    </row>
    <row r="17" spans="1:111">
      <c r="A17" s="443">
        <f t="shared" si="13"/>
        <v>9</v>
      </c>
      <c r="B17" s="218" t="str">
        <f t="shared" si="0"/>
        <v>fr</v>
      </c>
      <c r="C17" s="219" t="s">
        <v>156</v>
      </c>
      <c r="D17" s="220" t="str">
        <f t="shared" si="1"/>
        <v/>
      </c>
      <c r="E17" s="906" t="s">
        <v>602</v>
      </c>
      <c r="F17" s="907"/>
      <c r="G17" s="908"/>
      <c r="H17" s="526"/>
      <c r="I17" s="855"/>
      <c r="J17" s="726"/>
      <c r="K17" s="669">
        <v>14.33</v>
      </c>
      <c r="L17" s="669">
        <v>2</v>
      </c>
      <c r="M17" s="669"/>
      <c r="N17" s="557">
        <f t="shared" si="14"/>
        <v>14.33</v>
      </c>
      <c r="O17" s="557">
        <f t="shared" si="15"/>
        <v>2</v>
      </c>
      <c r="P17" s="557">
        <f>IF(Stamoplysninger!$H$29="JA",Juni!DG17,CX17)</f>
        <v>0</v>
      </c>
      <c r="Q17" s="557">
        <f t="shared" si="16"/>
        <v>0</v>
      </c>
      <c r="R17" s="558"/>
      <c r="S17" s="564"/>
      <c r="T17" s="565"/>
      <c r="U17" s="565"/>
      <c r="V17" s="753"/>
      <c r="W17" s="559"/>
      <c r="X17" s="760"/>
      <c r="Y17">
        <f t="shared" si="17"/>
        <v>0</v>
      </c>
      <c r="Z17" s="759">
        <f t="shared" si="18"/>
        <v>0</v>
      </c>
      <c r="AA17" s="1">
        <f t="shared" si="2"/>
        <v>0</v>
      </c>
      <c r="AB17" s="1">
        <f t="shared" si="3"/>
        <v>0</v>
      </c>
      <c r="AC17" s="1">
        <f t="shared" si="4"/>
        <v>0</v>
      </c>
      <c r="AD17" s="1">
        <f t="shared" si="5"/>
        <v>0</v>
      </c>
      <c r="AE17" s="1">
        <f t="shared" si="6"/>
        <v>14.33</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14.33</v>
      </c>
      <c r="BB17" s="421">
        <f t="shared" si="7"/>
        <v>0</v>
      </c>
      <c r="BC17" s="1">
        <f t="shared" si="20"/>
        <v>2</v>
      </c>
      <c r="BD17" s="1">
        <f t="shared" si="8"/>
        <v>0</v>
      </c>
      <c r="BE17" s="1">
        <f t="shared" si="9"/>
        <v>0</v>
      </c>
      <c r="BF17" s="1">
        <f t="shared" si="10"/>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2</v>
      </c>
      <c r="CB17" s="1">
        <f t="shared" si="11"/>
        <v>0</v>
      </c>
      <c r="CC17" s="1">
        <f t="shared" si="12"/>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1</v>
      </c>
      <c r="DF17" s="457">
        <f>IF(C17="ekskursion",Stamoplysninger!$H$30/200,0)</f>
        <v>0</v>
      </c>
      <c r="DG17" s="457">
        <f t="shared" si="22"/>
        <v>1</v>
      </c>
    </row>
    <row r="18" spans="1:111">
      <c r="A18" s="443">
        <f t="shared" si="13"/>
        <v>10</v>
      </c>
      <c r="B18" s="218" t="str">
        <f t="shared" si="0"/>
        <v>lø</v>
      </c>
      <c r="C18" s="219" t="s">
        <v>138</v>
      </c>
      <c r="D18" s="220" t="str">
        <f t="shared" si="1"/>
        <v/>
      </c>
      <c r="E18" s="906"/>
      <c r="F18" s="907"/>
      <c r="G18" s="908"/>
      <c r="H18" s="526"/>
      <c r="I18" s="726"/>
      <c r="J18" s="726"/>
      <c r="K18" s="669"/>
      <c r="L18" s="669"/>
      <c r="M18" s="669"/>
      <c r="N18" s="557">
        <f t="shared" si="14"/>
        <v>0</v>
      </c>
      <c r="O18" s="557">
        <f t="shared" si="15"/>
        <v>0</v>
      </c>
      <c r="P18" s="557">
        <f>IF(Stamoplysninger!$H$29="JA",Juni!DG18,CX18)</f>
        <v>0</v>
      </c>
      <c r="Q18" s="557">
        <f t="shared" si="16"/>
        <v>0</v>
      </c>
      <c r="R18" s="558"/>
      <c r="S18" s="564"/>
      <c r="T18" s="565"/>
      <c r="U18" s="565"/>
      <c r="V18" s="753"/>
      <c r="W18" s="559"/>
      <c r="X18" s="760"/>
      <c r="Y18">
        <f t="shared" si="17"/>
        <v>0</v>
      </c>
      <c r="Z18" s="759">
        <f t="shared" si="18"/>
        <v>0</v>
      </c>
      <c r="AA18" s="1">
        <f t="shared" si="2"/>
        <v>0</v>
      </c>
      <c r="AB18" s="1">
        <f t="shared" si="3"/>
        <v>0</v>
      </c>
      <c r="AC18" s="1">
        <f t="shared" si="4"/>
        <v>0</v>
      </c>
      <c r="AD18" s="1">
        <f t="shared" si="5"/>
        <v>0</v>
      </c>
      <c r="AE18" s="1">
        <f t="shared" si="6"/>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0</v>
      </c>
      <c r="BB18" s="421">
        <f t="shared" si="7"/>
        <v>0</v>
      </c>
      <c r="BC18" s="1">
        <f t="shared" si="20"/>
        <v>0</v>
      </c>
      <c r="BD18" s="1">
        <f t="shared" si="8"/>
        <v>0</v>
      </c>
      <c r="BE18" s="1">
        <f t="shared" si="9"/>
        <v>0</v>
      </c>
      <c r="BF18" s="1">
        <f t="shared" si="10"/>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0</v>
      </c>
      <c r="CB18" s="1">
        <f t="shared" si="11"/>
        <v>0</v>
      </c>
      <c r="CC18" s="1">
        <f t="shared" si="12"/>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v>
      </c>
      <c r="CY18" s="457">
        <f>IF(C18="Skema 1",Stamoplysninger!$H$30/200,0)</f>
        <v>0</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0</v>
      </c>
    </row>
    <row r="19" spans="1:111">
      <c r="A19" s="443">
        <f t="shared" si="13"/>
        <v>11</v>
      </c>
      <c r="B19" s="218" t="str">
        <f t="shared" si="0"/>
        <v>sø</v>
      </c>
      <c r="C19" s="219" t="s">
        <v>138</v>
      </c>
      <c r="D19" s="220" t="str">
        <f t="shared" si="1"/>
        <v/>
      </c>
      <c r="E19" s="906"/>
      <c r="F19" s="907"/>
      <c r="G19" s="908"/>
      <c r="H19" s="526"/>
      <c r="I19" s="726"/>
      <c r="J19" s="726"/>
      <c r="K19" s="669"/>
      <c r="L19" s="669"/>
      <c r="M19" s="669"/>
      <c r="N19" s="557">
        <f t="shared" si="14"/>
        <v>0</v>
      </c>
      <c r="O19" s="557">
        <f t="shared" si="15"/>
        <v>0</v>
      </c>
      <c r="P19" s="557">
        <f>IF(Stamoplysninger!$H$29="JA",Juni!DG19,CX19)</f>
        <v>0</v>
      </c>
      <c r="Q19" s="557">
        <f t="shared" si="16"/>
        <v>0</v>
      </c>
      <c r="R19" s="558"/>
      <c r="S19" s="564"/>
      <c r="T19" s="565"/>
      <c r="U19" s="565"/>
      <c r="V19" s="753"/>
      <c r="W19" s="559"/>
      <c r="X19" s="760"/>
      <c r="Y19">
        <f t="shared" si="17"/>
        <v>0</v>
      </c>
      <c r="Z19" s="759">
        <f t="shared" si="18"/>
        <v>0</v>
      </c>
      <c r="AA19" s="1">
        <f t="shared" si="2"/>
        <v>0</v>
      </c>
      <c r="AB19" s="1">
        <f t="shared" si="3"/>
        <v>0</v>
      </c>
      <c r="AC19" s="1">
        <f t="shared" si="4"/>
        <v>0</v>
      </c>
      <c r="AD19" s="1">
        <f t="shared" si="5"/>
        <v>0</v>
      </c>
      <c r="AE19" s="1">
        <f t="shared" si="6"/>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0</v>
      </c>
      <c r="BB19" s="421">
        <f t="shared" si="7"/>
        <v>0</v>
      </c>
      <c r="BC19" s="1">
        <f t="shared" si="20"/>
        <v>0</v>
      </c>
      <c r="BD19" s="1">
        <f t="shared" si="8"/>
        <v>0</v>
      </c>
      <c r="BE19" s="1">
        <f t="shared" si="9"/>
        <v>0</v>
      </c>
      <c r="BF19" s="1">
        <f t="shared" si="10"/>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1"/>
        <v>0</v>
      </c>
      <c r="CC19" s="1">
        <f t="shared" si="12"/>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ma</v>
      </c>
      <c r="C20" s="219" t="s">
        <v>242</v>
      </c>
      <c r="D20" s="220">
        <f t="shared" si="1"/>
        <v>24.142857142857142</v>
      </c>
      <c r="E20" s="906"/>
      <c r="F20" s="907"/>
      <c r="G20" s="908"/>
      <c r="H20" s="526"/>
      <c r="I20" s="855"/>
      <c r="J20" s="726"/>
      <c r="K20" s="669"/>
      <c r="L20" s="669"/>
      <c r="M20" s="669"/>
      <c r="N20" s="557">
        <f t="shared" si="14"/>
        <v>8</v>
      </c>
      <c r="O20" s="557">
        <f t="shared" si="15"/>
        <v>4.5</v>
      </c>
      <c r="P20" s="557">
        <f>IF(Stamoplysninger!$H$29="JA",Juni!DG20,CX20)</f>
        <v>1.0833333333333335</v>
      </c>
      <c r="Q20" s="557">
        <f t="shared" si="16"/>
        <v>2.4166666666666665</v>
      </c>
      <c r="R20" s="558"/>
      <c r="S20" s="564"/>
      <c r="T20" s="565"/>
      <c r="U20" s="565"/>
      <c r="V20" s="753"/>
      <c r="W20" s="559"/>
      <c r="X20" s="760"/>
      <c r="Y20">
        <f t="shared" si="17"/>
        <v>0</v>
      </c>
      <c r="Z20" s="759">
        <f t="shared" si="18"/>
        <v>0</v>
      </c>
      <c r="AA20" s="1">
        <f t="shared" si="2"/>
        <v>0</v>
      </c>
      <c r="AB20" s="1">
        <f t="shared" si="3"/>
        <v>0</v>
      </c>
      <c r="AC20" s="1">
        <f t="shared" si="4"/>
        <v>0</v>
      </c>
      <c r="AD20" s="1">
        <f t="shared" si="5"/>
        <v>0</v>
      </c>
      <c r="AE20" s="1">
        <f t="shared" si="6"/>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f>IF(AND(C20="Skema 2",B20="ma"),Arbejdstidsoversigt!$E$53,"")</f>
        <v>8</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7"/>
        <v>0</v>
      </c>
      <c r="BC20" s="1">
        <f t="shared" si="20"/>
        <v>0</v>
      </c>
      <c r="BD20" s="1">
        <f t="shared" si="8"/>
        <v>0</v>
      </c>
      <c r="BE20" s="1">
        <f t="shared" si="9"/>
        <v>0</v>
      </c>
      <c r="BF20" s="1">
        <f t="shared" si="10"/>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f>IF(AND(C20="Skema 2",B20="ma"),Skemaoplysninger!$O$28,"")</f>
        <v>0.1875</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4.5</v>
      </c>
      <c r="CB20" s="1">
        <f t="shared" si="11"/>
        <v>0</v>
      </c>
      <c r="CC20" s="1">
        <f t="shared" si="12"/>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f>IF(AND(C20="Skema 2",B20="ma"),Skemaoplysninger!$O$37,"")</f>
        <v>1.0833333333333335</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1.0833333333333335</v>
      </c>
      <c r="CY20" s="457">
        <f>IF(C20="Skema 1",Stamoplysninger!$H$30/200,0)</f>
        <v>0</v>
      </c>
      <c r="CZ20" s="457">
        <f>IF(C20="Skema 2",Stamoplysninger!$H$30/200,0)</f>
        <v>1</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ti</v>
      </c>
      <c r="C21" s="219" t="s">
        <v>242</v>
      </c>
      <c r="D21" s="220" t="str">
        <f t="shared" si="1"/>
        <v/>
      </c>
      <c r="E21" s="909"/>
      <c r="F21" s="910"/>
      <c r="G21" s="911"/>
      <c r="H21" s="525"/>
      <c r="I21" s="855"/>
      <c r="J21" s="726"/>
      <c r="K21" s="669"/>
      <c r="L21" s="669"/>
      <c r="M21" s="669"/>
      <c r="N21" s="557">
        <f t="shared" si="14"/>
        <v>8</v>
      </c>
      <c r="O21" s="557">
        <f t="shared" si="15"/>
        <v>4.5</v>
      </c>
      <c r="P21" s="557">
        <f>IF(Stamoplysninger!$H$29="JA",Juni!DG21,CX21)</f>
        <v>1.0833333333333335</v>
      </c>
      <c r="Q21" s="557">
        <f t="shared" si="16"/>
        <v>2.4166666666666665</v>
      </c>
      <c r="R21" s="558"/>
      <c r="S21" s="564"/>
      <c r="T21" s="565"/>
      <c r="U21" s="565"/>
      <c r="V21" s="753"/>
      <c r="W21" s="559"/>
      <c r="X21" s="760"/>
      <c r="Y21">
        <f t="shared" si="17"/>
        <v>0</v>
      </c>
      <c r="Z21" s="759">
        <f t="shared" si="18"/>
        <v>0</v>
      </c>
      <c r="AA21" s="1">
        <f t="shared" si="2"/>
        <v>0</v>
      </c>
      <c r="AB21" s="1">
        <f t="shared" si="3"/>
        <v>0</v>
      </c>
      <c r="AC21" s="1">
        <f t="shared" si="4"/>
        <v>0</v>
      </c>
      <c r="AD21" s="1">
        <f t="shared" si="5"/>
        <v>0</v>
      </c>
      <c r="AE21" s="1">
        <f t="shared" si="6"/>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f>IF(AND(C21="Skema 2",B21="ti"),Arbejdstidsoversigt!$E$54,"")</f>
        <v>8</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7"/>
        <v>0</v>
      </c>
      <c r="BC21" s="1">
        <f t="shared" si="20"/>
        <v>0</v>
      </c>
      <c r="BD21" s="1">
        <f t="shared" si="8"/>
        <v>0</v>
      </c>
      <c r="BE21" s="1">
        <f t="shared" si="9"/>
        <v>0</v>
      </c>
      <c r="BF21" s="1">
        <f t="shared" si="10"/>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f>IF(AND(C21="Skema 2",B21="ti"),Skemaoplysninger!$P$28,"")</f>
        <v>0.1875</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4.5</v>
      </c>
      <c r="CB21" s="1">
        <f t="shared" si="11"/>
        <v>0</v>
      </c>
      <c r="CC21" s="1">
        <f t="shared" si="12"/>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f>IF(AND(C21="Skema 2",B21="ti"),Skemaoplysninger!$P$37,"")</f>
        <v>1.0833333333333335</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1.0833333333333335</v>
      </c>
      <c r="CY21" s="457">
        <f>IF(C21="Skema 1",Stamoplysninger!$H$30/200,0)</f>
        <v>0</v>
      </c>
      <c r="CZ21" s="457">
        <f>IF(C21="Skema 2",Stamoplysninger!$H$30/200,0)</f>
        <v>1</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3"/>
        <v>14</v>
      </c>
      <c r="B22" s="218" t="str">
        <f t="shared" si="0"/>
        <v>on</v>
      </c>
      <c r="C22" s="219" t="s">
        <v>242</v>
      </c>
      <c r="D22" s="220" t="str">
        <f t="shared" si="1"/>
        <v/>
      </c>
      <c r="E22" s="909"/>
      <c r="F22" s="910"/>
      <c r="G22" s="911"/>
      <c r="H22" s="525"/>
      <c r="I22" s="855"/>
      <c r="J22" s="726"/>
      <c r="K22" s="669"/>
      <c r="L22" s="669"/>
      <c r="M22" s="669"/>
      <c r="N22" s="557">
        <f t="shared" si="14"/>
        <v>8</v>
      </c>
      <c r="O22" s="557">
        <f t="shared" si="15"/>
        <v>3</v>
      </c>
      <c r="P22" s="557">
        <f>IF(Stamoplysninger!$H$29="JA",Juni!DG22,CX22)</f>
        <v>0.5</v>
      </c>
      <c r="Q22" s="557">
        <f t="shared" si="16"/>
        <v>4.5</v>
      </c>
      <c r="R22" s="558"/>
      <c r="S22" s="564"/>
      <c r="T22" s="565"/>
      <c r="U22" s="565"/>
      <c r="V22" s="753"/>
      <c r="W22" s="559"/>
      <c r="X22" s="760"/>
      <c r="Y22">
        <f t="shared" si="17"/>
        <v>0</v>
      </c>
      <c r="Z22" s="759">
        <f t="shared" si="18"/>
        <v>0</v>
      </c>
      <c r="AA22" s="1">
        <f t="shared" si="2"/>
        <v>0</v>
      </c>
      <c r="AB22" s="1">
        <f t="shared" si="3"/>
        <v>0</v>
      </c>
      <c r="AC22" s="1">
        <f t="shared" si="4"/>
        <v>0</v>
      </c>
      <c r="AD22" s="1">
        <f t="shared" si="5"/>
        <v>0</v>
      </c>
      <c r="AE22" s="1">
        <f t="shared" si="6"/>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f>IF(AND(C22="Skema 2",B22="on"),Arbejdstidsoversigt!$E$55,"")</f>
        <v>8</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8</v>
      </c>
      <c r="BB22" s="421">
        <f t="shared" si="7"/>
        <v>0</v>
      </c>
      <c r="BC22" s="1">
        <f t="shared" si="20"/>
        <v>0</v>
      </c>
      <c r="BD22" s="1">
        <f t="shared" si="8"/>
        <v>0</v>
      </c>
      <c r="BE22" s="1">
        <f t="shared" si="9"/>
        <v>0</v>
      </c>
      <c r="BF22" s="1">
        <f t="shared" si="10"/>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f>IF(AND(C22="Skema 2",B22="on"),Skemaoplysninger!$Q$28,"")</f>
        <v>0.125</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v>
      </c>
      <c r="CB22" s="1">
        <f t="shared" si="11"/>
        <v>0</v>
      </c>
      <c r="CC22" s="1">
        <f t="shared" si="12"/>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f>IF(AND(C22="Skema 2",B22="on"),Skemaoplysninger!$Q$37,"")</f>
        <v>0.5</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0.5</v>
      </c>
      <c r="CY22" s="457">
        <f>IF(C22="Skema 1",Stamoplysninger!$H$30/200,0)</f>
        <v>0</v>
      </c>
      <c r="CZ22" s="457">
        <f>IF(C22="Skema 2",Stamoplysninger!$H$30/200,0)</f>
        <v>1</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3"/>
        <v>15</v>
      </c>
      <c r="B23" s="218" t="str">
        <f t="shared" si="0"/>
        <v>to</v>
      </c>
      <c r="C23" s="219" t="s">
        <v>242</v>
      </c>
      <c r="D23" s="220" t="str">
        <f t="shared" si="1"/>
        <v/>
      </c>
      <c r="E23" s="909"/>
      <c r="F23" s="910"/>
      <c r="G23" s="911"/>
      <c r="H23" s="525"/>
      <c r="I23" s="855"/>
      <c r="J23" s="726"/>
      <c r="K23" s="669"/>
      <c r="L23" s="669"/>
      <c r="M23" s="669"/>
      <c r="N23" s="557">
        <f t="shared" si="14"/>
        <v>8</v>
      </c>
      <c r="O23" s="557">
        <f t="shared" si="15"/>
        <v>3</v>
      </c>
      <c r="P23" s="557">
        <f>IF(Stamoplysninger!$H$29="JA",Juni!DG23,CX23)</f>
        <v>0.5</v>
      </c>
      <c r="Q23" s="557">
        <f t="shared" si="16"/>
        <v>4.5</v>
      </c>
      <c r="R23" s="558"/>
      <c r="S23" s="564"/>
      <c r="T23" s="565"/>
      <c r="U23" s="565"/>
      <c r="V23" s="753"/>
      <c r="W23" s="559"/>
      <c r="X23" s="760"/>
      <c r="Y23">
        <f t="shared" si="17"/>
        <v>0</v>
      </c>
      <c r="Z23" s="759">
        <f t="shared" si="18"/>
        <v>0</v>
      </c>
      <c r="AA23" s="1">
        <f t="shared" si="2"/>
        <v>0</v>
      </c>
      <c r="AB23" s="1">
        <f t="shared" si="3"/>
        <v>0</v>
      </c>
      <c r="AC23" s="1">
        <f t="shared" si="4"/>
        <v>0</v>
      </c>
      <c r="AD23" s="1">
        <f t="shared" si="5"/>
        <v>0</v>
      </c>
      <c r="AE23" s="1">
        <f t="shared" si="6"/>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f>IF(AND(C23="Skema 2",B23="to"),Arbejdstidsoversigt!$E$56,"")</f>
        <v>8</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7"/>
        <v>0</v>
      </c>
      <c r="BC23" s="1">
        <f t="shared" si="20"/>
        <v>0</v>
      </c>
      <c r="BD23" s="1">
        <f t="shared" si="8"/>
        <v>0</v>
      </c>
      <c r="BE23" s="1">
        <f t="shared" si="9"/>
        <v>0</v>
      </c>
      <c r="BF23" s="1">
        <f t="shared" si="10"/>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f>IF(AND(C23="Skema 2",B23="to"),Skemaoplysninger!$R$28,"")</f>
        <v>0.125</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3</v>
      </c>
      <c r="CB23" s="1">
        <f t="shared" si="11"/>
        <v>0</v>
      </c>
      <c r="CC23" s="1">
        <f t="shared" si="12"/>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f>IF(AND(C23="Skema 2",B23="to"),Skemaoplysninger!$R$37,"")</f>
        <v>0.5</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0.5</v>
      </c>
      <c r="CY23" s="457">
        <f>IF(C23="Skema 1",Stamoplysninger!$H$30/200,0)</f>
        <v>0</v>
      </c>
      <c r="CZ23" s="457">
        <f>IF(C23="Skema 2",Stamoplysninger!$H$30/200,0)</f>
        <v>1</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fr</v>
      </c>
      <c r="C24" s="219" t="s">
        <v>242</v>
      </c>
      <c r="D24" s="220" t="str">
        <f t="shared" si="1"/>
        <v/>
      </c>
      <c r="E24" s="906"/>
      <c r="F24" s="907"/>
      <c r="G24" s="908"/>
      <c r="H24" s="526"/>
      <c r="I24" s="855"/>
      <c r="J24" s="726"/>
      <c r="K24" s="669"/>
      <c r="L24" s="669"/>
      <c r="M24" s="669"/>
      <c r="N24" s="557">
        <f t="shared" si="14"/>
        <v>6.5</v>
      </c>
      <c r="O24" s="557">
        <f t="shared" si="15"/>
        <v>3</v>
      </c>
      <c r="P24" s="557">
        <f>IF(Stamoplysninger!$H$29="JA",Juni!DG24,CX24)</f>
        <v>0.5</v>
      </c>
      <c r="Q24" s="557">
        <f t="shared" si="16"/>
        <v>3</v>
      </c>
      <c r="R24" s="558"/>
      <c r="S24" s="564"/>
      <c r="T24" s="565"/>
      <c r="U24" s="565"/>
      <c r="V24" s="753"/>
      <c r="W24" s="559"/>
      <c r="X24" s="760"/>
      <c r="Y24">
        <f t="shared" si="17"/>
        <v>0</v>
      </c>
      <c r="Z24" s="759">
        <f t="shared" si="18"/>
        <v>0</v>
      </c>
      <c r="AA24" s="1">
        <f t="shared" si="2"/>
        <v>0</v>
      </c>
      <c r="AB24" s="1">
        <f t="shared" si="3"/>
        <v>0</v>
      </c>
      <c r="AC24" s="1">
        <f t="shared" si="4"/>
        <v>0</v>
      </c>
      <c r="AD24" s="1">
        <f t="shared" si="5"/>
        <v>0</v>
      </c>
      <c r="AE24" s="1">
        <f t="shared" si="6"/>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f>IF(AND(C24="Skema 2",B24="fr"),Arbejdstidsoversigt!$E$57,"")</f>
        <v>6.5</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6.5</v>
      </c>
      <c r="BB24" s="421">
        <f t="shared" si="7"/>
        <v>0</v>
      </c>
      <c r="BC24" s="1">
        <f t="shared" si="20"/>
        <v>0</v>
      </c>
      <c r="BD24" s="1">
        <f t="shared" si="8"/>
        <v>0</v>
      </c>
      <c r="BE24" s="1">
        <f t="shared" si="9"/>
        <v>0</v>
      </c>
      <c r="BF24" s="1">
        <f t="shared" si="10"/>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f>IF(AND(C24="Skema 2",B24="fr"),Skemaoplysninger!$S$28,"")</f>
        <v>0.125</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3</v>
      </c>
      <c r="CB24" s="1">
        <f t="shared" si="11"/>
        <v>0</v>
      </c>
      <c r="CC24" s="1">
        <f t="shared" si="12"/>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f>IF(AND(C24="Skema 2",B24="fr"),Skemaoplysninger!$S$37,"")</f>
        <v>0.5</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0.5</v>
      </c>
      <c r="CY24" s="457">
        <f>IF(C24="Skema 1",Stamoplysninger!$H$30/200,0)</f>
        <v>0</v>
      </c>
      <c r="CZ24" s="457">
        <f>IF(C24="Skema 2",Stamoplysninger!$H$30/200,0)</f>
        <v>1</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3"/>
        <v>17</v>
      </c>
      <c r="B25" s="218" t="str">
        <f t="shared" si="0"/>
        <v>lø</v>
      </c>
      <c r="C25" s="219" t="s">
        <v>138</v>
      </c>
      <c r="D25" s="220" t="str">
        <f t="shared" si="1"/>
        <v/>
      </c>
      <c r="E25" s="906"/>
      <c r="F25" s="907"/>
      <c r="G25" s="908"/>
      <c r="H25" s="526"/>
      <c r="I25" s="726"/>
      <c r="J25" s="726"/>
      <c r="K25" s="669"/>
      <c r="L25" s="669"/>
      <c r="M25" s="669"/>
      <c r="N25" s="557">
        <f t="shared" si="14"/>
        <v>0</v>
      </c>
      <c r="O25" s="557">
        <f t="shared" si="15"/>
        <v>0</v>
      </c>
      <c r="P25" s="557">
        <f>IF(Stamoplysninger!$H$29="JA",Juni!DG25,CX25)</f>
        <v>0</v>
      </c>
      <c r="Q25" s="557">
        <f t="shared" si="16"/>
        <v>0</v>
      </c>
      <c r="R25" s="558"/>
      <c r="S25" s="564"/>
      <c r="T25" s="565"/>
      <c r="U25" s="565"/>
      <c r="V25" s="753"/>
      <c r="W25" s="559"/>
      <c r="X25" s="760"/>
      <c r="Y25">
        <f t="shared" si="17"/>
        <v>0</v>
      </c>
      <c r="Z25" s="759">
        <f t="shared" si="18"/>
        <v>0</v>
      </c>
      <c r="AA25" s="1">
        <f t="shared" si="2"/>
        <v>0</v>
      </c>
      <c r="AB25" s="1">
        <f t="shared" si="3"/>
        <v>0</v>
      </c>
      <c r="AC25" s="1">
        <f t="shared" si="4"/>
        <v>0</v>
      </c>
      <c r="AD25" s="1">
        <f t="shared" si="5"/>
        <v>0</v>
      </c>
      <c r="AE25" s="1">
        <f t="shared" si="6"/>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7"/>
        <v>0</v>
      </c>
      <c r="BC25" s="1">
        <f t="shared" si="20"/>
        <v>0</v>
      </c>
      <c r="BD25" s="1">
        <f t="shared" si="8"/>
        <v>0</v>
      </c>
      <c r="BE25" s="1">
        <f t="shared" si="9"/>
        <v>0</v>
      </c>
      <c r="BF25" s="1">
        <f t="shared" si="10"/>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1"/>
        <v>0</v>
      </c>
      <c r="CC25" s="1">
        <f t="shared" si="12"/>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3"/>
        <v>18</v>
      </c>
      <c r="B26" s="218" t="str">
        <f t="shared" si="0"/>
        <v>sø</v>
      </c>
      <c r="C26" s="219" t="s">
        <v>138</v>
      </c>
      <c r="D26" s="220" t="str">
        <f t="shared" si="1"/>
        <v/>
      </c>
      <c r="E26" s="906"/>
      <c r="F26" s="907"/>
      <c r="G26" s="908"/>
      <c r="H26" s="526"/>
      <c r="I26" s="726"/>
      <c r="J26" s="726"/>
      <c r="K26" s="669"/>
      <c r="L26" s="669"/>
      <c r="M26" s="669"/>
      <c r="N26" s="557">
        <f t="shared" si="14"/>
        <v>0</v>
      </c>
      <c r="O26" s="557">
        <f t="shared" si="15"/>
        <v>0</v>
      </c>
      <c r="P26" s="557">
        <f>IF(Stamoplysninger!$H$29="JA",Juni!DG26,CX26)</f>
        <v>0</v>
      </c>
      <c r="Q26" s="557">
        <f t="shared" si="16"/>
        <v>0</v>
      </c>
      <c r="R26" s="558"/>
      <c r="S26" s="564"/>
      <c r="T26" s="565"/>
      <c r="U26" s="565"/>
      <c r="V26" s="753"/>
      <c r="W26" s="559"/>
      <c r="X26" s="760"/>
      <c r="Y26">
        <f t="shared" si="17"/>
        <v>0</v>
      </c>
      <c r="Z26" s="759">
        <f t="shared" si="18"/>
        <v>0</v>
      </c>
      <c r="AA26" s="1">
        <f t="shared" si="2"/>
        <v>0</v>
      </c>
      <c r="AB26" s="1">
        <f t="shared" si="3"/>
        <v>0</v>
      </c>
      <c r="AC26" s="1">
        <f t="shared" si="4"/>
        <v>0</v>
      </c>
      <c r="AD26" s="1">
        <f t="shared" si="5"/>
        <v>0</v>
      </c>
      <c r="AE26" s="1">
        <f t="shared" si="6"/>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7"/>
        <v>0</v>
      </c>
      <c r="BC26" s="1">
        <f t="shared" si="20"/>
        <v>0</v>
      </c>
      <c r="BD26" s="1">
        <f t="shared" si="8"/>
        <v>0</v>
      </c>
      <c r="BE26" s="1">
        <f t="shared" si="9"/>
        <v>0</v>
      </c>
      <c r="BF26" s="1">
        <f t="shared" si="10"/>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1"/>
        <v>0</v>
      </c>
      <c r="CC26" s="1">
        <f t="shared" si="12"/>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3"/>
        <v>19</v>
      </c>
      <c r="B27" s="218" t="str">
        <f t="shared" si="0"/>
        <v>ma</v>
      </c>
      <c r="C27" s="219" t="s">
        <v>242</v>
      </c>
      <c r="D27" s="220">
        <f t="shared" si="1"/>
        <v>25.142857142857142</v>
      </c>
      <c r="E27" s="906"/>
      <c r="F27" s="907"/>
      <c r="G27" s="908"/>
      <c r="H27" s="526"/>
      <c r="I27" s="855"/>
      <c r="J27" s="726"/>
      <c r="K27" s="669"/>
      <c r="L27" s="669"/>
      <c r="M27" s="669"/>
      <c r="N27" s="557">
        <f t="shared" si="14"/>
        <v>8</v>
      </c>
      <c r="O27" s="557">
        <f t="shared" si="15"/>
        <v>4.5</v>
      </c>
      <c r="P27" s="557">
        <f>IF(Stamoplysninger!$H$29="JA",Juni!DG27,CX27)</f>
        <v>1.0833333333333335</v>
      </c>
      <c r="Q27" s="557">
        <f t="shared" si="16"/>
        <v>2.4166666666666665</v>
      </c>
      <c r="R27" s="558"/>
      <c r="S27" s="564"/>
      <c r="T27" s="565"/>
      <c r="U27" s="565"/>
      <c r="V27" s="753"/>
      <c r="W27" s="559"/>
      <c r="X27" s="760"/>
      <c r="Y27">
        <f t="shared" si="17"/>
        <v>0</v>
      </c>
      <c r="Z27" s="759">
        <f t="shared" si="18"/>
        <v>0</v>
      </c>
      <c r="AA27" s="1">
        <f t="shared" si="2"/>
        <v>0</v>
      </c>
      <c r="AB27" s="1">
        <f t="shared" si="3"/>
        <v>0</v>
      </c>
      <c r="AC27" s="1">
        <f t="shared" si="4"/>
        <v>0</v>
      </c>
      <c r="AD27" s="1">
        <f t="shared" si="5"/>
        <v>0</v>
      </c>
      <c r="AE27" s="1">
        <f t="shared" si="6"/>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f>IF(AND(C27="Skema 2",B27="ma"),Arbejdstidsoversigt!$E$53,"")</f>
        <v>8</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8</v>
      </c>
      <c r="BB27" s="421">
        <f t="shared" si="7"/>
        <v>0</v>
      </c>
      <c r="BC27" s="1">
        <f t="shared" si="20"/>
        <v>0</v>
      </c>
      <c r="BD27" s="1">
        <f t="shared" si="8"/>
        <v>0</v>
      </c>
      <c r="BE27" s="1">
        <f t="shared" si="9"/>
        <v>0</v>
      </c>
      <c r="BF27" s="1">
        <f t="shared" si="10"/>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f>IF(AND(C27="Skema 2",B27="ma"),Skemaoplysninger!$O$28,"")</f>
        <v>0.1875</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4.5</v>
      </c>
      <c r="CB27" s="1">
        <f t="shared" si="11"/>
        <v>0</v>
      </c>
      <c r="CC27" s="1">
        <f t="shared" si="12"/>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f>IF(AND(C27="Skema 2",B27="ma"),Skemaoplysninger!$O$37,"")</f>
        <v>1.0833333333333335</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1.0833333333333335</v>
      </c>
      <c r="CY27" s="457">
        <f>IF(C27="Skema 1",Stamoplysninger!$H$30/200,0)</f>
        <v>0</v>
      </c>
      <c r="CZ27" s="457">
        <f>IF(C27="Skema 2",Stamoplysninger!$H$30/200,0)</f>
        <v>1</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1</v>
      </c>
    </row>
    <row r="28" spans="1:111">
      <c r="A28" s="443">
        <f t="shared" si="13"/>
        <v>20</v>
      </c>
      <c r="B28" s="218" t="str">
        <f t="shared" si="0"/>
        <v>ti</v>
      </c>
      <c r="C28" s="219" t="s">
        <v>242</v>
      </c>
      <c r="D28" s="220" t="str">
        <f t="shared" si="1"/>
        <v/>
      </c>
      <c r="E28" s="906"/>
      <c r="F28" s="907"/>
      <c r="G28" s="908"/>
      <c r="H28" s="526"/>
      <c r="I28" s="855"/>
      <c r="J28" s="726"/>
      <c r="K28" s="669"/>
      <c r="L28" s="669"/>
      <c r="M28" s="669"/>
      <c r="N28" s="557">
        <f t="shared" si="14"/>
        <v>8</v>
      </c>
      <c r="O28" s="557">
        <f t="shared" si="15"/>
        <v>4.5</v>
      </c>
      <c r="P28" s="557">
        <f>IF(Stamoplysninger!$H$29="JA",Juni!DG28,CX28)</f>
        <v>1.0833333333333335</v>
      </c>
      <c r="Q28" s="557">
        <f t="shared" si="16"/>
        <v>2.4166666666666665</v>
      </c>
      <c r="R28" s="558"/>
      <c r="S28" s="564"/>
      <c r="T28" s="565"/>
      <c r="U28" s="565"/>
      <c r="V28" s="753"/>
      <c r="W28" s="559"/>
      <c r="X28" s="760"/>
      <c r="Y28">
        <f t="shared" si="17"/>
        <v>0</v>
      </c>
      <c r="Z28" s="759">
        <f t="shared" si="18"/>
        <v>0</v>
      </c>
      <c r="AA28" s="1">
        <f t="shared" si="2"/>
        <v>0</v>
      </c>
      <c r="AB28" s="1">
        <f t="shared" si="3"/>
        <v>0</v>
      </c>
      <c r="AC28" s="1">
        <f t="shared" si="4"/>
        <v>0</v>
      </c>
      <c r="AD28" s="1">
        <f t="shared" si="5"/>
        <v>0</v>
      </c>
      <c r="AE28" s="1">
        <f t="shared" si="6"/>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f>IF(AND(C28="Skema 2",B28="ti"),Arbejdstidsoversigt!$E$54,"")</f>
        <v>8</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7"/>
        <v>0</v>
      </c>
      <c r="BC28" s="1">
        <f t="shared" si="20"/>
        <v>0</v>
      </c>
      <c r="BD28" s="1">
        <f t="shared" si="8"/>
        <v>0</v>
      </c>
      <c r="BE28" s="1">
        <f t="shared" si="9"/>
        <v>0</v>
      </c>
      <c r="BF28" s="1">
        <f t="shared" si="10"/>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f>IF(AND(C28="Skema 2",B28="ti"),Skemaoplysninger!$P$28,"")</f>
        <v>0.1875</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4.5</v>
      </c>
      <c r="CB28" s="1">
        <f t="shared" si="11"/>
        <v>0</v>
      </c>
      <c r="CC28" s="1">
        <f t="shared" si="12"/>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f>IF(AND(C28="Skema 2",B28="ti"),Skemaoplysninger!$P$37,"")</f>
        <v>1.0833333333333335</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1.0833333333333335</v>
      </c>
      <c r="CY28" s="457">
        <f>IF(C28="Skema 1",Stamoplysninger!$H$30/200,0)</f>
        <v>0</v>
      </c>
      <c r="CZ28" s="457">
        <f>IF(C28="Skema 2",Stamoplysninger!$H$30/200,0)</f>
        <v>1</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3"/>
        <v>21</v>
      </c>
      <c r="B29" s="218" t="str">
        <f t="shared" si="0"/>
        <v>on</v>
      </c>
      <c r="C29" s="219" t="s">
        <v>242</v>
      </c>
      <c r="D29" s="220" t="str">
        <f t="shared" si="1"/>
        <v/>
      </c>
      <c r="E29" s="906"/>
      <c r="F29" s="907"/>
      <c r="G29" s="908"/>
      <c r="H29" s="526"/>
      <c r="I29" s="855"/>
      <c r="J29" s="726"/>
      <c r="K29" s="669"/>
      <c r="L29" s="669"/>
      <c r="M29" s="669"/>
      <c r="N29" s="557">
        <f t="shared" si="14"/>
        <v>8</v>
      </c>
      <c r="O29" s="557">
        <f t="shared" si="15"/>
        <v>3</v>
      </c>
      <c r="P29" s="557">
        <f>IF(Stamoplysninger!$H$29="JA",Juni!DG29,CX29)</f>
        <v>0.5</v>
      </c>
      <c r="Q29" s="557">
        <f t="shared" si="16"/>
        <v>4.5</v>
      </c>
      <c r="R29" s="558"/>
      <c r="S29" s="564"/>
      <c r="T29" s="565"/>
      <c r="U29" s="565"/>
      <c r="V29" s="753"/>
      <c r="W29" s="559"/>
      <c r="X29" s="760"/>
      <c r="Y29">
        <f t="shared" si="17"/>
        <v>0</v>
      </c>
      <c r="Z29" s="759">
        <f t="shared" si="18"/>
        <v>0</v>
      </c>
      <c r="AA29" s="1">
        <f t="shared" si="2"/>
        <v>0</v>
      </c>
      <c r="AB29" s="1">
        <f t="shared" si="3"/>
        <v>0</v>
      </c>
      <c r="AC29" s="1">
        <f t="shared" si="4"/>
        <v>0</v>
      </c>
      <c r="AD29" s="1">
        <f t="shared" si="5"/>
        <v>0</v>
      </c>
      <c r="AE29" s="1">
        <f t="shared" si="6"/>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f>IF(AND(C29="Skema 2",B29="on"),Arbejdstidsoversigt!$E$55,"")</f>
        <v>8</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8</v>
      </c>
      <c r="BB29" s="421">
        <f t="shared" si="7"/>
        <v>0</v>
      </c>
      <c r="BC29" s="1">
        <f t="shared" si="20"/>
        <v>0</v>
      </c>
      <c r="BD29" s="1">
        <f t="shared" si="8"/>
        <v>0</v>
      </c>
      <c r="BE29" s="1">
        <f t="shared" si="9"/>
        <v>0</v>
      </c>
      <c r="BF29" s="1">
        <f t="shared" si="10"/>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f>IF(AND(C29="Skema 2",B29="on"),Skemaoplysninger!$Q$28,"")</f>
        <v>0.125</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3</v>
      </c>
      <c r="CB29" s="1">
        <f t="shared" si="11"/>
        <v>0</v>
      </c>
      <c r="CC29" s="1">
        <f t="shared" si="12"/>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f>IF(AND(C29="Skema 2",B29="on"),Skemaoplysninger!$Q$37,"")</f>
        <v>0.5</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0.5</v>
      </c>
      <c r="CY29" s="457">
        <f>IF(C29="Skema 1",Stamoplysninger!$H$30/200,0)</f>
        <v>0</v>
      </c>
      <c r="CZ29" s="457">
        <f>IF(C29="Skema 2",Stamoplysninger!$H$30/200,0)</f>
        <v>1</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3"/>
        <v>22</v>
      </c>
      <c r="B30" s="218" t="str">
        <f t="shared" si="0"/>
        <v>to</v>
      </c>
      <c r="C30" s="219" t="s">
        <v>242</v>
      </c>
      <c r="D30" s="220" t="str">
        <f t="shared" si="1"/>
        <v/>
      </c>
      <c r="E30" s="906"/>
      <c r="F30" s="907"/>
      <c r="G30" s="908"/>
      <c r="H30" s="526"/>
      <c r="I30" s="855"/>
      <c r="J30" s="726"/>
      <c r="K30" s="669"/>
      <c r="L30" s="669"/>
      <c r="M30" s="669"/>
      <c r="N30" s="557">
        <f t="shared" si="14"/>
        <v>8</v>
      </c>
      <c r="O30" s="557">
        <f t="shared" si="15"/>
        <v>3</v>
      </c>
      <c r="P30" s="557">
        <f>IF(Stamoplysninger!$H$29="JA",Juni!DG30,CX30)</f>
        <v>0.5</v>
      </c>
      <c r="Q30" s="557">
        <f t="shared" si="16"/>
        <v>4.5</v>
      </c>
      <c r="R30" s="558"/>
      <c r="S30" s="564"/>
      <c r="T30" s="565"/>
      <c r="U30" s="565"/>
      <c r="V30" s="753"/>
      <c r="W30" s="559"/>
      <c r="X30" s="760"/>
      <c r="Y30">
        <f t="shared" si="17"/>
        <v>0</v>
      </c>
      <c r="Z30" s="759">
        <f t="shared" si="18"/>
        <v>0</v>
      </c>
      <c r="AA30" s="1">
        <f t="shared" si="2"/>
        <v>0</v>
      </c>
      <c r="AB30" s="1">
        <f t="shared" si="3"/>
        <v>0</v>
      </c>
      <c r="AC30" s="1">
        <f t="shared" si="4"/>
        <v>0</v>
      </c>
      <c r="AD30" s="1">
        <f t="shared" si="5"/>
        <v>0</v>
      </c>
      <c r="AE30" s="1">
        <f t="shared" si="6"/>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f>IF(AND(C30="Skema 2",B30="to"),Arbejdstidsoversigt!$E$56,"")</f>
        <v>8</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7"/>
        <v>0</v>
      </c>
      <c r="BC30" s="1">
        <f t="shared" si="20"/>
        <v>0</v>
      </c>
      <c r="BD30" s="1">
        <f t="shared" si="8"/>
        <v>0</v>
      </c>
      <c r="BE30" s="1">
        <f t="shared" si="9"/>
        <v>0</v>
      </c>
      <c r="BF30" s="1">
        <f t="shared" si="10"/>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f>IF(AND(C30="Skema 2",B30="to"),Skemaoplysninger!$R$28,"")</f>
        <v>0.125</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3</v>
      </c>
      <c r="CB30" s="1">
        <f t="shared" si="11"/>
        <v>0</v>
      </c>
      <c r="CC30" s="1">
        <f t="shared" si="12"/>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f>IF(AND(C30="Skema 2",B30="to"),Skemaoplysninger!$R$37,"")</f>
        <v>0.5</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0.5</v>
      </c>
      <c r="CY30" s="457">
        <f>IF(C30="Skema 1",Stamoplysninger!$H$30/200,0)</f>
        <v>0</v>
      </c>
      <c r="CZ30" s="457">
        <f>IF(C30="Skema 2",Stamoplysninger!$H$30/200,0)</f>
        <v>1</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3"/>
        <v>23</v>
      </c>
      <c r="B31" s="218" t="str">
        <f t="shared" si="0"/>
        <v>fr</v>
      </c>
      <c r="C31" s="219" t="s">
        <v>246</v>
      </c>
      <c r="D31" s="220" t="str">
        <f t="shared" si="1"/>
        <v/>
      </c>
      <c r="E31" s="906" t="s">
        <v>603</v>
      </c>
      <c r="F31" s="907"/>
      <c r="G31" s="908"/>
      <c r="H31" s="526" t="s">
        <v>612</v>
      </c>
      <c r="I31" s="855"/>
      <c r="J31" s="726"/>
      <c r="K31" s="669">
        <v>5</v>
      </c>
      <c r="L31" s="669">
        <v>2.5</v>
      </c>
      <c r="M31" s="669">
        <v>0.75</v>
      </c>
      <c r="N31" s="557">
        <f t="shared" si="14"/>
        <v>5</v>
      </c>
      <c r="O31" s="557">
        <f t="shared" si="15"/>
        <v>2.5</v>
      </c>
      <c r="P31" s="557">
        <f>IF(Stamoplysninger!$H$29="JA",Juni!DG31,CX31)</f>
        <v>0.75</v>
      </c>
      <c r="Q31" s="557">
        <f t="shared" si="16"/>
        <v>1.75</v>
      </c>
      <c r="R31" s="558">
        <v>3</v>
      </c>
      <c r="S31" s="564"/>
      <c r="T31" s="565"/>
      <c r="U31" s="565"/>
      <c r="V31" s="753"/>
      <c r="W31" s="559"/>
      <c r="X31" s="760"/>
      <c r="Y31">
        <f t="shared" si="17"/>
        <v>0</v>
      </c>
      <c r="Z31" s="759">
        <f t="shared" si="18"/>
        <v>0</v>
      </c>
      <c r="AA31" s="1">
        <f t="shared" si="2"/>
        <v>5</v>
      </c>
      <c r="AB31" s="1">
        <f t="shared" si="3"/>
        <v>0</v>
      </c>
      <c r="AC31" s="1">
        <f t="shared" si="4"/>
        <v>0</v>
      </c>
      <c r="AD31" s="1">
        <f t="shared" si="5"/>
        <v>0</v>
      </c>
      <c r="AE31" s="1">
        <f t="shared" si="6"/>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5</v>
      </c>
      <c r="BB31" s="421">
        <f t="shared" si="7"/>
        <v>0</v>
      </c>
      <c r="BC31" s="1">
        <f t="shared" si="20"/>
        <v>0</v>
      </c>
      <c r="BD31" s="1">
        <f t="shared" si="8"/>
        <v>0</v>
      </c>
      <c r="BE31" s="1">
        <f t="shared" si="9"/>
        <v>0</v>
      </c>
      <c r="BF31" s="1">
        <f t="shared" si="10"/>
        <v>2.5</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2.5</v>
      </c>
      <c r="CB31" s="1">
        <f t="shared" si="11"/>
        <v>0</v>
      </c>
      <c r="CC31" s="1">
        <f t="shared" si="12"/>
        <v>0.75</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0.75</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1</v>
      </c>
      <c r="DE31" s="457">
        <f>IF(C31="lejrskole",Stamoplysninger!$H$30/200,0)</f>
        <v>0</v>
      </c>
      <c r="DF31" s="457">
        <f>IF(C31="ekskursion",Stamoplysninger!$H$30/200,0)</f>
        <v>0</v>
      </c>
      <c r="DG31" s="457">
        <f t="shared" si="22"/>
        <v>1</v>
      </c>
    </row>
    <row r="32" spans="1:111">
      <c r="A32" s="443">
        <f t="shared" si="13"/>
        <v>24</v>
      </c>
      <c r="B32" s="218" t="str">
        <f t="shared" si="0"/>
        <v>lø</v>
      </c>
      <c r="C32" s="219" t="s">
        <v>138</v>
      </c>
      <c r="D32" s="220" t="str">
        <f t="shared" si="1"/>
        <v/>
      </c>
      <c r="E32" s="449"/>
      <c r="F32" s="450"/>
      <c r="G32" s="451"/>
      <c r="H32" s="526"/>
      <c r="I32" s="726"/>
      <c r="J32" s="726"/>
      <c r="K32" s="669"/>
      <c r="L32" s="669"/>
      <c r="M32" s="669"/>
      <c r="N32" s="557">
        <f t="shared" si="14"/>
        <v>0</v>
      </c>
      <c r="O32" s="557">
        <f t="shared" si="15"/>
        <v>0</v>
      </c>
      <c r="P32" s="557">
        <f>IF(Stamoplysninger!$H$29="JA",Juni!DG32,CX32)</f>
        <v>0</v>
      </c>
      <c r="Q32" s="557">
        <f t="shared" si="16"/>
        <v>0</v>
      </c>
      <c r="R32" s="558"/>
      <c r="S32" s="564"/>
      <c r="T32" s="565"/>
      <c r="U32" s="565"/>
      <c r="V32" s="753"/>
      <c r="W32" s="559"/>
      <c r="X32" s="760"/>
      <c r="Y32">
        <f t="shared" si="17"/>
        <v>0</v>
      </c>
      <c r="Z32" s="759">
        <f t="shared" si="18"/>
        <v>0</v>
      </c>
      <c r="AA32" s="1">
        <f t="shared" si="2"/>
        <v>0</v>
      </c>
      <c r="AB32" s="1">
        <f t="shared" si="3"/>
        <v>0</v>
      </c>
      <c r="AC32" s="1">
        <f t="shared" si="4"/>
        <v>0</v>
      </c>
      <c r="AD32" s="1">
        <f t="shared" si="5"/>
        <v>0</v>
      </c>
      <c r="AE32" s="1">
        <f t="shared" si="6"/>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0</v>
      </c>
      <c r="BB32" s="421">
        <f t="shared" si="7"/>
        <v>0</v>
      </c>
      <c r="BC32" s="1">
        <f t="shared" si="20"/>
        <v>0</v>
      </c>
      <c r="BD32" s="1">
        <f t="shared" si="8"/>
        <v>0</v>
      </c>
      <c r="BE32" s="1">
        <f t="shared" si="9"/>
        <v>0</v>
      </c>
      <c r="BF32" s="1">
        <f t="shared" si="10"/>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0</v>
      </c>
      <c r="CB32" s="1">
        <f t="shared" si="11"/>
        <v>0</v>
      </c>
      <c r="CC32" s="1">
        <f t="shared" si="12"/>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v>
      </c>
      <c r="CY32" s="457">
        <f>IF(C32="Skema 1",Stamoplysninger!$H$30/200,0)</f>
        <v>0</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0</v>
      </c>
    </row>
    <row r="33" spans="1:111">
      <c r="A33" s="443">
        <f t="shared" si="13"/>
        <v>25</v>
      </c>
      <c r="B33" s="218" t="str">
        <f t="shared" si="0"/>
        <v>sø</v>
      </c>
      <c r="C33" s="219" t="s">
        <v>138</v>
      </c>
      <c r="D33" s="220" t="str">
        <f t="shared" si="1"/>
        <v/>
      </c>
      <c r="E33" s="906"/>
      <c r="F33" s="907"/>
      <c r="G33" s="908"/>
      <c r="H33" s="526"/>
      <c r="I33" s="726"/>
      <c r="J33" s="726"/>
      <c r="K33" s="669"/>
      <c r="L33" s="669"/>
      <c r="M33" s="669"/>
      <c r="N33" s="557">
        <f t="shared" si="14"/>
        <v>0</v>
      </c>
      <c r="O33" s="557">
        <f t="shared" si="15"/>
        <v>0</v>
      </c>
      <c r="P33" s="557">
        <f>IF(Stamoplysninger!$H$29="JA",Juni!DG33,CX33)</f>
        <v>0</v>
      </c>
      <c r="Q33" s="557">
        <f t="shared" si="16"/>
        <v>0</v>
      </c>
      <c r="R33" s="558"/>
      <c r="S33" s="564"/>
      <c r="T33" s="565"/>
      <c r="U33" s="565"/>
      <c r="V33" s="753"/>
      <c r="W33" s="559"/>
      <c r="X33" s="760"/>
      <c r="Y33">
        <f t="shared" si="17"/>
        <v>0</v>
      </c>
      <c r="Z33" s="759">
        <f t="shared" si="18"/>
        <v>0</v>
      </c>
      <c r="AA33" s="1">
        <f t="shared" si="2"/>
        <v>0</v>
      </c>
      <c r="AB33" s="1">
        <f t="shared" si="3"/>
        <v>0</v>
      </c>
      <c r="AC33" s="1">
        <f t="shared" si="4"/>
        <v>0</v>
      </c>
      <c r="AD33" s="1">
        <f t="shared" si="5"/>
        <v>0</v>
      </c>
      <c r="AE33" s="1">
        <f t="shared" si="6"/>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7"/>
        <v>0</v>
      </c>
      <c r="BC33" s="1">
        <f t="shared" si="20"/>
        <v>0</v>
      </c>
      <c r="BD33" s="1">
        <f t="shared" si="8"/>
        <v>0</v>
      </c>
      <c r="BE33" s="1">
        <f t="shared" si="9"/>
        <v>0</v>
      </c>
      <c r="BF33" s="1">
        <f t="shared" si="10"/>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1"/>
        <v>0</v>
      </c>
      <c r="CC33" s="1">
        <f t="shared" si="12"/>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3"/>
        <v>26</v>
      </c>
      <c r="B34" s="218" t="str">
        <f t="shared" si="0"/>
        <v>ma</v>
      </c>
      <c r="C34" s="219" t="s">
        <v>158</v>
      </c>
      <c r="D34" s="220">
        <f t="shared" si="1"/>
        <v>26.142857142857142</v>
      </c>
      <c r="E34" s="906"/>
      <c r="F34" s="907"/>
      <c r="G34" s="908"/>
      <c r="H34" s="526"/>
      <c r="I34" s="855"/>
      <c r="J34" s="726"/>
      <c r="K34" s="669">
        <v>6</v>
      </c>
      <c r="L34" s="669"/>
      <c r="M34" s="669"/>
      <c r="N34" s="557">
        <f t="shared" si="14"/>
        <v>6</v>
      </c>
      <c r="O34" s="557">
        <f t="shared" si="15"/>
        <v>0</v>
      </c>
      <c r="P34" s="557">
        <f>IF(Stamoplysninger!$H$29="JA",Juni!DG34,CX34)</f>
        <v>0</v>
      </c>
      <c r="Q34" s="557">
        <f t="shared" si="16"/>
        <v>6</v>
      </c>
      <c r="R34" s="558"/>
      <c r="S34" s="564"/>
      <c r="T34" s="565"/>
      <c r="U34" s="565"/>
      <c r="V34" s="753"/>
      <c r="W34" s="559"/>
      <c r="X34" s="760"/>
      <c r="Y34">
        <f t="shared" si="17"/>
        <v>0</v>
      </c>
      <c r="Z34" s="759">
        <f t="shared" si="18"/>
        <v>0</v>
      </c>
      <c r="AA34" s="1">
        <f t="shared" si="2"/>
        <v>0</v>
      </c>
      <c r="AB34" s="1">
        <f t="shared" si="3"/>
        <v>0</v>
      </c>
      <c r="AC34" s="1">
        <f t="shared" si="4"/>
        <v>6</v>
      </c>
      <c r="AD34" s="1">
        <f t="shared" si="5"/>
        <v>0</v>
      </c>
      <c r="AE34" s="1">
        <f t="shared" si="6"/>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6</v>
      </c>
      <c r="BB34" s="421">
        <f t="shared" si="7"/>
        <v>0</v>
      </c>
      <c r="BC34" s="1">
        <f t="shared" si="20"/>
        <v>0</v>
      </c>
      <c r="BD34" s="1">
        <f t="shared" si="8"/>
        <v>0</v>
      </c>
      <c r="BE34" s="1">
        <f t="shared" si="9"/>
        <v>0</v>
      </c>
      <c r="BF34" s="1">
        <f t="shared" si="10"/>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1"/>
        <v>0</v>
      </c>
      <c r="CC34" s="1">
        <f t="shared" si="12"/>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3"/>
        <v>27</v>
      </c>
      <c r="B35" s="218" t="str">
        <f t="shared" si="0"/>
        <v>ti</v>
      </c>
      <c r="C35" s="219" t="s">
        <v>158</v>
      </c>
      <c r="D35" s="220" t="str">
        <f t="shared" si="1"/>
        <v/>
      </c>
      <c r="E35" s="906"/>
      <c r="F35" s="907"/>
      <c r="G35" s="908"/>
      <c r="H35" s="526"/>
      <c r="I35" s="855"/>
      <c r="J35" s="726"/>
      <c r="K35" s="669">
        <v>6</v>
      </c>
      <c r="L35" s="669"/>
      <c r="M35" s="669"/>
      <c r="N35" s="557">
        <f t="shared" si="14"/>
        <v>6</v>
      </c>
      <c r="O35" s="557">
        <f t="shared" si="15"/>
        <v>0</v>
      </c>
      <c r="P35" s="557">
        <f>IF(Stamoplysninger!$H$29="JA",Juni!DG35,CX35)</f>
        <v>0</v>
      </c>
      <c r="Q35" s="557">
        <f t="shared" si="16"/>
        <v>6</v>
      </c>
      <c r="R35" s="558"/>
      <c r="S35" s="564"/>
      <c r="T35" s="565"/>
      <c r="U35" s="565"/>
      <c r="V35" s="753"/>
      <c r="W35" s="559"/>
      <c r="X35" s="760"/>
      <c r="Y35">
        <f t="shared" si="17"/>
        <v>0</v>
      </c>
      <c r="Z35" s="759">
        <f t="shared" si="18"/>
        <v>0</v>
      </c>
      <c r="AA35" s="1">
        <f t="shared" si="2"/>
        <v>0</v>
      </c>
      <c r="AB35" s="1">
        <f t="shared" si="3"/>
        <v>0</v>
      </c>
      <c r="AC35" s="1">
        <f t="shared" si="4"/>
        <v>6</v>
      </c>
      <c r="AD35" s="1">
        <f t="shared" si="5"/>
        <v>0</v>
      </c>
      <c r="AE35" s="1">
        <f t="shared" si="6"/>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6</v>
      </c>
      <c r="BB35" s="421">
        <f t="shared" si="7"/>
        <v>0</v>
      </c>
      <c r="BC35" s="1">
        <f t="shared" si="20"/>
        <v>0</v>
      </c>
      <c r="BD35" s="1">
        <f t="shared" si="8"/>
        <v>0</v>
      </c>
      <c r="BE35" s="1">
        <f t="shared" si="9"/>
        <v>0</v>
      </c>
      <c r="BF35" s="1">
        <f t="shared" si="10"/>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0</v>
      </c>
      <c r="CB35" s="1">
        <f t="shared" si="11"/>
        <v>0</v>
      </c>
      <c r="CC35" s="1">
        <f t="shared" si="12"/>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0</v>
      </c>
    </row>
    <row r="36" spans="1:111">
      <c r="A36" s="443">
        <f t="shared" si="13"/>
        <v>28</v>
      </c>
      <c r="B36" s="218" t="str">
        <f t="shared" si="0"/>
        <v>on</v>
      </c>
      <c r="C36" s="219" t="s">
        <v>158</v>
      </c>
      <c r="D36" s="220" t="str">
        <f t="shared" si="1"/>
        <v/>
      </c>
      <c r="E36" s="906"/>
      <c r="F36" s="907"/>
      <c r="G36" s="908"/>
      <c r="H36" s="526"/>
      <c r="I36" s="855"/>
      <c r="J36" s="726"/>
      <c r="K36" s="669">
        <v>6</v>
      </c>
      <c r="L36" s="669"/>
      <c r="M36" s="669"/>
      <c r="N36" s="557">
        <f t="shared" si="14"/>
        <v>6</v>
      </c>
      <c r="O36" s="557">
        <f t="shared" si="15"/>
        <v>0</v>
      </c>
      <c r="P36" s="557">
        <f>IF(Stamoplysninger!$H$29="JA",Juni!DG36,CX36)</f>
        <v>0</v>
      </c>
      <c r="Q36" s="557">
        <f t="shared" si="16"/>
        <v>6</v>
      </c>
      <c r="R36" s="558"/>
      <c r="S36" s="564"/>
      <c r="T36" s="565"/>
      <c r="U36" s="565"/>
      <c r="V36" s="753"/>
      <c r="W36" s="559"/>
      <c r="X36" s="760"/>
      <c r="Y36">
        <f t="shared" si="17"/>
        <v>0</v>
      </c>
      <c r="Z36" s="759">
        <f t="shared" si="18"/>
        <v>0</v>
      </c>
      <c r="AA36" s="1">
        <f t="shared" si="2"/>
        <v>0</v>
      </c>
      <c r="AB36" s="1">
        <f t="shared" si="3"/>
        <v>0</v>
      </c>
      <c r="AC36" s="1">
        <f t="shared" si="4"/>
        <v>6</v>
      </c>
      <c r="AD36" s="1">
        <f t="shared" si="5"/>
        <v>0</v>
      </c>
      <c r="AE36" s="1">
        <f t="shared" si="6"/>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6</v>
      </c>
      <c r="BB36" s="421">
        <f t="shared" si="7"/>
        <v>0</v>
      </c>
      <c r="BC36" s="1">
        <f t="shared" si="20"/>
        <v>0</v>
      </c>
      <c r="BD36" s="1">
        <f t="shared" si="8"/>
        <v>0</v>
      </c>
      <c r="BE36" s="1">
        <f t="shared" si="9"/>
        <v>0</v>
      </c>
      <c r="BF36" s="1">
        <f t="shared" si="10"/>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1"/>
        <v>0</v>
      </c>
      <c r="CC36" s="1">
        <f t="shared" si="12"/>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row>
    <row r="37" spans="1:111">
      <c r="A37" s="443">
        <f>IF(ISNUMBER(A36),A36+1,1)</f>
        <v>29</v>
      </c>
      <c r="B37" s="218" t="str">
        <f t="shared" si="0"/>
        <v>to</v>
      </c>
      <c r="C37" s="219" t="s">
        <v>147</v>
      </c>
      <c r="D37" s="220" t="str">
        <f t="shared" si="1"/>
        <v/>
      </c>
      <c r="E37" s="906"/>
      <c r="F37" s="907"/>
      <c r="G37" s="908"/>
      <c r="H37" s="526"/>
      <c r="I37" s="855"/>
      <c r="J37" s="726"/>
      <c r="K37" s="669"/>
      <c r="L37" s="669"/>
      <c r="M37" s="669"/>
      <c r="N37" s="557">
        <f t="shared" si="14"/>
        <v>0</v>
      </c>
      <c r="O37" s="557">
        <f t="shared" si="15"/>
        <v>0</v>
      </c>
      <c r="P37" s="557">
        <f>IF(Stamoplysninger!$H$29="JA",Juni!DG37,CX37)</f>
        <v>0</v>
      </c>
      <c r="Q37" s="557">
        <f t="shared" si="16"/>
        <v>0</v>
      </c>
      <c r="R37" s="558"/>
      <c r="S37" s="564"/>
      <c r="T37" s="565"/>
      <c r="U37" s="565"/>
      <c r="V37" s="753"/>
      <c r="W37" s="559"/>
      <c r="X37" s="760"/>
      <c r="Y37">
        <f t="shared" si="17"/>
        <v>0</v>
      </c>
      <c r="Z37" s="759">
        <f t="shared" si="18"/>
        <v>0</v>
      </c>
      <c r="AA37" s="1">
        <f t="shared" si="2"/>
        <v>0</v>
      </c>
      <c r="AB37" s="1">
        <f t="shared" si="3"/>
        <v>0</v>
      </c>
      <c r="AC37" s="1">
        <f t="shared" si="4"/>
        <v>0</v>
      </c>
      <c r="AD37" s="1">
        <f t="shared" si="5"/>
        <v>0</v>
      </c>
      <c r="AE37" s="1">
        <f t="shared" si="6"/>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7"/>
        <v>0</v>
      </c>
      <c r="BC37" s="1">
        <f t="shared" si="20"/>
        <v>0</v>
      </c>
      <c r="BD37" s="1">
        <f t="shared" si="8"/>
        <v>0</v>
      </c>
      <c r="BE37" s="1">
        <f t="shared" si="9"/>
        <v>0</v>
      </c>
      <c r="BF37" s="1">
        <f t="shared" si="10"/>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1"/>
        <v>0</v>
      </c>
      <c r="CC37" s="1">
        <f t="shared" si="12"/>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3"/>
        <v>30</v>
      </c>
      <c r="B38" s="218" t="str">
        <f t="shared" si="0"/>
        <v>fr</v>
      </c>
      <c r="C38" s="219" t="s">
        <v>147</v>
      </c>
      <c r="D38" s="220" t="str">
        <f t="shared" si="1"/>
        <v/>
      </c>
      <c r="E38" s="906"/>
      <c r="F38" s="907"/>
      <c r="G38" s="908"/>
      <c r="H38" s="526"/>
      <c r="I38" s="855"/>
      <c r="J38" s="726"/>
      <c r="K38" s="669"/>
      <c r="L38" s="669"/>
      <c r="M38" s="669"/>
      <c r="N38" s="557">
        <f t="shared" si="14"/>
        <v>0</v>
      </c>
      <c r="O38" s="557">
        <f t="shared" si="15"/>
        <v>0</v>
      </c>
      <c r="P38" s="557">
        <f>IF(Stamoplysninger!$H$29="JA",Juni!DG38,CX38)</f>
        <v>0</v>
      </c>
      <c r="Q38" s="557">
        <f t="shared" si="16"/>
        <v>0</v>
      </c>
      <c r="R38" s="558"/>
      <c r="S38" s="564"/>
      <c r="T38" s="565"/>
      <c r="U38" s="565"/>
      <c r="V38" s="753"/>
      <c r="W38" s="559"/>
      <c r="X38" s="760"/>
      <c r="Y38">
        <f t="shared" si="17"/>
        <v>0</v>
      </c>
      <c r="Z38" s="759">
        <f t="shared" si="18"/>
        <v>0</v>
      </c>
      <c r="AA38" s="1">
        <f t="shared" si="2"/>
        <v>0</v>
      </c>
      <c r="AB38" s="1">
        <f t="shared" si="3"/>
        <v>0</v>
      </c>
      <c r="AC38" s="1">
        <f t="shared" si="4"/>
        <v>0</v>
      </c>
      <c r="AD38" s="1">
        <f t="shared" si="5"/>
        <v>0</v>
      </c>
      <c r="AE38" s="1">
        <f t="shared" si="6"/>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0</v>
      </c>
      <c r="BB38" s="421">
        <f t="shared" si="7"/>
        <v>0</v>
      </c>
      <c r="BC38" s="1">
        <f t="shared" si="20"/>
        <v>0</v>
      </c>
      <c r="BD38" s="1">
        <f t="shared" si="8"/>
        <v>0</v>
      </c>
      <c r="BE38" s="1">
        <f t="shared" si="9"/>
        <v>0</v>
      </c>
      <c r="BF38" s="1">
        <f t="shared" si="10"/>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0</v>
      </c>
      <c r="CB38" s="1">
        <f t="shared" si="11"/>
        <v>0</v>
      </c>
      <c r="CC38" s="1">
        <f t="shared" si="12"/>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v>
      </c>
      <c r="CY38" s="457">
        <f>IF(C38="Skema 1",Stamoplysninger!$H$30/200,0)</f>
        <v>0</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0</v>
      </c>
    </row>
    <row r="39" spans="1:111" ht="17" thickBot="1">
      <c r="A39" s="1101" t="s">
        <v>308</v>
      </c>
      <c r="B39" s="1102"/>
      <c r="C39" s="1102"/>
      <c r="D39" s="1102"/>
      <c r="E39" s="1102"/>
      <c r="F39" s="1102"/>
      <c r="G39" s="1102"/>
      <c r="H39" s="1102"/>
      <c r="I39" s="1103"/>
      <c r="J39" s="552"/>
      <c r="K39" s="561"/>
      <c r="L39" s="561"/>
      <c r="M39" s="561"/>
      <c r="N39" s="562">
        <f t="shared" ref="N39:Q39" si="23">SUM(N9:N38)</f>
        <v>162.32999999999998</v>
      </c>
      <c r="O39" s="562">
        <f t="shared" si="23"/>
        <v>57</v>
      </c>
      <c r="P39" s="562">
        <f t="shared" si="23"/>
        <v>9.6666666666666679</v>
      </c>
      <c r="Q39" s="562">
        <f t="shared" si="23"/>
        <v>60.333333333333336</v>
      </c>
      <c r="R39"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3</v>
      </c>
      <c r="S39" s="750"/>
      <c r="T39" s="751"/>
      <c r="U39" s="751"/>
      <c r="V39"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751">
        <f t="shared" ref="W39" si="24">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384">
        <f>SUM(Y9:Y38)</f>
        <v>0</v>
      </c>
      <c r="Z39" s="706">
        <f>Z9+Z10+Z11+Z12+Z13+Z14+Z15+Z16+Z17+Z18+Z19+Z20+Z21+Z22+Z23+Z24+Z25+Z26+Z27+Z28+Z29+Z30+Z31+Z32+Z33+Z34+Z35+Z36+Z37+Z38</f>
        <v>0</v>
      </c>
      <c r="AA39" s="431">
        <f t="shared" ref="AA39:AF39" si="25">SUM(AA9:AA38)</f>
        <v>5</v>
      </c>
      <c r="AB39" s="431">
        <f t="shared" si="25"/>
        <v>0</v>
      </c>
      <c r="AC39" s="431">
        <f t="shared" si="25"/>
        <v>18</v>
      </c>
      <c r="AD39" s="431">
        <f t="shared" si="25"/>
        <v>0</v>
      </c>
      <c r="AE39" s="431">
        <f t="shared" si="25"/>
        <v>46.33</v>
      </c>
      <c r="AF39" s="585">
        <f t="shared" si="25"/>
        <v>0</v>
      </c>
      <c r="AQ39" s="383"/>
      <c r="AR39" s="383"/>
      <c r="AS39" s="383"/>
      <c r="AT39" s="383"/>
      <c r="AU39" s="383"/>
      <c r="AV39" s="383"/>
      <c r="AW39" s="383"/>
      <c r="AX39" s="383"/>
      <c r="AY39" s="383"/>
      <c r="AZ39" s="383"/>
      <c r="BA39" s="1">
        <f>SUM(BA9:BA38)</f>
        <v>162.32999999999998</v>
      </c>
      <c r="BB39" s="180"/>
      <c r="BC39" s="431">
        <f>SUM(BC9:BC38)</f>
        <v>11</v>
      </c>
      <c r="BD39" s="431">
        <f>SUM(BD9:BD38)</f>
        <v>0</v>
      </c>
      <c r="BE39" s="431">
        <f>SUM(BE9:BE38)</f>
        <v>0</v>
      </c>
      <c r="BF39" s="431">
        <f>SUM(BF9:BF38)</f>
        <v>2.5</v>
      </c>
      <c r="BQ39" s="383"/>
      <c r="BR39" s="383"/>
      <c r="BS39" s="383"/>
      <c r="BT39" s="383"/>
      <c r="BU39" s="383"/>
      <c r="BV39" s="383"/>
      <c r="BW39" s="383"/>
      <c r="BX39" s="383"/>
      <c r="BY39" s="383"/>
      <c r="BZ39" s="383"/>
      <c r="CA39" s="431">
        <f>SUM(CA9:CA38)</f>
        <v>57</v>
      </c>
      <c r="CB39" s="431">
        <f>SUM(CB9:CB38)</f>
        <v>0</v>
      </c>
      <c r="CC39" s="431">
        <f>SUM(CC9:CC38)</f>
        <v>0.75</v>
      </c>
      <c r="CN39" s="383"/>
      <c r="CO39" s="383"/>
      <c r="CP39" s="383"/>
      <c r="CQ39" s="383"/>
      <c r="CR39" s="383"/>
      <c r="CS39" s="383"/>
      <c r="CT39" s="383"/>
      <c r="CU39" s="383"/>
      <c r="CV39" s="383"/>
      <c r="CW39" s="383"/>
      <c r="CX39" s="457"/>
      <c r="CY39" s="457">
        <f t="shared" ref="CY39:DG39" si="26">SUM(CY9:CY38)</f>
        <v>0</v>
      </c>
      <c r="CZ39" s="457">
        <f t="shared" si="26"/>
        <v>12</v>
      </c>
      <c r="DA39" s="457">
        <f t="shared" si="26"/>
        <v>0</v>
      </c>
      <c r="DB39" s="457">
        <f t="shared" si="26"/>
        <v>0</v>
      </c>
      <c r="DC39" s="457">
        <f t="shared" si="26"/>
        <v>0</v>
      </c>
      <c r="DD39" s="457">
        <f t="shared" si="26"/>
        <v>1</v>
      </c>
      <c r="DE39" s="457">
        <f t="shared" si="26"/>
        <v>3</v>
      </c>
      <c r="DF39" s="457">
        <f t="shared" si="26"/>
        <v>0</v>
      </c>
      <c r="DG39" s="457">
        <f t="shared" si="26"/>
        <v>16</v>
      </c>
    </row>
    <row r="40" spans="1:111" s="435" customFormat="1" ht="17" thickBot="1">
      <c r="A40" s="444"/>
      <c r="B40" s="444"/>
      <c r="C40" s="444"/>
      <c r="D40" s="444"/>
      <c r="E40" s="444"/>
      <c r="F40" s="444"/>
      <c r="G40" s="444"/>
      <c r="H40" s="444"/>
      <c r="I40" s="444"/>
      <c r="J40" s="444"/>
      <c r="K40" s="437"/>
      <c r="L40" s="437"/>
      <c r="M40" s="437"/>
      <c r="N40" s="437"/>
      <c r="O40" s="437"/>
      <c r="P40" s="437"/>
      <c r="Q40" s="437"/>
      <c r="R40" s="437"/>
      <c r="S40" s="437"/>
      <c r="T40" s="437"/>
      <c r="U40" s="437"/>
      <c r="V40" s="437"/>
      <c r="W40" s="437"/>
      <c r="X40" s="437"/>
      <c r="Y40" s="454"/>
      <c r="Z40" s="445"/>
      <c r="AA40" s="446"/>
      <c r="AB40" s="445"/>
      <c r="AC40" s="445"/>
      <c r="AD40" s="446"/>
      <c r="AE40" s="446"/>
      <c r="AF40" s="446"/>
      <c r="AG40" s="446"/>
      <c r="AR40" s="447"/>
      <c r="AS40" s="447"/>
      <c r="AT40" s="447"/>
      <c r="AU40" s="447"/>
      <c r="AV40" s="447"/>
      <c r="AW40" s="447"/>
      <c r="AX40" s="447"/>
      <c r="AY40" s="447"/>
      <c r="AZ40" s="447"/>
      <c r="BA40" s="447"/>
      <c r="BB40" s="447"/>
      <c r="BC40" s="446"/>
      <c r="BD40" s="446"/>
      <c r="BE40" s="446"/>
      <c r="BF40" s="446"/>
      <c r="BG40" s="448"/>
      <c r="BR40" s="447"/>
      <c r="BS40" s="447"/>
      <c r="BT40" s="447"/>
      <c r="BU40" s="447"/>
      <c r="BV40" s="447"/>
      <c r="BW40" s="447"/>
      <c r="BX40" s="447"/>
      <c r="BY40" s="447"/>
      <c r="BZ40" s="447"/>
      <c r="CA40" s="447"/>
      <c r="CB40" s="446"/>
      <c r="CC40" s="446"/>
      <c r="CD40" s="448"/>
      <c r="CO40" s="447"/>
      <c r="CP40" s="447"/>
      <c r="CQ40" s="447"/>
      <c r="CR40" s="447"/>
      <c r="CS40" s="447"/>
      <c r="CT40" s="447"/>
      <c r="CU40" s="447"/>
      <c r="CV40" s="447"/>
      <c r="CW40" s="447"/>
      <c r="CX40" s="458"/>
      <c r="CY40" s="458"/>
    </row>
    <row r="41" spans="1:111" ht="70" customHeight="1">
      <c r="A41" s="1138" t="str">
        <f>"Arbejdstid for "&amp;A7&amp;" måned:"</f>
        <v>Arbejdstid for Juni måned:</v>
      </c>
      <c r="B41" s="1139"/>
      <c r="C41" s="1139"/>
      <c r="D41" s="1139"/>
      <c r="E41" s="1139"/>
      <c r="F41" s="1139"/>
      <c r="G41" s="1139"/>
      <c r="H41" s="571" t="s">
        <v>303</v>
      </c>
      <c r="I41" s="1139" t="s">
        <v>264</v>
      </c>
      <c r="J41" s="1140"/>
      <c r="K41" s="1141"/>
      <c r="L41" s="472"/>
      <c r="M41" s="1164" t="str">
        <f>"Ulempetimer og weekendtimer i "&amp;A5&amp;""</f>
        <v>Ulempetimer og weekendtimer i Juni måneds kalender for: Beate Simonsen. Måneden vedr. normperioden: 01.08.2022 - 31.07.2023.</v>
      </c>
      <c r="N41" s="1165"/>
      <c r="O41" s="1165"/>
      <c r="P41" s="1165"/>
      <c r="Q41" s="1165"/>
      <c r="R41" s="1165"/>
      <c r="S41" s="1165"/>
      <c r="T41" s="1165"/>
      <c r="U41" s="1165"/>
      <c r="V41" s="1165"/>
      <c r="W41" s="1165"/>
      <c r="X41" s="1166"/>
      <c r="Y41" s="437"/>
      <c r="Z41" s="437"/>
      <c r="AD41" s="124"/>
      <c r="AE41" s="124"/>
      <c r="AZ41" s="436"/>
      <c r="BM41" s="1"/>
      <c r="CJ41" s="1"/>
      <c r="CU41" s="455"/>
      <c r="CV41" s="455"/>
      <c r="CY41"/>
      <c r="CZ41"/>
    </row>
    <row r="42" spans="1:111">
      <c r="A42" s="1105" t="s">
        <v>302</v>
      </c>
      <c r="B42" s="1106"/>
      <c r="C42" s="1106"/>
      <c r="D42" s="1106"/>
      <c r="E42" s="1106"/>
      <c r="F42" s="1106"/>
      <c r="G42" s="1106"/>
      <c r="H42" s="466">
        <f>D66</f>
        <v>22</v>
      </c>
      <c r="I42" s="1107">
        <f>IF(Stamoplysninger!$E$12="Ja",1924/Arbejdstidsoversigt!$K$9*Stamoplysninger!$E$15*H42,H42*7.4*Stamoplysninger!$E$13)</f>
        <v>162.17624521072798</v>
      </c>
      <c r="J42" s="1108"/>
      <c r="K42" s="1109"/>
      <c r="L42" s="468"/>
      <c r="M42" s="1167" t="s">
        <v>368</v>
      </c>
      <c r="N42" s="1168"/>
      <c r="O42" s="1168"/>
      <c r="P42" s="1168"/>
      <c r="Q42" s="1168"/>
      <c r="R42" s="1168"/>
      <c r="S42" s="1168"/>
      <c r="T42" s="1168"/>
      <c r="U42" s="1168"/>
      <c r="V42" s="1169">
        <f>M61+S60+T60+M64+M68+M62+N61+N68</f>
        <v>0.75</v>
      </c>
      <c r="W42" s="1169"/>
      <c r="X42" s="1170"/>
      <c r="Y42" s="437"/>
      <c r="Z42" s="437"/>
      <c r="AD42" s="124"/>
      <c r="AE42" s="124"/>
      <c r="AZ42" s="436"/>
      <c r="BM42" s="1"/>
      <c r="CJ42" s="1"/>
      <c r="CU42" s="455"/>
      <c r="CV42" s="455"/>
      <c r="CY42"/>
      <c r="CZ42"/>
    </row>
    <row r="43" spans="1:111">
      <c r="A43" s="1105" t="str">
        <f>"Ferie "&amp;A7&amp;" måned"</f>
        <v>Ferie Juni måned</v>
      </c>
      <c r="B43" s="1106"/>
      <c r="C43" s="1106"/>
      <c r="D43" s="1106"/>
      <c r="E43" s="1106"/>
      <c r="F43" s="1106"/>
      <c r="G43" s="1106"/>
      <c r="H43" s="467" t="str">
        <f>IF(D61&gt;0,$D$61,"0")</f>
        <v>0</v>
      </c>
      <c r="I43" s="1110">
        <f>H43*7.4*Stamoplysninger!$E$15</f>
        <v>0</v>
      </c>
      <c r="J43" s="1111"/>
      <c r="K43" s="1112"/>
      <c r="L43" s="468"/>
      <c r="M43" s="1171" t="s">
        <v>307</v>
      </c>
      <c r="N43" s="1172"/>
      <c r="O43" s="1172"/>
      <c r="P43" s="1172"/>
      <c r="Q43" s="1172"/>
      <c r="R43" s="1172"/>
      <c r="S43" s="1172"/>
      <c r="T43" s="1172"/>
      <c r="U43" s="1172"/>
      <c r="V43" s="1173">
        <f>M60+S59+T59+M63+M67+M59+N59+N67</f>
        <v>0</v>
      </c>
      <c r="W43" s="1173"/>
      <c r="X43" s="1174"/>
      <c r="Y43" s="437"/>
      <c r="Z43" s="437"/>
      <c r="AD43" s="124"/>
      <c r="AE43" s="124"/>
      <c r="AZ43" s="436"/>
      <c r="BM43" s="1"/>
      <c r="CJ43" s="1"/>
      <c r="CU43" s="455"/>
      <c r="CV43" s="455"/>
      <c r="CY43"/>
      <c r="CZ43"/>
    </row>
    <row r="44" spans="1:111">
      <c r="A44" s="1105" t="str">
        <f>"Søgnehelligdage i "&amp;A7&amp;" måned"</f>
        <v>Søgnehelligdage i Juni måned</v>
      </c>
      <c r="B44" s="1106"/>
      <c r="C44" s="1106"/>
      <c r="D44" s="1106"/>
      <c r="E44" s="1106"/>
      <c r="F44" s="1106"/>
      <c r="G44" s="1106"/>
      <c r="H44" s="467">
        <f>IF(D60&gt;0,D60,0)</f>
        <v>0</v>
      </c>
      <c r="I44" s="1110">
        <f>H44*7.4*Stamoplysninger!$E$15</f>
        <v>0</v>
      </c>
      <c r="J44" s="1111"/>
      <c r="K44" s="1112"/>
      <c r="L44" s="469"/>
      <c r="M44" s="1175" t="s">
        <v>347</v>
      </c>
      <c r="N44" s="1176"/>
      <c r="O44" s="1176"/>
      <c r="P44" s="1176"/>
      <c r="Q44" s="1176"/>
      <c r="R44" s="1176"/>
      <c r="S44" s="1176"/>
      <c r="T44" s="1176"/>
      <c r="U44" s="1176"/>
      <c r="V44" s="1186">
        <f>Maj!V55</f>
        <v>9</v>
      </c>
      <c r="W44" s="1186"/>
      <c r="X44" s="1187"/>
      <c r="Y44" s="437"/>
      <c r="Z44" s="437"/>
      <c r="AD44" s="124"/>
      <c r="AE44" s="124"/>
      <c r="AZ44" s="436"/>
      <c r="BM44" s="1"/>
      <c r="CJ44" s="1"/>
      <c r="CU44" s="455"/>
      <c r="CV44" s="455"/>
      <c r="CY44"/>
      <c r="CZ44"/>
    </row>
    <row r="45" spans="1:111">
      <c r="A45" s="1105" t="str">
        <f>"Nettoarbejdstid ialt i "&amp;A7&amp;" måned"</f>
        <v>Nettoarbejdstid ialt i Juni måned</v>
      </c>
      <c r="B45" s="1106"/>
      <c r="C45" s="1106"/>
      <c r="D45" s="1106"/>
      <c r="E45" s="1106"/>
      <c r="F45" s="1106"/>
      <c r="G45" s="1106"/>
      <c r="H45" s="470">
        <f>H42-H43-H44</f>
        <v>22</v>
      </c>
      <c r="I45" s="1110">
        <f>I42-I43-I44</f>
        <v>162.17624521072798</v>
      </c>
      <c r="J45" s="1111"/>
      <c r="K45" s="1112"/>
      <c r="L45" s="678"/>
      <c r="M45" s="1134" t="s">
        <v>354</v>
      </c>
      <c r="N45" s="1135"/>
      <c r="O45" s="1135"/>
      <c r="P45" s="1135"/>
      <c r="Q45" s="1135"/>
      <c r="R45" s="1135"/>
      <c r="S45" s="1135"/>
      <c r="T45" s="1135"/>
      <c r="U45" s="1135"/>
      <c r="V45" s="1136">
        <f>V43+V44</f>
        <v>9</v>
      </c>
      <c r="W45" s="1136"/>
      <c r="X45" s="1137"/>
      <c r="Y45" s="437"/>
      <c r="Z45" s="437"/>
      <c r="AD45" s="124"/>
      <c r="AE45" s="124"/>
      <c r="AZ45" s="436"/>
      <c r="BM45" s="1"/>
      <c r="CJ45" s="1"/>
      <c r="CU45" s="455"/>
      <c r="CV45" s="455"/>
      <c r="CY45"/>
      <c r="CZ45"/>
    </row>
    <row r="46" spans="1:111">
      <c r="A46" s="1113" t="str">
        <f>"Planlagt arbejdstid efter ovennstående "&amp;A7&amp;" måned kalender"</f>
        <v>Planlagt arbejdstid efter ovennstående Juni måned kalender</v>
      </c>
      <c r="B46" s="1114"/>
      <c r="C46" s="1114"/>
      <c r="D46" s="1114"/>
      <c r="E46" s="1114"/>
      <c r="F46" s="1114"/>
      <c r="G46" s="1114"/>
      <c r="H46" s="866">
        <f>D52+D53+D54+D55+D56+D57+D58</f>
        <v>19</v>
      </c>
      <c r="I46" s="1115">
        <f>N39+R39-J55</f>
        <v>165.32999999999998</v>
      </c>
      <c r="J46" s="1116"/>
      <c r="K46" s="1117"/>
      <c r="L46" s="678"/>
      <c r="M46" s="1157" t="s">
        <v>345</v>
      </c>
      <c r="N46" s="1158"/>
      <c r="O46" s="1158"/>
      <c r="P46" s="1158"/>
      <c r="Q46" s="1158"/>
      <c r="R46" s="1158"/>
      <c r="S46" s="1158"/>
      <c r="T46" s="1158"/>
      <c r="U46" s="1158"/>
      <c r="V46" s="1158"/>
      <c r="W46" s="1158"/>
      <c r="X46" s="1159"/>
      <c r="Y46" s="437"/>
      <c r="Z46" s="437"/>
      <c r="AD46" s="124"/>
      <c r="AE46" s="124"/>
      <c r="AZ46" s="436"/>
      <c r="BM46" s="1"/>
      <c r="CJ46" s="1"/>
      <c r="CU46" s="455"/>
      <c r="CV46" s="455"/>
      <c r="CY46"/>
      <c r="CZ46"/>
    </row>
    <row r="47" spans="1:111">
      <c r="A47" s="1121" t="s">
        <v>574</v>
      </c>
      <c r="B47" s="1122"/>
      <c r="C47" s="1122"/>
      <c r="D47" s="1122"/>
      <c r="E47" s="1122"/>
      <c r="F47" s="1122"/>
      <c r="G47" s="1122"/>
      <c r="H47" s="1123"/>
      <c r="I47" s="1118">
        <f>(M59+M61+M69+M71+M65+M66+M70)*-1</f>
        <v>0</v>
      </c>
      <c r="J47" s="1119"/>
      <c r="K47" s="1120"/>
      <c r="L47" s="679"/>
      <c r="M47" s="1160" t="s">
        <v>633</v>
      </c>
      <c r="N47" s="1161"/>
      <c r="O47" s="1161"/>
      <c r="P47" s="1161"/>
      <c r="Q47" s="1161"/>
      <c r="R47" s="1161"/>
      <c r="S47" s="1161"/>
      <c r="T47" s="1161"/>
      <c r="U47" s="1161"/>
      <c r="V47" s="1162" t="s">
        <v>264</v>
      </c>
      <c r="W47" s="1162"/>
      <c r="X47" s="1163"/>
      <c r="Y47" s="437"/>
      <c r="Z47" s="437"/>
      <c r="AD47" s="124"/>
      <c r="AE47" s="124"/>
      <c r="AZ47" s="436"/>
      <c r="BM47" s="1"/>
      <c r="CJ47" s="1"/>
      <c r="CU47" s="455"/>
      <c r="CV47" s="455"/>
      <c r="CY47"/>
      <c r="CZ47"/>
    </row>
    <row r="48" spans="1:111">
      <c r="A48" s="1126" t="str">
        <f>"Arbejde særligt planlagt for "&amp;A7&amp;" måned efter fanen skemaoplysninger"</f>
        <v>Arbejde særligt planlagt for Juni måned efter fanen skemaoplysninger</v>
      </c>
      <c r="B48" s="1127"/>
      <c r="C48" s="1127"/>
      <c r="D48" s="1127"/>
      <c r="E48" s="1127"/>
      <c r="F48" s="1127"/>
      <c r="G48" s="1127"/>
      <c r="H48" s="1128"/>
      <c r="I48" s="1116">
        <f>Skemaoplysninger!U67</f>
        <v>0</v>
      </c>
      <c r="J48" s="1124"/>
      <c r="K48" s="1125"/>
      <c r="L48" s="680"/>
      <c r="M48" s="1147"/>
      <c r="N48" s="1148"/>
      <c r="O48" s="1148"/>
      <c r="P48" s="1148"/>
      <c r="Q48" s="1148"/>
      <c r="R48" s="1148"/>
      <c r="S48" s="1148"/>
      <c r="T48" s="1148"/>
      <c r="U48" s="1148"/>
      <c r="V48" s="1149"/>
      <c r="W48" s="1149"/>
      <c r="X48" s="1150"/>
      <c r="Y48"/>
      <c r="Z48" s="437"/>
      <c r="AA48" s="437"/>
      <c r="AB48" s="436"/>
      <c r="AD48" s="436"/>
      <c r="AG48" s="124"/>
      <c r="AH48" s="124"/>
      <c r="BA48" s="437"/>
      <c r="BB48" s="436"/>
      <c r="BO48" s="1"/>
      <c r="CL48" s="1"/>
      <c r="CV48" s="455"/>
      <c r="CW48" s="455"/>
      <c r="CY48"/>
      <c r="CZ48"/>
    </row>
    <row r="49" spans="1:109">
      <c r="A49" s="1142" t="s">
        <v>342</v>
      </c>
      <c r="B49" s="1143"/>
      <c r="C49" s="1143"/>
      <c r="D49" s="1143"/>
      <c r="E49" s="1143"/>
      <c r="F49" s="1143"/>
      <c r="G49" s="1143"/>
      <c r="H49" s="1143"/>
      <c r="I49" s="1194">
        <f>V39+X39-N56</f>
        <v>0</v>
      </c>
      <c r="J49" s="1118"/>
      <c r="K49" s="1195"/>
      <c r="L49" s="439"/>
      <c r="M49" s="1147"/>
      <c r="N49" s="1148"/>
      <c r="O49" s="1148"/>
      <c r="P49" s="1148"/>
      <c r="Q49" s="1148"/>
      <c r="R49" s="1148"/>
      <c r="S49" s="1148"/>
      <c r="T49" s="1148"/>
      <c r="U49" s="1148"/>
      <c r="V49" s="1149"/>
      <c r="W49" s="1149"/>
      <c r="X49" s="1150"/>
      <c r="Y49"/>
      <c r="Z49" s="437"/>
      <c r="AA49" s="437"/>
      <c r="AE49" s="124"/>
      <c r="AG49" s="124"/>
      <c r="BA49" s="436"/>
      <c r="BN49" s="1"/>
      <c r="CK49" s="1"/>
      <c r="CV49" s="455"/>
      <c r="CW49" s="455"/>
      <c r="CY49"/>
      <c r="CZ49"/>
    </row>
    <row r="50" spans="1:109" ht="17" thickBot="1">
      <c r="A50" s="471" t="str">
        <f>"Faktisk arbejdstid ialt i "&amp;A7&amp;" måned"</f>
        <v>Faktisk arbejdstid ialt i Juni måned</v>
      </c>
      <c r="B50" s="553"/>
      <c r="C50" s="554"/>
      <c r="D50" s="554"/>
      <c r="E50" s="554"/>
      <c r="F50" s="554"/>
      <c r="G50" s="554"/>
      <c r="H50" s="555"/>
      <c r="I50" s="1129">
        <f>I46+I49+I48+I47</f>
        <v>165.32999999999998</v>
      </c>
      <c r="J50" s="1130"/>
      <c r="K50" s="1131"/>
      <c r="L50" s="439"/>
      <c r="M50" s="1147"/>
      <c r="N50" s="1148"/>
      <c r="O50" s="1148"/>
      <c r="P50" s="1148"/>
      <c r="Q50" s="1148"/>
      <c r="R50" s="1148"/>
      <c r="S50" s="1148"/>
      <c r="T50" s="1148"/>
      <c r="U50" s="1148"/>
      <c r="V50" s="1149"/>
      <c r="W50" s="1149"/>
      <c r="X50" s="1150"/>
      <c r="Y50" s="437"/>
      <c r="Z50" s="437"/>
      <c r="AA50" s="387"/>
      <c r="AB50" s="454"/>
      <c r="AC50" s="454"/>
      <c r="AD50" s="454"/>
      <c r="AE50" s="437"/>
      <c r="AF50" s="454"/>
      <c r="AH50" s="437"/>
      <c r="AI50" s="437"/>
      <c r="AM50" s="124"/>
      <c r="AN50" s="124"/>
      <c r="BH50" s="436"/>
      <c r="BU50" s="1"/>
      <c r="CR50" s="1"/>
      <c r="CY50"/>
      <c r="CZ50"/>
      <c r="DC50" s="455"/>
      <c r="DD50" s="455"/>
    </row>
    <row r="51" spans="1:109">
      <c r="A51" s="761"/>
      <c r="B51" s="761"/>
      <c r="C51" s="761"/>
      <c r="D51" s="761"/>
      <c r="E51" s="761"/>
      <c r="F51" s="761"/>
      <c r="G51" s="761"/>
      <c r="H51" s="780"/>
      <c r="I51" s="459"/>
      <c r="J51" s="459"/>
      <c r="K51" s="473" t="s">
        <v>343</v>
      </c>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683" t="s">
        <v>241</v>
      </c>
      <c r="B52" s="689"/>
      <c r="C52" s="689"/>
      <c r="D52" s="683">
        <f>COUNTIF([0]!Juni,"Skema 1")</f>
        <v>0</v>
      </c>
      <c r="E52" s="690"/>
      <c r="F52" s="576" t="s">
        <v>221</v>
      </c>
      <c r="G52" s="576">
        <f>COUNTIFS($B$9:$B$38,"ma",[0]!Juni,"Skema 1")</f>
        <v>0</v>
      </c>
      <c r="H52" s="576"/>
      <c r="I52" s="576"/>
      <c r="J52" s="579"/>
      <c r="K52" s="581"/>
      <c r="L52" s="581"/>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1188" t="s">
        <v>242</v>
      </c>
      <c r="B53" s="1188"/>
      <c r="C53" s="1188"/>
      <c r="D53" s="683">
        <f>COUNTIF([0]!Juni,"Skema 2")</f>
        <v>12</v>
      </c>
      <c r="E53" s="690"/>
      <c r="F53" s="576" t="s">
        <v>222</v>
      </c>
      <c r="G53" s="576">
        <f>COUNTIFS($B$9:$B$38,"ti",[0]!Juni,"Skema 1")</f>
        <v>0</v>
      </c>
      <c r="H53" s="576"/>
      <c r="I53" s="576"/>
      <c r="J53" s="579"/>
      <c r="K53" s="581"/>
      <c r="L53" s="5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ht="17" thickBot="1">
      <c r="A54" s="1188" t="s">
        <v>243</v>
      </c>
      <c r="B54" s="1188"/>
      <c r="C54" s="1188"/>
      <c r="D54" s="683">
        <f>COUNTIF([0]!Juni,"Skema 3")</f>
        <v>0</v>
      </c>
      <c r="E54" s="690"/>
      <c r="F54" s="576" t="s">
        <v>223</v>
      </c>
      <c r="G54" s="576">
        <f>COUNTIFS($B$9:$B$38,"on",[0]!Juni,"Skema 1")</f>
        <v>0</v>
      </c>
      <c r="H54" s="576"/>
      <c r="I54" s="576"/>
      <c r="J54" s="880"/>
      <c r="K54" s="754"/>
      <c r="L54" s="881"/>
      <c r="M54" s="1151" t="s">
        <v>346</v>
      </c>
      <c r="N54" s="1152"/>
      <c r="O54" s="1152"/>
      <c r="P54" s="1152"/>
      <c r="Q54" s="1152"/>
      <c r="R54" s="1152"/>
      <c r="S54" s="1152"/>
      <c r="T54" s="1152"/>
      <c r="U54" s="1153"/>
      <c r="V54" s="1154">
        <f>V45-SUM(V48:W53)</f>
        <v>9</v>
      </c>
      <c r="W54" s="1155"/>
      <c r="X54" s="1156"/>
      <c r="Y54" s="437"/>
      <c r="Z54" s="437"/>
      <c r="AA54" s="387"/>
      <c r="AB54" s="454"/>
      <c r="AC54" s="454"/>
      <c r="AD54" s="454"/>
      <c r="AE54" s="437"/>
      <c r="AF54" s="454"/>
      <c r="AH54" s="437"/>
      <c r="AI54" s="437"/>
      <c r="AM54" s="124"/>
      <c r="AN54" s="124"/>
      <c r="BH54" s="436"/>
      <c r="BU54" s="1"/>
      <c r="CR54" s="1"/>
      <c r="CY54"/>
      <c r="CZ54"/>
      <c r="DC54" s="455"/>
      <c r="DD54" s="455"/>
    </row>
    <row r="55" spans="1:109" hidden="1">
      <c r="A55" s="1188" t="s">
        <v>244</v>
      </c>
      <c r="B55" s="1188"/>
      <c r="C55" s="1188"/>
      <c r="D55" s="683">
        <f>COUNTIF([0]!Juni,"Skema 4")</f>
        <v>0</v>
      </c>
      <c r="E55" s="690"/>
      <c r="F55" s="576" t="s">
        <v>225</v>
      </c>
      <c r="G55" s="576">
        <f>COUNTIFS($B$9:$B$38,"to",[0]!Juni,"Skema 1")</f>
        <v>0</v>
      </c>
      <c r="H55" s="576"/>
      <c r="I55" s="883" t="s">
        <v>618</v>
      </c>
      <c r="J55" s="88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55" s="180"/>
      <c r="L55" s="881"/>
      <c r="M55" s="761" t="s">
        <v>378</v>
      </c>
      <c r="N55" s="761" t="s">
        <v>482</v>
      </c>
      <c r="O55" s="465"/>
      <c r="P55" s="465"/>
      <c r="Q55" s="465"/>
      <c r="R55" s="465"/>
      <c r="S55" s="465"/>
      <c r="T55" s="465"/>
      <c r="U55" s="465"/>
      <c r="V55" s="465"/>
      <c r="W55" s="465"/>
      <c r="X55" s="465"/>
      <c r="Y55" s="437"/>
      <c r="Z55" s="437"/>
      <c r="AA55" s="437"/>
      <c r="AB55" s="387"/>
      <c r="AC55" s="454"/>
      <c r="AD55" s="454"/>
      <c r="AE55" s="454"/>
      <c r="AF55" s="454"/>
      <c r="AG55" s="437"/>
      <c r="AI55" s="437"/>
      <c r="AJ55" s="437"/>
      <c r="AN55" s="124"/>
      <c r="AO55" s="124"/>
      <c r="BI55" s="436"/>
      <c r="BV55" s="1"/>
      <c r="CS55" s="1"/>
      <c r="CY55"/>
      <c r="CZ55"/>
      <c r="DD55" s="455"/>
      <c r="DE55" s="455"/>
    </row>
    <row r="56" spans="1:109" hidden="1">
      <c r="A56" s="683" t="s">
        <v>117</v>
      </c>
      <c r="B56" s="683"/>
      <c r="C56" s="683"/>
      <c r="D56" s="683">
        <f>COUNTIF([0]!Juni,"Fagdag")+COUNTIF([0]!Juni,"emnedag")</f>
        <v>1</v>
      </c>
      <c r="E56" s="690"/>
      <c r="F56" s="576" t="s">
        <v>224</v>
      </c>
      <c r="G56" s="576">
        <f>COUNTIFS($B$9:$B$38,"fr",[0]!Juni,"Skema 1")</f>
        <v>0</v>
      </c>
      <c r="H56" s="576"/>
      <c r="I56" s="578" t="s">
        <v>380</v>
      </c>
      <c r="J56" s="880"/>
      <c r="K56" s="881"/>
      <c r="L56" s="180"/>
      <c r="M56" s="754">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56" s="754">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56" s="754"/>
      <c r="P56" s="581"/>
      <c r="Q56" s="757" t="s">
        <v>382</v>
      </c>
      <c r="R56" s="459"/>
      <c r="S56" s="459"/>
      <c r="T56" s="459" t="s">
        <v>383</v>
      </c>
      <c r="U56" s="459"/>
      <c r="V56" s="459"/>
      <c r="W56" s="582"/>
      <c r="X56" s="582"/>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91" t="s">
        <v>116</v>
      </c>
      <c r="B57" s="683"/>
      <c r="C57" s="683"/>
      <c r="D57" s="683">
        <f>COUNTIF([0]!Juni,"Lejrskole")+COUNTIF([0]!Juni,"Ekskursion")</f>
        <v>3</v>
      </c>
      <c r="E57" s="690"/>
      <c r="F57" s="576"/>
      <c r="G57" s="576"/>
      <c r="H57" s="576"/>
      <c r="I57" s="578" t="s">
        <v>394</v>
      </c>
      <c r="J57" s="880"/>
      <c r="K57" s="881"/>
      <c r="L57" s="180"/>
      <c r="M57" s="754">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57" s="754">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57" s="755">
        <v>0.5</v>
      </c>
      <c r="P57" s="581"/>
      <c r="Q57" s="757" t="s">
        <v>379</v>
      </c>
      <c r="R57" s="459"/>
      <c r="S57" s="459"/>
      <c r="T57" s="459"/>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83" t="s">
        <v>115</v>
      </c>
      <c r="B58" s="683"/>
      <c r="C58" s="683"/>
      <c r="D58" s="683">
        <f>COUNTIF([0]!Juni,"Pæd.dag")</f>
        <v>3</v>
      </c>
      <c r="E58" s="690"/>
      <c r="F58" s="576" t="s">
        <v>226</v>
      </c>
      <c r="G58" s="576">
        <f>COUNTIFS($B$9:$B$38,"ma",[0]!Juni,"Skema 2")</f>
        <v>2</v>
      </c>
      <c r="H58" s="576"/>
      <c r="I58" s="576" t="s">
        <v>393</v>
      </c>
      <c r="J58" s="880"/>
      <c r="K58" s="180"/>
      <c r="L58" s="180"/>
      <c r="M58" s="754">
        <f>SUM(M56:M57)</f>
        <v>0</v>
      </c>
      <c r="N58" s="754">
        <f>SUM(N56:N57)</f>
        <v>0</v>
      </c>
      <c r="O58" s="756">
        <f>(M58+N58)/2</f>
        <v>0</v>
      </c>
      <c r="P58" s="581">
        <f>SUM(M58:O58)</f>
        <v>0</v>
      </c>
      <c r="Q58" s="757">
        <f>(M58+N58)*25%</f>
        <v>0</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138</v>
      </c>
      <c r="B59" s="683"/>
      <c r="C59" s="683"/>
      <c r="D59" s="683">
        <f>COUNTIF([0]!Juni,"Weekend")</f>
        <v>8</v>
      </c>
      <c r="E59" s="690"/>
      <c r="F59" s="576" t="s">
        <v>227</v>
      </c>
      <c r="G59" s="576">
        <f>COUNTIFS($B$9:$B$38,"ti",[0]!Juni,"Skema 2")</f>
        <v>3</v>
      </c>
      <c r="H59" s="576"/>
      <c r="I59" s="576" t="s">
        <v>564</v>
      </c>
      <c r="J59" s="880"/>
      <c r="K59" s="180"/>
      <c r="L59" s="180"/>
      <c r="M59" s="858">
        <f>IF(Stamoplysninger!$B$26="Weekendtimer og weekendtillæg afspadseres.",M56,0)</f>
        <v>0</v>
      </c>
      <c r="N59" s="858">
        <f>IF(Stamoplysninger!$B$26="Weekendtimer og weekendtillæg afspadseres.",N56,0)</f>
        <v>0</v>
      </c>
      <c r="O59" s="754"/>
      <c r="P59" s="581"/>
      <c r="Q59" s="757" t="s">
        <v>384</v>
      </c>
      <c r="R59" s="459"/>
      <c r="S59" s="459">
        <f>IF(Stamoplysninger!B22="Ulempetillæg afspadseres med 25%(Kræver en aftale imellem ledelsen og den ansatte)",Q58,0)</f>
        <v>0</v>
      </c>
      <c r="T59" s="459">
        <f>IF(Stamoplysninger!B22="Ulempetillæg afspadseres med 25%(Kræver en aftale imellem ledelsen og den ansatte)",(R39+X39)*0.25,0)</f>
        <v>0</v>
      </c>
      <c r="U59" s="459"/>
      <c r="V59" s="459"/>
      <c r="W59" s="582"/>
      <c r="X59" s="582"/>
      <c r="Y59" s="436"/>
      <c r="Z59"/>
      <c r="AM59" s="1"/>
      <c r="BJ59" s="1"/>
      <c r="BU59" s="455"/>
      <c r="BV59" s="455"/>
      <c r="CY59"/>
      <c r="CZ59"/>
    </row>
    <row r="60" spans="1:109" hidden="1">
      <c r="A60" s="683" t="s">
        <v>146</v>
      </c>
      <c r="B60" s="683"/>
      <c r="C60" s="683"/>
      <c r="D60" s="683">
        <f>COUNTIF([0]!Juni,"SH-dag")</f>
        <v>0</v>
      </c>
      <c r="E60" s="690"/>
      <c r="F60" s="576" t="s">
        <v>228</v>
      </c>
      <c r="G60" s="576">
        <f>COUNTIFS($B$9:$B$38,"on",[0]!Juni,"Skema 2")</f>
        <v>2</v>
      </c>
      <c r="H60" s="576"/>
      <c r="I60" s="854" t="s">
        <v>565</v>
      </c>
      <c r="J60" s="882"/>
      <c r="K60" s="882"/>
      <c r="L60" s="882"/>
      <c r="M60" s="858">
        <f>IF(Stamoplysninger!$B$26="Weekendtimer og weekendtillæg afspadseres.",O58,0)</f>
        <v>0</v>
      </c>
      <c r="N60" s="858">
        <f>IF(Stamoplysninger!$B$26="Weekendtimer og weekendtillæg afspadseres.",O58,0)</f>
        <v>0</v>
      </c>
      <c r="O60" s="754"/>
      <c r="P60" s="581"/>
      <c r="Q60" s="757" t="s">
        <v>381</v>
      </c>
      <c r="R60" s="459"/>
      <c r="S60" s="459">
        <f>IF(Stamoplysninger!B22="Ulempetillæg udbetales med 25% af nettotimelønnen.",Q58,0)</f>
        <v>0</v>
      </c>
      <c r="T60" s="459">
        <f>IF(Stamoplysninger!B22="Ulempetillæg udbetales med 25% af nettotimelønnen.",(R39+X39)*0.25,0)</f>
        <v>0.75</v>
      </c>
      <c r="U60" s="459"/>
      <c r="V60" s="459"/>
      <c r="W60" s="582"/>
      <c r="X60" s="582"/>
      <c r="Y60" s="436"/>
      <c r="Z60"/>
      <c r="AM60" s="1"/>
      <c r="BJ60" s="1"/>
      <c r="BU60" s="455"/>
      <c r="BV60" s="455"/>
      <c r="CY60"/>
      <c r="CZ60"/>
    </row>
    <row r="61" spans="1:109" hidden="1">
      <c r="A61" s="683" t="s">
        <v>114</v>
      </c>
      <c r="B61" s="683"/>
      <c r="C61" s="683"/>
      <c r="D61" s="683">
        <f>COUNTIF([0]!Juni,"Feriedag")</f>
        <v>0</v>
      </c>
      <c r="E61" s="690"/>
      <c r="F61" s="576" t="s">
        <v>229</v>
      </c>
      <c r="G61" s="576">
        <f>COUNTIFS($B$9:$B$38,"to",[0]!Juni,"Skema 2")</f>
        <v>3</v>
      </c>
      <c r="H61" s="576"/>
      <c r="I61" s="854" t="s">
        <v>566</v>
      </c>
      <c r="J61" s="882"/>
      <c r="K61" s="882"/>
      <c r="L61" s="882"/>
      <c r="M61" s="859">
        <f>IF(Stamoplysninger!$B$26="Weekendtimer og weekendtillæg udbetales.",M56,0)</f>
        <v>0</v>
      </c>
      <c r="N61" s="859">
        <f>IF(Stamoplysninger!$B$26="Weekendtimer og weekendtillæg udbetales.",N56,0)</f>
        <v>0</v>
      </c>
      <c r="O61" s="754"/>
      <c r="P61" s="581"/>
      <c r="Q61" s="757"/>
      <c r="R61" s="459"/>
      <c r="S61" s="459"/>
      <c r="T61" s="459"/>
      <c r="U61" s="459"/>
      <c r="V61" s="459"/>
      <c r="W61" s="582"/>
      <c r="X61" s="582"/>
      <c r="Y61" s="436"/>
      <c r="Z61"/>
      <c r="AM61" s="1"/>
      <c r="BJ61" s="1"/>
      <c r="BU61" s="455"/>
      <c r="BV61" s="455"/>
      <c r="CY61"/>
      <c r="CZ61"/>
    </row>
    <row r="62" spans="1:109" hidden="1">
      <c r="A62" s="683" t="s">
        <v>210</v>
      </c>
      <c r="B62" s="683"/>
      <c r="C62" s="683"/>
      <c r="D62" s="683">
        <f>COUNTIF([0]!Juni,"Nul-dag")</f>
        <v>3</v>
      </c>
      <c r="E62" s="690"/>
      <c r="F62" s="576" t="s">
        <v>230</v>
      </c>
      <c r="G62" s="576">
        <f>COUNTIFS($B$9:$B$38,"fr",[0]!Juni,"Skema 2")</f>
        <v>2</v>
      </c>
      <c r="H62" s="576"/>
      <c r="I62" s="854" t="s">
        <v>567</v>
      </c>
      <c r="J62" s="882"/>
      <c r="K62" s="882"/>
      <c r="L62" s="882"/>
      <c r="M62" s="859">
        <f>IF(Stamoplysninger!$B$26="Weekendtimer og weekendtillæg udbetales.",O58,0)</f>
        <v>0</v>
      </c>
      <c r="N62" s="859">
        <f>IF(Stamoplysninger!$B$26="Weekendtimer og weekendtillæg udbetales.",O58,0)</f>
        <v>0</v>
      </c>
      <c r="O62" s="754"/>
      <c r="P62" s="581"/>
      <c r="Q62" s="757"/>
      <c r="R62" s="459"/>
      <c r="S62" s="459"/>
      <c r="T62" s="459"/>
      <c r="U62" s="459"/>
      <c r="V62" s="459"/>
      <c r="W62" s="582"/>
      <c r="X62" s="582"/>
      <c r="Y62" s="436"/>
      <c r="Z62"/>
      <c r="AM62" s="1"/>
      <c r="BJ62" s="1"/>
      <c r="BU62" s="455"/>
      <c r="BV62" s="455"/>
      <c r="CY62"/>
      <c r="CZ62"/>
    </row>
    <row r="63" spans="1:109" hidden="1">
      <c r="A63" s="683" t="s">
        <v>505</v>
      </c>
      <c r="B63" s="683"/>
      <c r="C63" s="683"/>
      <c r="D63" s="683">
        <f>COUNTIF([0]!Juni,"Orlov")</f>
        <v>0</v>
      </c>
      <c r="E63" s="690"/>
      <c r="F63" s="692"/>
      <c r="G63" s="692"/>
      <c r="H63" s="692"/>
      <c r="I63" s="854" t="s">
        <v>385</v>
      </c>
      <c r="J63" s="882"/>
      <c r="K63" s="882"/>
      <c r="L63" s="882"/>
      <c r="M63" s="860">
        <f>IF(Stamoplysninger!$B$26="Der er indgået lokalaftale omkring weekendtimer.(Kræver aftale med TR/FSL) Weekendtillæg afspadseres.",O58,0)</f>
        <v>0</v>
      </c>
      <c r="N63" s="860">
        <f>IF(Stamoplysninger!$B$26="Der er indgået lokalaftale omkring weekendtimer.(Kræver aftale med TR/FSL) Weekendtillæg afspadseres.",N56,0)</f>
        <v>0</v>
      </c>
      <c r="O63" s="754"/>
      <c r="P63" s="581"/>
      <c r="Q63" s="757"/>
      <c r="R63" s="459"/>
      <c r="S63" s="459"/>
      <c r="T63" s="459"/>
      <c r="U63" s="459"/>
      <c r="V63" s="459"/>
      <c r="W63" s="582"/>
      <c r="X63" s="582"/>
      <c r="Y63"/>
      <c r="Z63"/>
      <c r="AM63" s="1"/>
      <c r="BJ63" s="1"/>
      <c r="BU63" s="455"/>
      <c r="BV63" s="455"/>
      <c r="CY63"/>
      <c r="CZ63"/>
    </row>
    <row r="64" spans="1:109" hidden="1">
      <c r="A64" s="683" t="s">
        <v>185</v>
      </c>
      <c r="B64" s="683"/>
      <c r="C64" s="683"/>
      <c r="D64" s="683">
        <f>COUNTIF([0]!Juni,"Ikke relevant")</f>
        <v>0</v>
      </c>
      <c r="E64" s="690"/>
      <c r="F64" s="576" t="s">
        <v>231</v>
      </c>
      <c r="G64" s="576">
        <f>COUNTIFS($B$9:$B$38,"ma",[0]!Juni,"Skema 3")</f>
        <v>0</v>
      </c>
      <c r="H64" s="576">
        <v>1</v>
      </c>
      <c r="I64" s="854" t="s">
        <v>386</v>
      </c>
      <c r="J64" s="882"/>
      <c r="K64" s="882"/>
      <c r="L64" s="882"/>
      <c r="M64" s="860">
        <f>IF(Stamoplysninger!$B$26="Der er indgået lokalaftale omkring weekendtimer(Kræver aftale med TR/FSL). Weekendtillæg udbetales.",O58,0)</f>
        <v>0</v>
      </c>
      <c r="N64" s="860">
        <f>IF(Stamoplysninger!$B$26="Der er indgået lokalaftale omkring weekendtimer(Kræver aftale med TR/FSL). Weekendtillæg udbetales.",N56,0)</f>
        <v>0</v>
      </c>
      <c r="O64" s="754"/>
      <c r="P64" s="581"/>
      <c r="Q64" s="757"/>
      <c r="R64" s="459"/>
      <c r="S64" s="459"/>
      <c r="T64" s="459"/>
      <c r="U64" s="459"/>
      <c r="V64" s="459"/>
      <c r="W64" s="582"/>
      <c r="X64" s="582"/>
      <c r="Y64"/>
      <c r="Z64"/>
      <c r="AM64" s="1"/>
      <c r="BJ64" s="1"/>
      <c r="BU64" s="455"/>
      <c r="BV64" s="455"/>
      <c r="CY64"/>
      <c r="CZ64"/>
    </row>
    <row r="65" spans="1:104" hidden="1">
      <c r="A65" s="683" t="s">
        <v>113</v>
      </c>
      <c r="B65" s="683"/>
      <c r="C65" s="683"/>
      <c r="D65" s="693">
        <f>SUM(D52:D64)</f>
        <v>30</v>
      </c>
      <c r="E65" s="693"/>
      <c r="F65" s="576" t="s">
        <v>232</v>
      </c>
      <c r="G65" s="576">
        <f>COUNTIFS($B$9:$B$38,"ti",[0]!Juni,"Skema 3")</f>
        <v>0</v>
      </c>
      <c r="H65" s="576">
        <v>2</v>
      </c>
      <c r="I65" s="854" t="s">
        <v>569</v>
      </c>
      <c r="J65" s="882"/>
      <c r="K65" s="882"/>
      <c r="L65" s="882"/>
      <c r="M65" s="860">
        <f>IF(Stamoplysninger!$B$26="Der er indgået lokalaftale omkring weekendtimer.(Kræver aftale med TR/FSL) Weekendtillæg afspadseres.",M56,0)</f>
        <v>0</v>
      </c>
      <c r="N65" s="860">
        <f>IF(Stamoplysninger!$B$26="Der er indgået lokalaftale omkring weekendtimer.(Kræver aftale med TR/FSL) Weekendtillæg afspadseres.",O58,0)</f>
        <v>0</v>
      </c>
      <c r="O65" s="45"/>
      <c r="P65" s="45"/>
      <c r="Q65" s="45"/>
      <c r="R65" s="45"/>
      <c r="S65" s="45"/>
      <c r="T65" s="45"/>
      <c r="U65" s="580"/>
      <c r="V65" s="180"/>
      <c r="W65" s="580"/>
      <c r="X65" s="580"/>
      <c r="Y65"/>
      <c r="Z65" s="1"/>
      <c r="AX65" s="1"/>
      <c r="BI65" s="455"/>
      <c r="BJ65" s="455"/>
      <c r="CY65"/>
      <c r="CZ65"/>
    </row>
    <row r="66" spans="1:104" hidden="1">
      <c r="A66" s="683" t="s">
        <v>282</v>
      </c>
      <c r="B66" s="683"/>
      <c r="C66" s="683"/>
      <c r="D66" s="693">
        <f>D65-D59-A75-D64</f>
        <v>22</v>
      </c>
      <c r="E66" s="695"/>
      <c r="F66" s="576" t="s">
        <v>233</v>
      </c>
      <c r="G66" s="576">
        <f>COUNTIFS($B$9:$B$38,"on",[0]!Juni,"Skema 3")</f>
        <v>0</v>
      </c>
      <c r="H66" s="576"/>
      <c r="I66" s="854" t="s">
        <v>570</v>
      </c>
      <c r="J66" s="882"/>
      <c r="K66" s="882"/>
      <c r="L66" s="882"/>
      <c r="M66" s="860">
        <f>IF(Stamoplysninger!$B$26="Der er indgået lokalaftale omkring weekendtimer(Kræver aftale med TR/FSL). Weekendtillæg udbetales.",M56,0)</f>
        <v>0</v>
      </c>
      <c r="N66" s="860">
        <f>IF(Stamoplysninger!$B$26="Der er indgået lokalaftale omkring weekendtimer(Kræver aftale med TR/FSL). Weekendtillæg udbetales.",O58,0)</f>
        <v>0</v>
      </c>
      <c r="O66" s="580"/>
      <c r="P66" s="580"/>
      <c r="Q66" s="580"/>
      <c r="R66" s="580"/>
      <c r="S66" s="580"/>
      <c r="T66" s="580"/>
      <c r="U66" s="580"/>
      <c r="V66" s="580"/>
      <c r="W66" s="580"/>
      <c r="X66" s="580"/>
      <c r="Y66"/>
      <c r="Z66" s="1"/>
      <c r="AX66" s="1"/>
      <c r="BI66" s="455"/>
      <c r="BJ66" s="455"/>
      <c r="CY66"/>
      <c r="CZ66"/>
    </row>
    <row r="67" spans="1:104" hidden="1">
      <c r="A67" s="576"/>
      <c r="B67" s="576"/>
      <c r="C67" s="576"/>
      <c r="D67" s="694"/>
      <c r="E67" s="576"/>
      <c r="F67" s="576" t="s">
        <v>234</v>
      </c>
      <c r="G67" s="576">
        <f>COUNTIFS($B$9:$B$38,"to",[0]!Juni,"Skema 3")</f>
        <v>0</v>
      </c>
      <c r="H67" s="576"/>
      <c r="I67" s="854" t="s">
        <v>387</v>
      </c>
      <c r="J67" s="882"/>
      <c r="K67" s="882"/>
      <c r="L67" s="882"/>
      <c r="M67" s="862">
        <f>IF(Stamoplysninger!$B$26="Der er indgået lokalaftale omkring weekendtillæg(Kræver aftale med TR/FSL). Weekendtimerne afspadseres.",M56,0)</f>
        <v>0</v>
      </c>
      <c r="N67" s="862">
        <f>IF(Stamoplysninger!$B$26="Der er indgået lokalaftale omkring weekendtillæg(Kræver aftale med TR/FSL). Weekendtimerne afspadseres.",N56,0)</f>
        <v>0</v>
      </c>
      <c r="O67" s="580"/>
      <c r="P67" s="580"/>
      <c r="Q67" s="580"/>
      <c r="R67" s="580"/>
      <c r="S67" s="580"/>
      <c r="T67" s="580"/>
      <c r="U67" s="580"/>
      <c r="V67" s="580"/>
      <c r="W67" s="580"/>
      <c r="X67" s="580"/>
      <c r="Y67"/>
      <c r="Z67"/>
      <c r="AO67" s="1"/>
      <c r="BL67" s="1"/>
      <c r="BW67" s="455"/>
      <c r="BX67" s="455"/>
      <c r="CY67"/>
      <c r="CZ67"/>
    </row>
    <row r="68" spans="1:104" hidden="1">
      <c r="A68" s="576"/>
      <c r="B68" s="576"/>
      <c r="C68" s="576"/>
      <c r="D68" s="694"/>
      <c r="E68" s="576"/>
      <c r="F68" s="576" t="s">
        <v>235</v>
      </c>
      <c r="G68" s="576">
        <f>COUNTIFS($B$9:$B$38,"fr",[0]!Juni,"Skema 3")</f>
        <v>0</v>
      </c>
      <c r="H68" s="576">
        <v>1</v>
      </c>
      <c r="I68" s="854" t="s">
        <v>388</v>
      </c>
      <c r="J68" s="882"/>
      <c r="K68" s="882"/>
      <c r="L68" s="882"/>
      <c r="M68" s="862">
        <f>IF(Stamoplysninger!$B$26="Der er indgået lokalaftale omkring weekendtillæg(Kræver aftale med TR/FSL). Weekendtimerne udbetales.",M56,0)</f>
        <v>0</v>
      </c>
      <c r="N68" s="862">
        <f>IF(Stamoplysninger!$B$26="Der er indgået lokalaftale omkring weekendtillæg(Kræver aftale med TR/FSL). Weekendtimerne udbetales.",N56,0)</f>
        <v>0</v>
      </c>
      <c r="O68" s="580"/>
      <c r="P68" s="580"/>
      <c r="Q68" s="580"/>
      <c r="R68" s="580"/>
      <c r="S68" s="580"/>
      <c r="T68" s="580"/>
      <c r="U68" s="580"/>
      <c r="V68" s="580"/>
      <c r="W68" s="580"/>
      <c r="X68" s="580"/>
      <c r="Y68"/>
      <c r="Z68"/>
      <c r="AO68" s="1"/>
      <c r="BL68" s="1"/>
      <c r="BW68" s="455"/>
      <c r="BX68" s="455"/>
      <c r="CY68"/>
      <c r="CZ68"/>
    </row>
    <row r="69" spans="1:104" hidden="1">
      <c r="A69" s="576" t="s">
        <v>344</v>
      </c>
      <c r="B69" s="576"/>
      <c r="C69" s="576"/>
      <c r="D69" s="694"/>
      <c r="E69" s="694"/>
      <c r="F69" s="576"/>
      <c r="G69" s="576"/>
      <c r="H69" s="576">
        <v>2</v>
      </c>
      <c r="I69" s="854" t="s">
        <v>571</v>
      </c>
      <c r="J69" s="863"/>
      <c r="K69" s="863"/>
      <c r="L69" s="863"/>
      <c r="M69" s="862">
        <f>IF(Stamoplysninger!$B$26="Der er indgået lokalaftale omkring weekendtillæg(Kræver aftale med TR/FSL). Weekendtimerne afspadseres.",M56,0)</f>
        <v>0</v>
      </c>
      <c r="N69" s="862">
        <f>IF(Stamoplysninger!$B$26="Der er indgået lokalaftale omkring weekendtillæg(Kræver aftale med TR/FSL). Weekendtimerne afspadseres.",N56,0)</f>
        <v>0</v>
      </c>
      <c r="O69" s="580"/>
      <c r="P69" s="580"/>
      <c r="Q69" s="580"/>
      <c r="R69" s="580"/>
      <c r="S69" s="580"/>
      <c r="T69" s="580"/>
      <c r="U69" s="580"/>
      <c r="V69" s="580"/>
      <c r="W69" s="580"/>
      <c r="X69" s="580"/>
      <c r="Y69"/>
      <c r="Z69"/>
      <c r="AO69" s="1"/>
      <c r="BL69" s="1"/>
      <c r="BW69" s="455"/>
      <c r="BX69" s="455"/>
      <c r="CY69"/>
      <c r="CZ69"/>
    </row>
    <row r="70" spans="1:104" hidden="1">
      <c r="A70" s="576">
        <f>COUNTIF($C$11:$C$12,"Skema 1")+COUNTIF($C$11:$C$12,"Skema 2")+COUNTIF($C$11:$C$12,"Skema 3")+COUNTIF($C$11:$C$12,"Skema 4")+COUNTIF($C$11:$C$12,"Fagdag")+COUNTIF($C$11:$C$12,"Emnedag")+COUNTIF($C$11:$C$12,"Lejrskole")+COUNTIF($C$11:$C$12,"Ekskursion")+COUNTIF($C$11:$C$12,"Pæd.dag")</f>
        <v>0</v>
      </c>
      <c r="B70" s="576"/>
      <c r="C70" s="576"/>
      <c r="D70" s="576"/>
      <c r="E70" s="694"/>
      <c r="F70" s="576" t="s">
        <v>236</v>
      </c>
      <c r="G70" s="576">
        <f>COUNTIFS($B$9:$B$38,"ma",[0]!Juni,"Skema 4")</f>
        <v>0</v>
      </c>
      <c r="H70" s="576"/>
      <c r="I70" s="854" t="s">
        <v>572</v>
      </c>
      <c r="J70" s="863"/>
      <c r="K70" s="863"/>
      <c r="L70" s="863"/>
      <c r="M70" s="862">
        <f>IF(Stamoplysninger!$B$26="Der er indgået lokalaftale omkring weekendtillæg(Kræver aftale med TR/FSL). Weekendtimerne udbetales.",M56,0)</f>
        <v>0</v>
      </c>
      <c r="N70" s="862">
        <f>IF(Stamoplysninger!$B$26="Der er indgået lokalaftale omkring weekendtillæg(Kræver aftale med TR/FSL). Weekendtimerne udbetales.",N56,0)</f>
        <v>0</v>
      </c>
      <c r="O70" s="580"/>
      <c r="P70" s="580"/>
      <c r="Q70" s="580"/>
      <c r="R70" s="580"/>
      <c r="S70" s="580"/>
      <c r="T70" s="580"/>
      <c r="U70" s="580"/>
      <c r="V70" s="580"/>
      <c r="W70" s="580"/>
      <c r="X70" s="580"/>
      <c r="Y70"/>
      <c r="Z70"/>
      <c r="AO70" s="1"/>
      <c r="BL70" s="1"/>
      <c r="BW70" s="455"/>
      <c r="BX70" s="455"/>
      <c r="CY70"/>
      <c r="CZ70"/>
    </row>
    <row r="71" spans="1:104" hidden="1">
      <c r="A71" s="576">
        <f>COUNTIF($C$18:$C$19,"Skema 1")+COUNTIF($C$18:$C$19,"Skema 2")+COUNTIF($C$18:$C$19,"Skema 3")+COUNTIF($C$18:$C$19,"Skema 4")+COUNTIF($C$18:$C$19,"Fagdag")+COUNTIF($C$18:$C$19,"Emnedag")+COUNTIF($C$18:$C$19,"Lejrskole")+COUNTIF($C$18:$C$19,"Ekskursion")+COUNTIF($C$18:$C$19,"Pæd.dag")</f>
        <v>0</v>
      </c>
      <c r="B71" s="576"/>
      <c r="C71" s="576"/>
      <c r="D71" s="576"/>
      <c r="E71" s="694"/>
      <c r="F71" s="576" t="s">
        <v>237</v>
      </c>
      <c r="G71" s="576">
        <f>COUNTIFS($B$9:$B$38,"ti",[0]!Juni,"Skema 4")</f>
        <v>0</v>
      </c>
      <c r="H71" s="576"/>
      <c r="I71" s="576" t="s">
        <v>568</v>
      </c>
      <c r="J71" s="769"/>
      <c r="K71" s="769"/>
      <c r="L71" s="769"/>
      <c r="M71" s="754">
        <f>IF(Stamoplysninger!$B$26="Der er indgået lokalaftale omkring weekendtimer og weekendtillæg.(Kræver aftale med TR/FSL).",M56,0)</f>
        <v>0</v>
      </c>
      <c r="N71" s="754"/>
      <c r="O71" s="580"/>
      <c r="P71" s="580"/>
      <c r="Q71" s="580"/>
      <c r="R71" s="580"/>
      <c r="S71" s="580"/>
      <c r="T71" s="580"/>
      <c r="V71" s="580"/>
      <c r="W71" s="580"/>
      <c r="X71" s="580"/>
      <c r="Y71"/>
      <c r="Z71"/>
      <c r="AO71" s="1"/>
      <c r="BL71" s="1"/>
      <c r="BW71" s="455"/>
      <c r="BX71" s="455"/>
      <c r="CY71"/>
      <c r="CZ71"/>
    </row>
    <row r="72" spans="1:104">
      <c r="A72" s="576">
        <f>COUNTIF($C$25:$C$26,"Skema 1")+COUNTIF($C$25:$C$26,"Skema 2")+COUNTIF($C$25:$C$26,"Skema 3")+COUNTIF($C$25:$C$26,"Skema 4")+COUNTIF($C$25:$C$26,"Fagdag")+COUNTIF($C$25:$C$26,"Emnedag")+COUNTIF($C$25:$C$26,"Lejrskole")+COUNTIF($C$25:$C$26,"Ekskursion")+COUNTIF($C$25:$C$26,"Pæd.dag")</f>
        <v>0</v>
      </c>
      <c r="B72" s="576"/>
      <c r="C72" s="576"/>
      <c r="D72" s="576"/>
      <c r="E72" s="694"/>
      <c r="F72" s="576" t="s">
        <v>238</v>
      </c>
      <c r="G72" s="576">
        <f>COUNTIFS($B$9:$B$38,"on",[0]!Juni,"Skema 4")</f>
        <v>0</v>
      </c>
      <c r="H72" s="576"/>
      <c r="I72" s="576"/>
      <c r="J72" s="769"/>
      <c r="K72" s="769"/>
      <c r="L72" s="769"/>
      <c r="S72" s="580"/>
      <c r="T72" s="580"/>
      <c r="U72" s="580"/>
      <c r="V72" s="580"/>
      <c r="W72" s="580"/>
      <c r="X72" s="580"/>
      <c r="Y72"/>
      <c r="Z72"/>
      <c r="AO72" s="1"/>
      <c r="BL72" s="1"/>
      <c r="BW72" s="455"/>
      <c r="BX72" s="455"/>
      <c r="CY72"/>
      <c r="CZ72"/>
    </row>
    <row r="73" spans="1:104">
      <c r="A73" s="576">
        <f>COUNTIF($C$32:$C$33,"Skema 1")+COUNTIF($C$32:$C$33,"Skema 2")+COUNTIF($C$32:$C$33,"Skema 3")+COUNTIF($C$32:$C$33,"Skema 4")+COUNTIF($C$32:$C$33,"Fagdag")+COUNTIF($C$32:$C$33,"Emnedag")+COUNTIF($C$32:$C$33,"Lejrskole")+COUNTIF($C$32:$C$33,"Ekskursion")+COUNTIF($C$32:$C$33,"Pæd.dag")</f>
        <v>0</v>
      </c>
      <c r="B73" s="576"/>
      <c r="C73" s="576"/>
      <c r="D73" s="576"/>
      <c r="E73" s="694"/>
      <c r="F73" s="576" t="s">
        <v>239</v>
      </c>
      <c r="G73" s="576">
        <f>COUNTIFS($B$9:$B$38,"to",[0]!Juni,"Skema 4")</f>
        <v>0</v>
      </c>
      <c r="H73" s="576"/>
      <c r="I73" s="576"/>
      <c r="J73" s="769"/>
      <c r="K73" s="769"/>
      <c r="L73" s="769"/>
      <c r="Y73"/>
      <c r="Z73"/>
      <c r="AO73" s="1">
        <f>SUM(N73:AN73)</f>
        <v>0</v>
      </c>
      <c r="BL73" s="1">
        <f>SUM(AI73:BK73)</f>
        <v>0</v>
      </c>
      <c r="BW73" s="455"/>
      <c r="BX73" s="455"/>
      <c r="CY73"/>
      <c r="CZ73"/>
    </row>
    <row r="74" spans="1:104">
      <c r="A74" s="576"/>
      <c r="B74" s="576"/>
      <c r="C74" s="576"/>
      <c r="D74" s="576"/>
      <c r="E74" s="694"/>
      <c r="F74" s="576" t="s">
        <v>240</v>
      </c>
      <c r="G74" s="576">
        <f>COUNTIFS($B$9:$B$38,"fr",[0]!Juni,"Skema 4")</f>
        <v>0</v>
      </c>
      <c r="H74" s="576"/>
      <c r="I74" s="45"/>
      <c r="J74" s="769"/>
      <c r="K74" s="769"/>
      <c r="L74" s="769"/>
      <c r="Y74"/>
      <c r="Z74"/>
      <c r="AO74" s="1">
        <f>SUM(N74:AN74)</f>
        <v>0</v>
      </c>
      <c r="BL74" s="1">
        <f>SUM(AI74:BK74)</f>
        <v>0</v>
      </c>
      <c r="BW74" s="455"/>
      <c r="BX74" s="455"/>
      <c r="CY74"/>
      <c r="CZ74"/>
    </row>
    <row r="75" spans="1:104">
      <c r="A75" s="576">
        <f>SUM(A70:A74)</f>
        <v>0</v>
      </c>
      <c r="B75" s="576"/>
      <c r="C75" s="576"/>
      <c r="D75" s="576"/>
      <c r="E75" s="694"/>
      <c r="F75" s="694"/>
      <c r="G75" s="697">
        <f>SUM(G52:G74)</f>
        <v>12</v>
      </c>
      <c r="H75" s="45"/>
      <c r="I75" s="45"/>
      <c r="J75" s="769"/>
      <c r="K75" s="769"/>
      <c r="L75" s="769"/>
      <c r="Y75"/>
      <c r="Z75"/>
      <c r="AO75" s="1">
        <f>SUM(N75:AN75)</f>
        <v>0</v>
      </c>
      <c r="BL75" s="1">
        <f>SUM(AI75:BK75)</f>
        <v>0</v>
      </c>
      <c r="BW75" s="455"/>
      <c r="BX75" s="455"/>
      <c r="CY75"/>
      <c r="CZ75"/>
    </row>
    <row r="76" spans="1:104">
      <c r="A76" s="779"/>
      <c r="B76" s="779"/>
      <c r="C76" s="779"/>
      <c r="D76" s="779"/>
      <c r="E76" s="778"/>
      <c r="F76" s="778"/>
      <c r="G76" s="778"/>
      <c r="H76" s="769"/>
      <c r="I76" s="769"/>
      <c r="J76" s="769"/>
      <c r="K76" s="769"/>
      <c r="L76" s="769"/>
      <c r="Y76"/>
      <c r="Z76"/>
      <c r="AO76" s="1">
        <f>SUM(N76:AN76)</f>
        <v>0</v>
      </c>
      <c r="BL76" s="1">
        <f>SUM(AI76:BK76)</f>
        <v>0</v>
      </c>
      <c r="BW76" s="455"/>
      <c r="BX76" s="455"/>
      <c r="CY76"/>
      <c r="CZ76"/>
    </row>
    <row r="77" spans="1:104">
      <c r="A77" s="779"/>
      <c r="B77" s="779"/>
      <c r="C77" s="779"/>
      <c r="D77" s="779"/>
      <c r="E77" s="777"/>
      <c r="F77" s="777"/>
      <c r="G77" s="777"/>
      <c r="H77" s="769"/>
      <c r="I77" s="769"/>
      <c r="J77" s="769"/>
      <c r="K77" s="769"/>
      <c r="L77" s="769"/>
      <c r="Y77"/>
      <c r="Z77"/>
      <c r="BW77" s="455"/>
      <c r="BX77" s="455"/>
      <c r="CY77"/>
      <c r="CZ77"/>
    </row>
    <row r="78" spans="1:104">
      <c r="A78" s="769"/>
      <c r="B78" s="769"/>
      <c r="C78" s="769"/>
      <c r="D78" s="769"/>
      <c r="E78" s="777"/>
      <c r="F78" s="777"/>
      <c r="G78" s="777"/>
      <c r="H78" s="769"/>
      <c r="I78" s="769"/>
      <c r="J78" s="769"/>
      <c r="K78" s="769"/>
      <c r="L78" s="769"/>
      <c r="Y78"/>
      <c r="Z78"/>
      <c r="BW78" s="455"/>
      <c r="BX78" s="455"/>
      <c r="CY78"/>
      <c r="CZ78"/>
    </row>
    <row r="79" spans="1:104">
      <c r="A79" s="769"/>
      <c r="B79" s="769"/>
      <c r="C79" s="769"/>
      <c r="D79" s="769"/>
      <c r="E79" s="777"/>
      <c r="F79" s="777"/>
      <c r="G79" s="777"/>
      <c r="H79" s="769"/>
      <c r="I79" s="769"/>
      <c r="J79" s="769"/>
      <c r="K79" s="769"/>
      <c r="L79" s="769"/>
      <c r="Y79"/>
      <c r="Z79"/>
      <c r="BW79" s="455"/>
      <c r="BX79" s="455"/>
      <c r="CY79"/>
      <c r="CZ79"/>
    </row>
    <row r="80" spans="1:104">
      <c r="A80" s="769"/>
      <c r="B80" s="769"/>
      <c r="C80" s="769"/>
      <c r="D80" s="769"/>
      <c r="E80" s="188"/>
      <c r="F80" s="777"/>
      <c r="G80" s="777"/>
      <c r="H80" s="769"/>
      <c r="I80" s="769"/>
      <c r="J80" s="769"/>
      <c r="K80" s="769"/>
      <c r="L80" s="769"/>
      <c r="Y80"/>
      <c r="Z80"/>
      <c r="BW80" s="455"/>
      <c r="BX80" s="455"/>
      <c r="CY80"/>
      <c r="CZ80"/>
    </row>
    <row r="81" spans="1:111">
      <c r="A81" s="769"/>
      <c r="B81" s="769"/>
      <c r="C81" s="769"/>
      <c r="D81" s="769"/>
      <c r="E81" s="188"/>
      <c r="F81" s="777"/>
      <c r="G81" s="777"/>
      <c r="H81" s="769"/>
      <c r="I81" s="769"/>
      <c r="J81" s="769"/>
      <c r="K81" s="769"/>
      <c r="L81" s="769"/>
      <c r="Y81"/>
      <c r="Z81"/>
      <c r="BW81" s="455"/>
      <c r="BX81" s="455"/>
      <c r="CY81"/>
      <c r="CZ81"/>
    </row>
    <row r="82" spans="1:111">
      <c r="A82" s="769"/>
      <c r="B82" s="769"/>
      <c r="C82" s="769"/>
      <c r="D82" s="769"/>
      <c r="E82" s="188"/>
      <c r="F82" s="777"/>
      <c r="G82" s="777"/>
      <c r="H82" s="769"/>
      <c r="I82" s="769"/>
      <c r="J82" s="769"/>
      <c r="K82" s="769"/>
      <c r="L82" s="769"/>
      <c r="Y82"/>
      <c r="Z82"/>
      <c r="AD82" s="406"/>
      <c r="AE82" s="424"/>
      <c r="AF82" s="424"/>
      <c r="AG82" s="424"/>
      <c r="AH82" s="424"/>
      <c r="CY82"/>
      <c r="CZ82"/>
      <c r="DF82" s="455"/>
      <c r="DG82" s="455"/>
    </row>
    <row r="83" spans="1:111">
      <c r="A83" s="769"/>
      <c r="B83" s="769"/>
      <c r="C83" s="769"/>
      <c r="D83" s="769"/>
      <c r="E83" s="188"/>
      <c r="F83" s="777"/>
      <c r="G83" s="777"/>
      <c r="H83" s="769"/>
      <c r="I83" s="769"/>
      <c r="J83" s="769"/>
      <c r="K83" s="769"/>
      <c r="L83" s="769"/>
      <c r="Y83"/>
      <c r="Z83"/>
      <c r="AD83" s="406"/>
      <c r="AE83" s="424"/>
      <c r="AF83" s="424"/>
      <c r="AG83" s="424"/>
      <c r="AH83" s="424"/>
      <c r="CY83"/>
      <c r="CZ83"/>
      <c r="DF83" s="455"/>
      <c r="DG83" s="455"/>
    </row>
    <row r="84" spans="1:111">
      <c r="A84" s="769"/>
      <c r="B84" s="769"/>
      <c r="C84" s="769"/>
      <c r="D84" s="769"/>
      <c r="E84" s="188"/>
      <c r="F84" s="188"/>
      <c r="G84" s="188"/>
      <c r="H84" s="769"/>
      <c r="I84" s="769"/>
      <c r="J84" s="769"/>
      <c r="K84" s="769"/>
      <c r="L84" s="769"/>
    </row>
    <row r="85" spans="1:111">
      <c r="A85" s="769"/>
      <c r="B85" s="769"/>
      <c r="C85" s="769"/>
      <c r="D85" s="769"/>
      <c r="E85" s="188"/>
      <c r="F85" s="188"/>
      <c r="G85" s="188"/>
      <c r="H85" s="769"/>
      <c r="I85" s="769"/>
      <c r="J85" s="769"/>
      <c r="K85" s="769"/>
      <c r="L85" s="769"/>
    </row>
    <row r="86" spans="1:111">
      <c r="A86" s="769"/>
      <c r="B86" s="769"/>
      <c r="C86" s="769"/>
      <c r="D86" s="769"/>
      <c r="E86" s="769"/>
      <c r="F86" s="769"/>
      <c r="G86" s="769"/>
      <c r="H86" s="769"/>
      <c r="I86" s="769"/>
      <c r="J86" s="769"/>
      <c r="K86" s="769"/>
      <c r="L86" s="769"/>
    </row>
  </sheetData>
  <sheetProtection sheet="1" objects="1" scenarios="1"/>
  <mergeCells count="116">
    <mergeCell ref="A55:C55"/>
    <mergeCell ref="M53:U53"/>
    <mergeCell ref="V53:X53"/>
    <mergeCell ref="M54:U54"/>
    <mergeCell ref="V54:X54"/>
    <mergeCell ref="A53:C53"/>
    <mergeCell ref="A49:H49"/>
    <mergeCell ref="I49:K49"/>
    <mergeCell ref="I50:K50"/>
    <mergeCell ref="A54:C54"/>
    <mergeCell ref="V48:X48"/>
    <mergeCell ref="M49:U49"/>
    <mergeCell ref="V49:X49"/>
    <mergeCell ref="M50:U50"/>
    <mergeCell ref="V50:X50"/>
    <mergeCell ref="M51:U51"/>
    <mergeCell ref="V51:X51"/>
    <mergeCell ref="M52:U52"/>
    <mergeCell ref="V52:X52"/>
    <mergeCell ref="A48:H48"/>
    <mergeCell ref="I48:K48"/>
    <mergeCell ref="A44:G44"/>
    <mergeCell ref="I44:K44"/>
    <mergeCell ref="A45:G45"/>
    <mergeCell ref="I45:K45"/>
    <mergeCell ref="M44:U44"/>
    <mergeCell ref="A47:H47"/>
    <mergeCell ref="I47:K47"/>
    <mergeCell ref="M48:U48"/>
    <mergeCell ref="V44:X44"/>
    <mergeCell ref="M45:U45"/>
    <mergeCell ref="V45:X45"/>
    <mergeCell ref="M46:X46"/>
    <mergeCell ref="M47:U47"/>
    <mergeCell ref="V47:X47"/>
    <mergeCell ref="A42:G42"/>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S5:X5"/>
    <mergeCell ref="S6:X6"/>
    <mergeCell ref="S8:U8"/>
    <mergeCell ref="V8:X8"/>
    <mergeCell ref="A3:X3"/>
    <mergeCell ref="N6:N7"/>
    <mergeCell ref="O6:O7"/>
    <mergeCell ref="B2:E2"/>
    <mergeCell ref="E4:G4"/>
    <mergeCell ref="K4:L4"/>
    <mergeCell ref="A5:R5"/>
    <mergeCell ref="A4:D4"/>
    <mergeCell ref="I8:J8"/>
    <mergeCell ref="K8:R8"/>
    <mergeCell ref="I6:I7"/>
    <mergeCell ref="J6:J7"/>
  </mergeCells>
  <phoneticPr fontId="5" type="noConversion"/>
  <conditionalFormatting sqref="E20">
    <cfRule type="expression" dxfId="495" priority="41">
      <formula>OR($D19="pæd.dag")</formula>
    </cfRule>
    <cfRule type="expression" dxfId="494" priority="42">
      <formula>OR($D19="nul-dag")</formula>
    </cfRule>
    <cfRule type="expression" dxfId="493" priority="43">
      <formula>OR($D19="SH-dag")</formula>
    </cfRule>
    <cfRule type="expression" dxfId="492" priority="44">
      <formula>OR($D19="ekskursion")</formula>
    </cfRule>
    <cfRule type="expression" dxfId="491" priority="45">
      <formula>OR($D19="lejrskole")</formula>
    </cfRule>
    <cfRule type="expression" dxfId="490" priority="46">
      <formula>OR($D19="emnedag")</formula>
    </cfRule>
    <cfRule type="expression" dxfId="489" priority="47">
      <formula>OR($D19="fagdag")</formula>
    </cfRule>
    <cfRule type="expression" dxfId="488" priority="48">
      <formula>OR($D19="feriedag")</formula>
    </cfRule>
    <cfRule type="expression" dxfId="487" priority="49">
      <formula>OR($D19="weekend")</formula>
    </cfRule>
    <cfRule type="expression" dxfId="486" priority="50" stopIfTrue="1">
      <formula>OR($D19="skoledag")</formula>
    </cfRule>
  </conditionalFormatting>
  <conditionalFormatting sqref="E20">
    <cfRule type="expression" dxfId="485" priority="51">
      <formula>OR($D19="Ikke relevant")</formula>
    </cfRule>
  </conditionalFormatting>
  <conditionalFormatting sqref="K9:M38">
    <cfRule type="expression" dxfId="484" priority="21">
      <formula>OR($C9="fagdag",)</formula>
    </cfRule>
    <cfRule type="expression" dxfId="483" priority="22">
      <formula>OR($C9="emnedag",)</formula>
    </cfRule>
  </conditionalFormatting>
  <conditionalFormatting sqref="K9:K38">
    <cfRule type="expression" dxfId="482" priority="23">
      <formula>OR($C9="Pæd.dag",)</formula>
    </cfRule>
  </conditionalFormatting>
  <conditionalFormatting sqref="K9:L38">
    <cfRule type="expression" dxfId="481" priority="24">
      <formula>OR($C9="Lejrskole",)</formula>
    </cfRule>
    <cfRule type="expression" dxfId="480" priority="25">
      <formula>OR($C9="Ekskursion",)</formula>
    </cfRule>
  </conditionalFormatting>
  <conditionalFormatting sqref="R9:R38">
    <cfRule type="expression" dxfId="479" priority="52">
      <formula>OR($H9&gt;"0",)</formula>
    </cfRule>
  </conditionalFormatting>
  <conditionalFormatting sqref="A9:H38">
    <cfRule type="expression" dxfId="478" priority="26">
      <formula>OR($C9="Skema 1")</formula>
    </cfRule>
    <cfRule type="expression" dxfId="477" priority="27">
      <formula>OR($C9="skema 2")</formula>
    </cfRule>
    <cfRule type="expression" dxfId="476" priority="28">
      <formula>OR($C9="Skema 3")</formula>
    </cfRule>
    <cfRule type="expression" dxfId="475" priority="29">
      <formula>OR($C9="Skema 4")</formula>
    </cfRule>
    <cfRule type="expression" dxfId="474" priority="30">
      <formula>OR($C9="Ikke relevant")</formula>
    </cfRule>
    <cfRule type="expression" dxfId="473" priority="31">
      <formula>OR($C9="pæd.dag")</formula>
    </cfRule>
    <cfRule type="expression" dxfId="472" priority="32">
      <formula>OR($C9="nul-dag")</formula>
    </cfRule>
    <cfRule type="expression" dxfId="471" priority="33">
      <formula>OR($C9="SH-dag")</formula>
    </cfRule>
    <cfRule type="expression" dxfId="470" priority="34">
      <formula>OR($C9="ekskursion")</formula>
    </cfRule>
    <cfRule type="expression" dxfId="469" priority="35">
      <formula>OR($C9="lejrskole")</formula>
    </cfRule>
    <cfRule type="expression" dxfId="468" priority="36">
      <formula>OR($C9="emnedag")</formula>
    </cfRule>
    <cfRule type="expression" dxfId="467" priority="37">
      <formula>OR($C9="fagdag")</formula>
    </cfRule>
    <cfRule type="expression" dxfId="466" priority="38">
      <formula>OR($C9="feriedag")</formula>
    </cfRule>
    <cfRule type="expression" dxfId="465" priority="39">
      <formula>OR($C9="weekend")</formula>
    </cfRule>
    <cfRule type="expression" dxfId="464" priority="40" stopIfTrue="1">
      <formula>OR($C9="Orlov")</formula>
    </cfRule>
  </conditionalFormatting>
  <conditionalFormatting sqref="V9:V38">
    <cfRule type="expression" dxfId="463" priority="3">
      <formula>OR($S9="X",)</formula>
    </cfRule>
  </conditionalFormatting>
  <conditionalFormatting sqref="X9:X38">
    <cfRule type="expression" dxfId="462" priority="2">
      <formula>OR($U9="X",)</formula>
    </cfRule>
  </conditionalFormatting>
  <conditionalFormatting sqref="W9:W38">
    <cfRule type="expression" dxfId="461" priority="1">
      <formula>OR($T9="X",)</formula>
    </cfRule>
  </conditionalFormatting>
  <dataValidations count="3">
    <dataValidation type="list" allowBlank="1" showInputMessage="1" showErrorMessage="1" sqref="S9:U38"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1:I12 I18:I19 I25:I26 I32:I33"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August!$A$79:$A$93</xm:f>
          </x14:formula1>
          <xm:sqref>C9:C38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HC86"/>
  <sheetViews>
    <sheetView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7</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506"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Juli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f>Januar!A6</f>
        <v>2023</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1" customHeight="1">
      <c r="A7" s="1078" t="s">
        <v>338</v>
      </c>
      <c r="B7" s="1079"/>
      <c r="C7" s="1079"/>
      <c r="D7" s="1080"/>
      <c r="E7" s="1095"/>
      <c r="F7" s="1096"/>
      <c r="G7" s="1097"/>
      <c r="H7" s="1087" t="s">
        <v>395</v>
      </c>
      <c r="I7" s="1077"/>
      <c r="J7" s="1459"/>
      <c r="K7" s="568" t="s">
        <v>356</v>
      </c>
      <c r="L7" s="568" t="s">
        <v>357</v>
      </c>
      <c r="M7" s="568" t="s">
        <v>624</v>
      </c>
      <c r="N7" s="1059"/>
      <c r="O7" s="1059"/>
      <c r="P7" s="1059"/>
      <c r="Q7" s="1059"/>
      <c r="R7" s="1193"/>
      <c r="S7" s="896"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31"/>
      <c r="BB8" s="420"/>
      <c r="CA8" s="180"/>
      <c r="CB8" s="430"/>
      <c r="CC8" s="531"/>
      <c r="CX8" s="455"/>
      <c r="DA8" s="455"/>
      <c r="DB8" s="455"/>
      <c r="DC8" s="455"/>
      <c r="DD8" s="455"/>
      <c r="DE8" s="455"/>
      <c r="DF8" s="455"/>
      <c r="DG8" s="455"/>
    </row>
    <row r="9" spans="1:211">
      <c r="A9" s="443">
        <f>IF(ISNUMBER(A7),A7+1,1)</f>
        <v>1</v>
      </c>
      <c r="B9" s="218" t="str">
        <f t="shared" ref="B9:B39" si="0">CHOOSE(MOD(WEEKDAY(DATE(A$6,A$2,A9)),7)+1,"lø","sø","ma","ti","on","to","fr",)</f>
        <v>lø</v>
      </c>
      <c r="C9" s="219" t="s">
        <v>138</v>
      </c>
      <c r="D9" s="220" t="str">
        <f t="shared" ref="D9:D39" si="1">IF(B9="ma",(DATE(A$6,A$2,A9)-DATE(A$6,1,1)+7)/7,"")</f>
        <v/>
      </c>
      <c r="E9" s="906"/>
      <c r="F9" s="907"/>
      <c r="G9" s="908"/>
      <c r="H9" s="526"/>
      <c r="I9" s="726"/>
      <c r="J9" s="726"/>
      <c r="K9" s="669"/>
      <c r="L9" s="669"/>
      <c r="M9" s="669"/>
      <c r="N9" s="557">
        <f>BA9</f>
        <v>0</v>
      </c>
      <c r="O9" s="557">
        <f>CA9</f>
        <v>0</v>
      </c>
      <c r="P9" s="557">
        <f>IF(Stamoplysninger!$H$29="JA",Juli!DG9,CX9)</f>
        <v>0</v>
      </c>
      <c r="Q9" s="557">
        <f>IF(OR(C9="Lejrskole",C9="Ekskursion"),0,N9-O9-P9)</f>
        <v>0</v>
      </c>
      <c r="R9" s="558"/>
      <c r="S9" s="564"/>
      <c r="T9" s="565"/>
      <c r="U9" s="565"/>
      <c r="V9" s="559"/>
      <c r="W9" s="763"/>
      <c r="X9" s="560"/>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0</v>
      </c>
      <c r="BB9" s="421">
        <f t="shared" ref="BB9:BB39" si="8">SUM(AG9:AK9)*24</f>
        <v>0</v>
      </c>
      <c r="BC9" s="1">
        <f>IF($C$9="Lejrskole",$L$9,0)</f>
        <v>0</v>
      </c>
      <c r="BD9" s="1">
        <f t="shared" ref="BD9:BD39" si="9">IF(C9="Ekskursion",L9,0)</f>
        <v>0</v>
      </c>
      <c r="BE9" s="1">
        <f t="shared" ref="BE9:BE39" si="10">IF(C9="fagdag",L9,0)</f>
        <v>0</v>
      </c>
      <c r="BF9" s="1">
        <f t="shared" ref="BF9:BF39" si="11">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0</v>
      </c>
      <c r="CB9" s="1">
        <f t="shared" ref="CB9:CB39" si="12">IF(C9="fagdag",M9,0)</f>
        <v>0</v>
      </c>
      <c r="CC9" s="1">
        <f t="shared" ref="CC9:CC39" si="13">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v>
      </c>
      <c r="CY9" s="457">
        <f>IF(C9="Skema 1",Stamoplysninger!$H$30/200,0)</f>
        <v>0</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0</v>
      </c>
    </row>
    <row r="10" spans="1:211">
      <c r="A10" s="443">
        <f t="shared" ref="A10:A38" si="14">IF(ISNUMBER(A9),A9+1,1)</f>
        <v>2</v>
      </c>
      <c r="B10" s="218" t="str">
        <f t="shared" si="0"/>
        <v>sø</v>
      </c>
      <c r="C10" s="219" t="s">
        <v>138</v>
      </c>
      <c r="D10" s="220" t="str">
        <f t="shared" si="1"/>
        <v/>
      </c>
      <c r="E10" s="906"/>
      <c r="F10" s="907"/>
      <c r="G10" s="908"/>
      <c r="H10" s="526"/>
      <c r="I10" s="726"/>
      <c r="J10" s="726"/>
      <c r="K10" s="669"/>
      <c r="L10" s="669"/>
      <c r="M10" s="669"/>
      <c r="N10" s="557">
        <f t="shared" ref="N10:N39" si="15">BA10</f>
        <v>0</v>
      </c>
      <c r="O10" s="557">
        <f t="shared" ref="O10:O39" si="16">CA10</f>
        <v>0</v>
      </c>
      <c r="P10" s="557">
        <f>IF(Stamoplysninger!$H$29="JA",Juli!DG10,CX10)</f>
        <v>0</v>
      </c>
      <c r="Q10" s="557">
        <f t="shared" ref="Q10:Q39" si="17">IF(OR(C10="Lejrskole",C10="Ekskursion"),0,N10-O10-P10)</f>
        <v>0</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0</v>
      </c>
      <c r="BB10" s="421">
        <f t="shared" si="8"/>
        <v>0</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0</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v>
      </c>
      <c r="CY10" s="457">
        <f>IF(C10="Skema 1",Stamoplysninger!$H$30/200,0)</f>
        <v>0</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0</v>
      </c>
    </row>
    <row r="11" spans="1:211">
      <c r="A11" s="443">
        <f t="shared" si="14"/>
        <v>3</v>
      </c>
      <c r="B11" s="218" t="str">
        <f t="shared" si="0"/>
        <v>ma</v>
      </c>
      <c r="C11" s="219" t="s">
        <v>147</v>
      </c>
      <c r="D11" s="220">
        <f t="shared" si="1"/>
        <v>27.142857142857142</v>
      </c>
      <c r="E11" s="906"/>
      <c r="F11" s="907"/>
      <c r="G11" s="908"/>
      <c r="H11" s="526"/>
      <c r="I11" s="855"/>
      <c r="J11" s="726"/>
      <c r="K11" s="669"/>
      <c r="L11" s="669"/>
      <c r="M11" s="669"/>
      <c r="N11" s="557">
        <f t="shared" si="15"/>
        <v>0</v>
      </c>
      <c r="O11" s="557">
        <f t="shared" si="16"/>
        <v>0</v>
      </c>
      <c r="P11" s="557">
        <f>IF(Stamoplysninger!$H$29="JA",Juli!DG11,CX11)</f>
        <v>0</v>
      </c>
      <c r="Q11" s="557">
        <f t="shared" si="17"/>
        <v>0</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8"/>
        <v>0</v>
      </c>
      <c r="BC11" s="1">
        <f t="shared" si="20"/>
        <v>0</v>
      </c>
      <c r="BD11" s="1">
        <f t="shared" si="9"/>
        <v>0</v>
      </c>
      <c r="BE11" s="1">
        <f t="shared" si="10"/>
        <v>0</v>
      </c>
      <c r="BF11" s="1">
        <f t="shared" si="11"/>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2"/>
        <v>0</v>
      </c>
      <c r="CC11" s="1">
        <f t="shared" si="13"/>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4"/>
        <v>4</v>
      </c>
      <c r="B12" s="218" t="str">
        <f t="shared" si="0"/>
        <v>ti</v>
      </c>
      <c r="C12" s="219" t="s">
        <v>147</v>
      </c>
      <c r="D12" s="220" t="str">
        <f t="shared" si="1"/>
        <v/>
      </c>
      <c r="E12" s="906"/>
      <c r="F12" s="907"/>
      <c r="G12" s="908"/>
      <c r="H12" s="526"/>
      <c r="I12" s="855"/>
      <c r="J12" s="726"/>
      <c r="K12" s="669"/>
      <c r="L12" s="669"/>
      <c r="M12" s="669"/>
      <c r="N12" s="557">
        <f t="shared" si="15"/>
        <v>0</v>
      </c>
      <c r="O12" s="557">
        <f t="shared" si="16"/>
        <v>0</v>
      </c>
      <c r="P12" s="557">
        <f>IF(Stamoplysninger!$H$29="JA",Juli!DG12,CX12)</f>
        <v>0</v>
      </c>
      <c r="Q12" s="557">
        <f t="shared" si="17"/>
        <v>0</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8"/>
        <v>0</v>
      </c>
      <c r="BC12" s="1">
        <f t="shared" si="20"/>
        <v>0</v>
      </c>
      <c r="BD12" s="1">
        <f t="shared" si="9"/>
        <v>0</v>
      </c>
      <c r="BE12" s="1">
        <f t="shared" si="10"/>
        <v>0</v>
      </c>
      <c r="BF12" s="1">
        <f t="shared" si="11"/>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2"/>
        <v>0</v>
      </c>
      <c r="CC12" s="1">
        <f t="shared" si="13"/>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4"/>
        <v>5</v>
      </c>
      <c r="B13" s="218" t="str">
        <f t="shared" si="0"/>
        <v>on</v>
      </c>
      <c r="C13" s="219" t="s">
        <v>147</v>
      </c>
      <c r="D13" s="220" t="str">
        <f t="shared" si="1"/>
        <v/>
      </c>
      <c r="E13" s="906"/>
      <c r="F13" s="907"/>
      <c r="G13" s="908"/>
      <c r="H13" s="526"/>
      <c r="I13" s="855"/>
      <c r="J13" s="726"/>
      <c r="K13" s="669"/>
      <c r="L13" s="669"/>
      <c r="M13" s="669"/>
      <c r="N13" s="557">
        <f t="shared" si="15"/>
        <v>0</v>
      </c>
      <c r="O13" s="557">
        <f t="shared" si="16"/>
        <v>0</v>
      </c>
      <c r="P13" s="557">
        <f>IF(Stamoplysninger!$H$29="JA",Juli!DG13,CX13)</f>
        <v>0</v>
      </c>
      <c r="Q13" s="557">
        <f t="shared" si="17"/>
        <v>0</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8"/>
        <v>0</v>
      </c>
      <c r="BC13" s="1">
        <f t="shared" si="20"/>
        <v>0</v>
      </c>
      <c r="BD13" s="1">
        <f t="shared" si="9"/>
        <v>0</v>
      </c>
      <c r="BE13" s="1">
        <f t="shared" si="10"/>
        <v>0</v>
      </c>
      <c r="BF13" s="1">
        <f t="shared" si="11"/>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2"/>
        <v>0</v>
      </c>
      <c r="CC13" s="1">
        <f t="shared" si="13"/>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4"/>
        <v>6</v>
      </c>
      <c r="B14" s="218" t="str">
        <f t="shared" si="0"/>
        <v>to</v>
      </c>
      <c r="C14" s="219" t="s">
        <v>245</v>
      </c>
      <c r="D14" s="220" t="str">
        <f t="shared" si="1"/>
        <v/>
      </c>
      <c r="E14" s="906" t="s">
        <v>121</v>
      </c>
      <c r="F14" s="907"/>
      <c r="G14" s="908"/>
      <c r="H14" s="526"/>
      <c r="I14" s="855"/>
      <c r="J14" s="726"/>
      <c r="K14" s="669"/>
      <c r="L14" s="669"/>
      <c r="M14" s="669"/>
      <c r="N14" s="557">
        <f t="shared" si="15"/>
        <v>0</v>
      </c>
      <c r="O14" s="557">
        <f t="shared" si="16"/>
        <v>0</v>
      </c>
      <c r="P14" s="557">
        <f>IF(Stamoplysninger!$H$29="JA",Juli!DG14,CX14)</f>
        <v>0</v>
      </c>
      <c r="Q14" s="557">
        <f t="shared" si="17"/>
        <v>0</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0</v>
      </c>
      <c r="BB14" s="421">
        <f t="shared" si="8"/>
        <v>0</v>
      </c>
      <c r="BC14" s="1">
        <f t="shared" si="20"/>
        <v>0</v>
      </c>
      <c r="BD14" s="1">
        <f t="shared" si="9"/>
        <v>0</v>
      </c>
      <c r="BE14" s="1">
        <f t="shared" si="10"/>
        <v>0</v>
      </c>
      <c r="BF14" s="1">
        <f t="shared" si="11"/>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0</v>
      </c>
      <c r="CB14" s="1">
        <f t="shared" si="12"/>
        <v>0</v>
      </c>
      <c r="CC14" s="1">
        <f t="shared" si="13"/>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0</v>
      </c>
    </row>
    <row r="15" spans="1:211" ht="16" customHeight="1">
      <c r="A15" s="443">
        <f t="shared" si="14"/>
        <v>7</v>
      </c>
      <c r="B15" s="218" t="str">
        <f t="shared" si="0"/>
        <v>fr</v>
      </c>
      <c r="C15" s="219" t="s">
        <v>245</v>
      </c>
      <c r="D15" s="220" t="str">
        <f t="shared" si="1"/>
        <v/>
      </c>
      <c r="E15" s="906" t="s">
        <v>121</v>
      </c>
      <c r="F15" s="907"/>
      <c r="G15" s="908"/>
      <c r="H15" s="526"/>
      <c r="I15" s="855"/>
      <c r="J15" s="726"/>
      <c r="K15" s="669"/>
      <c r="L15" s="669"/>
      <c r="M15" s="669"/>
      <c r="N15" s="557">
        <f t="shared" si="15"/>
        <v>0</v>
      </c>
      <c r="O15" s="557">
        <f t="shared" si="16"/>
        <v>0</v>
      </c>
      <c r="P15" s="557">
        <f>IF(Stamoplysninger!$H$29="JA",Juli!DG15,CX15)</f>
        <v>0</v>
      </c>
      <c r="Q15" s="557">
        <f t="shared" si="17"/>
        <v>0</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0</v>
      </c>
      <c r="BB15" s="421">
        <f t="shared" si="8"/>
        <v>0</v>
      </c>
      <c r="BC15" s="1">
        <f t="shared" si="20"/>
        <v>0</v>
      </c>
      <c r="BD15" s="1">
        <f t="shared" si="9"/>
        <v>0</v>
      </c>
      <c r="BE15" s="1">
        <f t="shared" si="10"/>
        <v>0</v>
      </c>
      <c r="BF15" s="1">
        <f t="shared" si="11"/>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0</v>
      </c>
      <c r="CB15" s="1">
        <f t="shared" si="12"/>
        <v>0</v>
      </c>
      <c r="CC15" s="1">
        <f t="shared" si="13"/>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0</v>
      </c>
    </row>
    <row r="16" spans="1:211">
      <c r="A16" s="443">
        <f t="shared" si="14"/>
        <v>8</v>
      </c>
      <c r="B16" s="218" t="str">
        <f t="shared" si="0"/>
        <v>lø</v>
      </c>
      <c r="C16" s="219" t="s">
        <v>138</v>
      </c>
      <c r="D16" s="220" t="str">
        <f t="shared" si="1"/>
        <v/>
      </c>
      <c r="E16" s="906"/>
      <c r="F16" s="907"/>
      <c r="G16" s="908"/>
      <c r="H16" s="526"/>
      <c r="I16" s="726"/>
      <c r="J16" s="726"/>
      <c r="K16" s="669"/>
      <c r="L16" s="669"/>
      <c r="M16" s="669"/>
      <c r="N16" s="557">
        <f t="shared" si="15"/>
        <v>0</v>
      </c>
      <c r="O16" s="557">
        <f t="shared" si="16"/>
        <v>0</v>
      </c>
      <c r="P16" s="557">
        <f>IF(Stamoplysninger!$H$29="JA",Juli!DG16,CX16)</f>
        <v>0</v>
      </c>
      <c r="Q16" s="557">
        <f t="shared" si="17"/>
        <v>0</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0</v>
      </c>
      <c r="BB16" s="421">
        <f t="shared" si="8"/>
        <v>0</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0</v>
      </c>
      <c r="CB16" s="1">
        <f t="shared" si="12"/>
        <v>0</v>
      </c>
      <c r="CC16" s="1">
        <f t="shared" si="13"/>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0</v>
      </c>
    </row>
    <row r="17" spans="1:111">
      <c r="A17" s="443">
        <f t="shared" si="14"/>
        <v>9</v>
      </c>
      <c r="B17" s="218" t="str">
        <f t="shared" si="0"/>
        <v>sø</v>
      </c>
      <c r="C17" s="219" t="s">
        <v>138</v>
      </c>
      <c r="D17" s="220" t="str">
        <f t="shared" si="1"/>
        <v/>
      </c>
      <c r="E17" s="906"/>
      <c r="F17" s="907"/>
      <c r="G17" s="908"/>
      <c r="H17" s="526"/>
      <c r="I17" s="726"/>
      <c r="J17" s="726"/>
      <c r="K17" s="669"/>
      <c r="L17" s="669"/>
      <c r="M17" s="669"/>
      <c r="N17" s="557">
        <f t="shared" si="15"/>
        <v>0</v>
      </c>
      <c r="O17" s="557">
        <f t="shared" si="16"/>
        <v>0</v>
      </c>
      <c r="P17" s="557">
        <f>IF(Stamoplysninger!$H$29="JA",Juli!DG17,CX17)</f>
        <v>0</v>
      </c>
      <c r="Q17" s="557">
        <f t="shared" si="17"/>
        <v>0</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0</v>
      </c>
      <c r="BB17" s="421">
        <f t="shared" si="8"/>
        <v>0</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0</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0</v>
      </c>
    </row>
    <row r="18" spans="1:111">
      <c r="A18" s="443">
        <f t="shared" si="14"/>
        <v>10</v>
      </c>
      <c r="B18" s="218" t="str">
        <f t="shared" si="0"/>
        <v>ma</v>
      </c>
      <c r="C18" s="219" t="s">
        <v>245</v>
      </c>
      <c r="D18" s="220">
        <f t="shared" si="1"/>
        <v>28.142857142857142</v>
      </c>
      <c r="E18" s="906" t="s">
        <v>121</v>
      </c>
      <c r="F18" s="907"/>
      <c r="G18" s="908"/>
      <c r="H18" s="526"/>
      <c r="I18" s="855"/>
      <c r="J18" s="726"/>
      <c r="K18" s="669"/>
      <c r="L18" s="669"/>
      <c r="M18" s="669"/>
      <c r="N18" s="557">
        <f t="shared" si="15"/>
        <v>0</v>
      </c>
      <c r="O18" s="557">
        <f t="shared" si="16"/>
        <v>0</v>
      </c>
      <c r="P18" s="557">
        <f>IF(Stamoplysninger!$H$29="JA",Juli!DG18,CX18)</f>
        <v>0</v>
      </c>
      <c r="Q18" s="557">
        <f t="shared" si="17"/>
        <v>0</v>
      </c>
      <c r="R18" s="558"/>
      <c r="S18" s="564"/>
      <c r="T18" s="565"/>
      <c r="U18" s="565"/>
      <c r="V18" s="559"/>
      <c r="W18" s="763"/>
      <c r="X18" s="560"/>
      <c r="Y18">
        <f t="shared" si="18"/>
        <v>0</v>
      </c>
      <c r="Z18">
        <f t="shared" si="2"/>
        <v>0</v>
      </c>
      <c r="AA18" s="1">
        <f t="shared" si="3"/>
        <v>0</v>
      </c>
      <c r="AB18" s="1">
        <f t="shared" si="4"/>
        <v>0</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0</v>
      </c>
      <c r="BB18" s="421">
        <f t="shared" si="8"/>
        <v>0</v>
      </c>
      <c r="BC18" s="1">
        <f t="shared" si="20"/>
        <v>0</v>
      </c>
      <c r="BD18" s="1">
        <f t="shared" si="9"/>
        <v>0</v>
      </c>
      <c r="BE18" s="1">
        <f t="shared" si="10"/>
        <v>0</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0</v>
      </c>
      <c r="CB18" s="1">
        <f t="shared" si="12"/>
        <v>0</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v>
      </c>
      <c r="CY18" s="457">
        <f>IF(C18="Skema 1",Stamoplysninger!$H$30/200,0)</f>
        <v>0</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0</v>
      </c>
    </row>
    <row r="19" spans="1:111">
      <c r="A19" s="443">
        <f t="shared" si="14"/>
        <v>11</v>
      </c>
      <c r="B19" s="218" t="str">
        <f t="shared" si="0"/>
        <v>ti</v>
      </c>
      <c r="C19" s="219" t="s">
        <v>245</v>
      </c>
      <c r="D19" s="220" t="str">
        <f t="shared" si="1"/>
        <v/>
      </c>
      <c r="E19" s="906" t="s">
        <v>121</v>
      </c>
      <c r="F19" s="907"/>
      <c r="G19" s="908"/>
      <c r="H19" s="526"/>
      <c r="I19" s="855"/>
      <c r="J19" s="726"/>
      <c r="K19" s="669"/>
      <c r="L19" s="669"/>
      <c r="M19" s="669"/>
      <c r="N19" s="557">
        <f t="shared" si="15"/>
        <v>0</v>
      </c>
      <c r="O19" s="557">
        <f t="shared" si="16"/>
        <v>0</v>
      </c>
      <c r="P19" s="557">
        <f>IF(Stamoplysninger!$H$29="JA",Juli!DG19,CX19)</f>
        <v>0</v>
      </c>
      <c r="Q19" s="557">
        <f t="shared" si="17"/>
        <v>0</v>
      </c>
      <c r="R19" s="558"/>
      <c r="S19" s="564"/>
      <c r="T19" s="565"/>
      <c r="U19" s="565"/>
      <c r="V19" s="559"/>
      <c r="W19" s="763"/>
      <c r="X19" s="560"/>
      <c r="Y19">
        <f t="shared" si="18"/>
        <v>0</v>
      </c>
      <c r="Z19">
        <f t="shared" si="2"/>
        <v>0</v>
      </c>
      <c r="AA19" s="1">
        <f t="shared" si="3"/>
        <v>0</v>
      </c>
      <c r="AB19" s="1">
        <f t="shared" si="4"/>
        <v>0</v>
      </c>
      <c r="AC19" s="1">
        <f t="shared" si="5"/>
        <v>0</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0</v>
      </c>
      <c r="BB19" s="421">
        <f t="shared" si="8"/>
        <v>0</v>
      </c>
      <c r="BC19" s="1">
        <f t="shared" si="20"/>
        <v>0</v>
      </c>
      <c r="BD19" s="1">
        <f t="shared" si="9"/>
        <v>0</v>
      </c>
      <c r="BE19" s="1">
        <f t="shared" si="10"/>
        <v>0</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2"/>
        <v>0</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on</v>
      </c>
      <c r="C20" s="219" t="s">
        <v>245</v>
      </c>
      <c r="D20" s="220" t="str">
        <f t="shared" si="1"/>
        <v/>
      </c>
      <c r="E20" s="906" t="s">
        <v>121</v>
      </c>
      <c r="F20" s="907"/>
      <c r="G20" s="908"/>
      <c r="H20" s="526"/>
      <c r="I20" s="855"/>
      <c r="J20" s="726"/>
      <c r="K20" s="669"/>
      <c r="L20" s="669"/>
      <c r="M20" s="669"/>
      <c r="N20" s="557">
        <f t="shared" si="15"/>
        <v>0</v>
      </c>
      <c r="O20" s="557">
        <f t="shared" si="16"/>
        <v>0</v>
      </c>
      <c r="P20" s="557">
        <f>IF(Stamoplysninger!$H$29="JA",Juli!DG20,CX20)</f>
        <v>0</v>
      </c>
      <c r="Q20" s="557">
        <f t="shared" si="17"/>
        <v>0</v>
      </c>
      <c r="R20" s="558"/>
      <c r="S20" s="564"/>
      <c r="T20" s="565"/>
      <c r="U20" s="565"/>
      <c r="V20" s="559"/>
      <c r="W20" s="763"/>
      <c r="X20" s="560"/>
      <c r="Y20">
        <f t="shared" si="18"/>
        <v>0</v>
      </c>
      <c r="Z20">
        <f t="shared" si="2"/>
        <v>0</v>
      </c>
      <c r="AA20" s="1">
        <f t="shared" si="3"/>
        <v>0</v>
      </c>
      <c r="AB20" s="1">
        <f t="shared" si="4"/>
        <v>0</v>
      </c>
      <c r="AC20" s="1">
        <f t="shared" si="5"/>
        <v>0</v>
      </c>
      <c r="AD20" s="1">
        <f t="shared" si="6"/>
        <v>0</v>
      </c>
      <c r="AE20" s="1">
        <f t="shared" si="7"/>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0</v>
      </c>
      <c r="BB20" s="421">
        <f t="shared" si="8"/>
        <v>0</v>
      </c>
      <c r="BC20" s="1">
        <f t="shared" si="20"/>
        <v>0</v>
      </c>
      <c r="BD20" s="1">
        <f t="shared" si="9"/>
        <v>0</v>
      </c>
      <c r="BE20" s="1">
        <f t="shared" si="10"/>
        <v>0</v>
      </c>
      <c r="BF20" s="1">
        <f t="shared" si="11"/>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0</v>
      </c>
      <c r="CB20" s="1">
        <f t="shared" si="12"/>
        <v>0</v>
      </c>
      <c r="CC20" s="1">
        <f t="shared" si="13"/>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v>
      </c>
      <c r="CY20" s="457">
        <f>IF(C20="Skema 1",Stamoplysninger!$H$30/200,0)</f>
        <v>0</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0</v>
      </c>
    </row>
    <row r="21" spans="1:111">
      <c r="A21" s="443">
        <f>IF(ISNUMBER(A20),A20+1,1)</f>
        <v>13</v>
      </c>
      <c r="B21" s="218" t="str">
        <f t="shared" si="0"/>
        <v>to</v>
      </c>
      <c r="C21" s="219" t="s">
        <v>245</v>
      </c>
      <c r="D21" s="220" t="str">
        <f t="shared" si="1"/>
        <v/>
      </c>
      <c r="E21" s="906" t="s">
        <v>121</v>
      </c>
      <c r="F21" s="907"/>
      <c r="G21" s="908"/>
      <c r="H21" s="525"/>
      <c r="I21" s="855"/>
      <c r="J21" s="726"/>
      <c r="K21" s="669"/>
      <c r="L21" s="669"/>
      <c r="M21" s="669"/>
      <c r="N21" s="557">
        <f t="shared" si="15"/>
        <v>0</v>
      </c>
      <c r="O21" s="557">
        <f t="shared" si="16"/>
        <v>0</v>
      </c>
      <c r="P21" s="557">
        <f>IF(Stamoplysninger!$H$29="JA",Juli!DG21,CX21)</f>
        <v>0</v>
      </c>
      <c r="Q21" s="557">
        <f t="shared" si="17"/>
        <v>0</v>
      </c>
      <c r="R21" s="558"/>
      <c r="S21" s="564"/>
      <c r="T21" s="565"/>
      <c r="U21" s="565"/>
      <c r="V21" s="559"/>
      <c r="W21" s="763"/>
      <c r="X21" s="560"/>
      <c r="Y21">
        <f t="shared" si="18"/>
        <v>0</v>
      </c>
      <c r="Z21">
        <f t="shared" si="2"/>
        <v>0</v>
      </c>
      <c r="AA21" s="1">
        <f t="shared" si="3"/>
        <v>0</v>
      </c>
      <c r="AB21" s="1">
        <f t="shared" si="4"/>
        <v>0</v>
      </c>
      <c r="AC21" s="1">
        <f t="shared" si="5"/>
        <v>0</v>
      </c>
      <c r="AD21" s="1">
        <f t="shared" si="6"/>
        <v>0</v>
      </c>
      <c r="AE21" s="1">
        <f t="shared" si="7"/>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0</v>
      </c>
      <c r="BB21" s="421">
        <f t="shared" si="8"/>
        <v>0</v>
      </c>
      <c r="BC21" s="1">
        <f t="shared" si="20"/>
        <v>0</v>
      </c>
      <c r="BD21" s="1">
        <f t="shared" si="9"/>
        <v>0</v>
      </c>
      <c r="BE21" s="1">
        <f t="shared" si="10"/>
        <v>0</v>
      </c>
      <c r="BF21" s="1">
        <f t="shared" si="11"/>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0</v>
      </c>
      <c r="CB21" s="1">
        <f t="shared" si="12"/>
        <v>0</v>
      </c>
      <c r="CC21" s="1">
        <f t="shared" si="13"/>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v>
      </c>
      <c r="CY21" s="457">
        <f>IF(C21="Skema 1",Stamoplysninger!$H$30/200,0)</f>
        <v>0</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0</v>
      </c>
    </row>
    <row r="22" spans="1:111">
      <c r="A22" s="443">
        <f t="shared" si="14"/>
        <v>14</v>
      </c>
      <c r="B22" s="218" t="str">
        <f t="shared" si="0"/>
        <v>fr</v>
      </c>
      <c r="C22" s="219" t="s">
        <v>245</v>
      </c>
      <c r="D22" s="220" t="str">
        <f t="shared" si="1"/>
        <v/>
      </c>
      <c r="E22" s="906" t="s">
        <v>121</v>
      </c>
      <c r="F22" s="907"/>
      <c r="G22" s="908"/>
      <c r="H22" s="525"/>
      <c r="I22" s="855"/>
      <c r="J22" s="726"/>
      <c r="K22" s="669"/>
      <c r="L22" s="669"/>
      <c r="M22" s="669"/>
      <c r="N22" s="557">
        <f t="shared" si="15"/>
        <v>0</v>
      </c>
      <c r="O22" s="557">
        <f t="shared" si="16"/>
        <v>0</v>
      </c>
      <c r="P22" s="557">
        <f>IF(Stamoplysninger!$H$29="JA",Juli!DG22,CX22)</f>
        <v>0</v>
      </c>
      <c r="Q22" s="557">
        <f t="shared" si="17"/>
        <v>0</v>
      </c>
      <c r="R22" s="558"/>
      <c r="S22" s="564"/>
      <c r="T22" s="565"/>
      <c r="U22" s="565"/>
      <c r="V22" s="559"/>
      <c r="W22" s="763"/>
      <c r="X22" s="560"/>
      <c r="Y22">
        <f t="shared" si="18"/>
        <v>0</v>
      </c>
      <c r="Z22">
        <f t="shared" si="2"/>
        <v>0</v>
      </c>
      <c r="AA22" s="1">
        <f t="shared" si="3"/>
        <v>0</v>
      </c>
      <c r="AB22" s="1">
        <f t="shared" si="4"/>
        <v>0</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0</v>
      </c>
      <c r="BB22" s="421">
        <f t="shared" si="8"/>
        <v>0</v>
      </c>
      <c r="BC22" s="1">
        <f t="shared" si="20"/>
        <v>0</v>
      </c>
      <c r="BD22" s="1">
        <f t="shared" si="9"/>
        <v>0</v>
      </c>
      <c r="BE22" s="1">
        <f t="shared" si="10"/>
        <v>0</v>
      </c>
      <c r="BF22" s="1">
        <f t="shared" si="11"/>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0</v>
      </c>
      <c r="CB22" s="1">
        <f t="shared" si="12"/>
        <v>0</v>
      </c>
      <c r="CC22" s="1">
        <f t="shared" si="13"/>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v>
      </c>
      <c r="CY22" s="457">
        <f>IF(C22="Skema 1",Stamoplysninger!$H$30/200,0)</f>
        <v>0</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0</v>
      </c>
    </row>
    <row r="23" spans="1:111">
      <c r="A23" s="443">
        <f t="shared" si="14"/>
        <v>15</v>
      </c>
      <c r="B23" s="218" t="str">
        <f t="shared" si="0"/>
        <v>lø</v>
      </c>
      <c r="C23" s="219" t="s">
        <v>138</v>
      </c>
      <c r="D23" s="220" t="str">
        <f t="shared" si="1"/>
        <v/>
      </c>
      <c r="E23" s="906"/>
      <c r="F23" s="907"/>
      <c r="G23" s="908"/>
      <c r="H23" s="525"/>
      <c r="I23" s="726"/>
      <c r="J23" s="726"/>
      <c r="K23" s="669"/>
      <c r="L23" s="669"/>
      <c r="M23" s="669"/>
      <c r="N23" s="557">
        <f t="shared" si="15"/>
        <v>0</v>
      </c>
      <c r="O23" s="557">
        <f t="shared" si="16"/>
        <v>0</v>
      </c>
      <c r="P23" s="557">
        <f>IF(Stamoplysninger!$H$29="JA",Juli!DG23,CX23)</f>
        <v>0</v>
      </c>
      <c r="Q23" s="557">
        <f t="shared" si="17"/>
        <v>0</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0</v>
      </c>
      <c r="BB23" s="421">
        <f t="shared" si="8"/>
        <v>0</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2"/>
        <v>0</v>
      </c>
      <c r="CC23" s="1">
        <f t="shared" si="13"/>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row>
    <row r="24" spans="1:111">
      <c r="A24" s="443">
        <f>IF(ISNUMBER(A23),A23+1,1)</f>
        <v>16</v>
      </c>
      <c r="B24" s="218" t="str">
        <f t="shared" si="0"/>
        <v>sø</v>
      </c>
      <c r="C24" s="219" t="s">
        <v>138</v>
      </c>
      <c r="D24" s="220" t="str">
        <f t="shared" si="1"/>
        <v/>
      </c>
      <c r="E24" s="906"/>
      <c r="F24" s="907"/>
      <c r="G24" s="908"/>
      <c r="H24" s="526"/>
      <c r="I24" s="726"/>
      <c r="J24" s="726"/>
      <c r="K24" s="669"/>
      <c r="L24" s="669"/>
      <c r="M24" s="669"/>
      <c r="N24" s="557">
        <f t="shared" si="15"/>
        <v>0</v>
      </c>
      <c r="O24" s="557">
        <f t="shared" si="16"/>
        <v>0</v>
      </c>
      <c r="P24" s="557">
        <f>IF(Stamoplysninger!$H$29="JA",Juli!DG24,CX24)</f>
        <v>0</v>
      </c>
      <c r="Q24" s="557">
        <f t="shared" si="17"/>
        <v>0</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0</v>
      </c>
      <c r="BB24" s="421">
        <f t="shared" si="8"/>
        <v>0</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0</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v>
      </c>
      <c r="CY24" s="457">
        <f>IF(C24="Skema 1",Stamoplysninger!$H$30/200,0)</f>
        <v>0</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0</v>
      </c>
    </row>
    <row r="25" spans="1:111">
      <c r="A25" s="443">
        <f t="shared" si="14"/>
        <v>17</v>
      </c>
      <c r="B25" s="218" t="str">
        <f t="shared" si="0"/>
        <v>ma</v>
      </c>
      <c r="C25" s="219" t="s">
        <v>245</v>
      </c>
      <c r="D25" s="220">
        <f t="shared" si="1"/>
        <v>29.142857142857142</v>
      </c>
      <c r="E25" s="906" t="s">
        <v>121</v>
      </c>
      <c r="F25" s="907"/>
      <c r="G25" s="908"/>
      <c r="H25" s="526"/>
      <c r="I25" s="855"/>
      <c r="J25" s="726"/>
      <c r="K25" s="669"/>
      <c r="L25" s="669"/>
      <c r="M25" s="669"/>
      <c r="N25" s="557">
        <f t="shared" si="15"/>
        <v>0</v>
      </c>
      <c r="O25" s="557">
        <f t="shared" si="16"/>
        <v>0</v>
      </c>
      <c r="P25" s="557">
        <f>IF(Stamoplysninger!$H$29="JA",Juli!DG25,CX25)</f>
        <v>0</v>
      </c>
      <c r="Q25" s="557">
        <f t="shared" si="17"/>
        <v>0</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4"/>
        <v>18</v>
      </c>
      <c r="B26" s="218" t="str">
        <f t="shared" si="0"/>
        <v>ti</v>
      </c>
      <c r="C26" s="219" t="s">
        <v>245</v>
      </c>
      <c r="D26" s="220" t="str">
        <f t="shared" si="1"/>
        <v/>
      </c>
      <c r="E26" s="906" t="s">
        <v>121</v>
      </c>
      <c r="F26" s="907"/>
      <c r="G26" s="908"/>
      <c r="H26" s="526"/>
      <c r="I26" s="855"/>
      <c r="J26" s="726"/>
      <c r="K26" s="669"/>
      <c r="L26" s="669"/>
      <c r="M26" s="669"/>
      <c r="N26" s="557">
        <f t="shared" si="15"/>
        <v>0</v>
      </c>
      <c r="O26" s="557">
        <f t="shared" si="16"/>
        <v>0</v>
      </c>
      <c r="P26" s="557">
        <f>IF(Stamoplysninger!$H$29="JA",Juli!DG26,CX26)</f>
        <v>0</v>
      </c>
      <c r="Q26" s="557">
        <f t="shared" si="17"/>
        <v>0</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4"/>
        <v>19</v>
      </c>
      <c r="B27" s="218" t="str">
        <f t="shared" si="0"/>
        <v>on</v>
      </c>
      <c r="C27" s="219" t="s">
        <v>245</v>
      </c>
      <c r="D27" s="220" t="str">
        <f t="shared" si="1"/>
        <v/>
      </c>
      <c r="E27" s="906" t="s">
        <v>121</v>
      </c>
      <c r="F27" s="907"/>
      <c r="G27" s="908"/>
      <c r="H27" s="526"/>
      <c r="I27" s="855"/>
      <c r="J27" s="726"/>
      <c r="K27" s="669"/>
      <c r="L27" s="669"/>
      <c r="M27" s="669"/>
      <c r="N27" s="557">
        <f t="shared" si="15"/>
        <v>0</v>
      </c>
      <c r="O27" s="557">
        <f t="shared" si="16"/>
        <v>0</v>
      </c>
      <c r="P27" s="557">
        <f>IF(Stamoplysninger!$H$29="JA",Juli!DG27,CX27)</f>
        <v>0</v>
      </c>
      <c r="Q27" s="557">
        <f t="shared" si="17"/>
        <v>0</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8"/>
        <v>0</v>
      </c>
      <c r="BC27" s="1">
        <f t="shared" si="20"/>
        <v>0</v>
      </c>
      <c r="BD27" s="1">
        <f t="shared" si="9"/>
        <v>0</v>
      </c>
      <c r="BE27" s="1">
        <f t="shared" si="10"/>
        <v>0</v>
      </c>
      <c r="BF27" s="1">
        <f t="shared" si="11"/>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2"/>
        <v>0</v>
      </c>
      <c r="CC27" s="1">
        <f t="shared" si="13"/>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4"/>
        <v>20</v>
      </c>
      <c r="B28" s="218" t="str">
        <f t="shared" si="0"/>
        <v>to</v>
      </c>
      <c r="C28" s="219" t="s">
        <v>245</v>
      </c>
      <c r="D28" s="220" t="str">
        <f t="shared" si="1"/>
        <v/>
      </c>
      <c r="E28" s="906" t="s">
        <v>121</v>
      </c>
      <c r="F28" s="907"/>
      <c r="G28" s="908"/>
      <c r="H28" s="526"/>
      <c r="I28" s="855"/>
      <c r="J28" s="726"/>
      <c r="K28" s="669"/>
      <c r="L28" s="669"/>
      <c r="M28" s="669"/>
      <c r="N28" s="557">
        <f t="shared" si="15"/>
        <v>0</v>
      </c>
      <c r="O28" s="557">
        <f t="shared" si="16"/>
        <v>0</v>
      </c>
      <c r="P28" s="557">
        <f>IF(Stamoplysninger!$H$29="JA",Juli!DG28,CX28)</f>
        <v>0</v>
      </c>
      <c r="Q28" s="557">
        <f t="shared" si="17"/>
        <v>0</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0</v>
      </c>
      <c r="BB28" s="421">
        <f t="shared" si="8"/>
        <v>0</v>
      </c>
      <c r="BC28" s="1">
        <f t="shared" si="20"/>
        <v>0</v>
      </c>
      <c r="BD28" s="1">
        <f t="shared" si="9"/>
        <v>0</v>
      </c>
      <c r="BE28" s="1">
        <f t="shared" si="10"/>
        <v>0</v>
      </c>
      <c r="BF28" s="1">
        <f t="shared" si="11"/>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0</v>
      </c>
      <c r="CB28" s="1">
        <f t="shared" si="12"/>
        <v>0</v>
      </c>
      <c r="CC28" s="1">
        <f t="shared" si="13"/>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v>
      </c>
      <c r="CY28" s="457">
        <f>IF(C28="Skema 1",Stamoplysninger!$H$30/200,0)</f>
        <v>0</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0</v>
      </c>
    </row>
    <row r="29" spans="1:111">
      <c r="A29" s="443">
        <f t="shared" si="14"/>
        <v>21</v>
      </c>
      <c r="B29" s="218" t="str">
        <f t="shared" si="0"/>
        <v>fr</v>
      </c>
      <c r="C29" s="219" t="s">
        <v>245</v>
      </c>
      <c r="D29" s="220" t="str">
        <f t="shared" si="1"/>
        <v/>
      </c>
      <c r="E29" s="906" t="s">
        <v>121</v>
      </c>
      <c r="F29" s="907"/>
      <c r="G29" s="908"/>
      <c r="H29" s="526"/>
      <c r="I29" s="855"/>
      <c r="J29" s="726"/>
      <c r="K29" s="669"/>
      <c r="L29" s="669"/>
      <c r="M29" s="669"/>
      <c r="N29" s="557">
        <f t="shared" si="15"/>
        <v>0</v>
      </c>
      <c r="O29" s="557">
        <f t="shared" si="16"/>
        <v>0</v>
      </c>
      <c r="P29" s="557">
        <f>IF(Stamoplysninger!$H$29="JA",Juli!DG29,CX29)</f>
        <v>0</v>
      </c>
      <c r="Q29" s="557">
        <f t="shared" si="17"/>
        <v>0</v>
      </c>
      <c r="R29" s="558"/>
      <c r="S29" s="564"/>
      <c r="T29" s="565"/>
      <c r="U29" s="565"/>
      <c r="V29" s="559"/>
      <c r="W29" s="763"/>
      <c r="X29" s="560"/>
      <c r="Y29">
        <f t="shared" si="18"/>
        <v>0</v>
      </c>
      <c r="Z29">
        <f t="shared" si="2"/>
        <v>0</v>
      </c>
      <c r="AA29" s="1">
        <f t="shared" si="3"/>
        <v>0</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0</v>
      </c>
      <c r="BB29" s="421">
        <f t="shared" si="8"/>
        <v>0</v>
      </c>
      <c r="BC29" s="1">
        <f t="shared" si="20"/>
        <v>0</v>
      </c>
      <c r="BD29" s="1">
        <f t="shared" si="9"/>
        <v>0</v>
      </c>
      <c r="BE29" s="1">
        <f t="shared" si="10"/>
        <v>0</v>
      </c>
      <c r="BF29" s="1">
        <f t="shared" si="11"/>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0</v>
      </c>
      <c r="CB29" s="1">
        <f t="shared" si="12"/>
        <v>0</v>
      </c>
      <c r="CC29" s="1">
        <f t="shared" si="13"/>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0</v>
      </c>
    </row>
    <row r="30" spans="1:111">
      <c r="A30" s="443">
        <f t="shared" si="14"/>
        <v>22</v>
      </c>
      <c r="B30" s="218" t="str">
        <f t="shared" si="0"/>
        <v>lø</v>
      </c>
      <c r="C30" s="219" t="s">
        <v>138</v>
      </c>
      <c r="D30" s="220" t="str">
        <f t="shared" si="1"/>
        <v/>
      </c>
      <c r="E30" s="906"/>
      <c r="F30" s="907"/>
      <c r="G30" s="908"/>
      <c r="H30" s="526"/>
      <c r="I30" s="726"/>
      <c r="J30" s="726"/>
      <c r="K30" s="669"/>
      <c r="L30" s="669"/>
      <c r="M30" s="669"/>
      <c r="N30" s="557">
        <f t="shared" si="15"/>
        <v>0</v>
      </c>
      <c r="O30" s="557">
        <f t="shared" si="16"/>
        <v>0</v>
      </c>
      <c r="P30" s="557">
        <f>IF(Stamoplysninger!$H$29="JA",Juli!DG30,CX30)</f>
        <v>0</v>
      </c>
      <c r="Q30" s="557">
        <f t="shared" si="17"/>
        <v>0</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0</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row>
    <row r="31" spans="1:111">
      <c r="A31" s="443">
        <f t="shared" si="14"/>
        <v>23</v>
      </c>
      <c r="B31" s="218" t="str">
        <f t="shared" si="0"/>
        <v>sø</v>
      </c>
      <c r="C31" s="219" t="s">
        <v>138</v>
      </c>
      <c r="D31" s="220" t="str">
        <f t="shared" si="1"/>
        <v/>
      </c>
      <c r="E31" s="906"/>
      <c r="F31" s="907"/>
      <c r="G31" s="908"/>
      <c r="H31" s="526"/>
      <c r="I31" s="726"/>
      <c r="J31" s="726"/>
      <c r="K31" s="669"/>
      <c r="L31" s="669"/>
      <c r="M31" s="669"/>
      <c r="N31" s="557">
        <f t="shared" si="15"/>
        <v>0</v>
      </c>
      <c r="O31" s="557">
        <f t="shared" si="16"/>
        <v>0</v>
      </c>
      <c r="P31" s="557">
        <f>IF(Stamoplysninger!$H$29="JA",Juli!DG31,CX31)</f>
        <v>0</v>
      </c>
      <c r="Q31" s="557">
        <f t="shared" si="17"/>
        <v>0</v>
      </c>
      <c r="R31" s="558"/>
      <c r="S31" s="564"/>
      <c r="T31" s="565"/>
      <c r="U31" s="565"/>
      <c r="V31" s="559"/>
      <c r="W31" s="763"/>
      <c r="X31" s="560"/>
      <c r="Y31">
        <f t="shared" si="18"/>
        <v>0</v>
      </c>
      <c r="Z31">
        <f t="shared" si="2"/>
        <v>0</v>
      </c>
      <c r="AA31" s="1">
        <f t="shared" si="3"/>
        <v>0</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0</v>
      </c>
      <c r="BB31" s="421">
        <f t="shared" si="8"/>
        <v>0</v>
      </c>
      <c r="BC31" s="1">
        <f t="shared" si="20"/>
        <v>0</v>
      </c>
      <c r="BD31" s="1">
        <f t="shared" si="9"/>
        <v>0</v>
      </c>
      <c r="BE31" s="1">
        <f t="shared" si="10"/>
        <v>0</v>
      </c>
      <c r="BF31" s="1">
        <f t="shared" si="11"/>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0</v>
      </c>
      <c r="CB31" s="1">
        <f t="shared" si="12"/>
        <v>0</v>
      </c>
      <c r="CC31" s="1">
        <f t="shared" si="13"/>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0</v>
      </c>
    </row>
    <row r="32" spans="1:111">
      <c r="A32" s="443">
        <f t="shared" si="14"/>
        <v>24</v>
      </c>
      <c r="B32" s="218" t="str">
        <f t="shared" si="0"/>
        <v>ma</v>
      </c>
      <c r="C32" s="219" t="s">
        <v>245</v>
      </c>
      <c r="D32" s="220">
        <f t="shared" si="1"/>
        <v>30.142857142857142</v>
      </c>
      <c r="E32" s="449" t="s">
        <v>121</v>
      </c>
      <c r="F32" s="450"/>
      <c r="G32" s="451"/>
      <c r="H32" s="526"/>
      <c r="I32" s="855"/>
      <c r="J32" s="726"/>
      <c r="K32" s="669"/>
      <c r="L32" s="669"/>
      <c r="M32" s="669"/>
      <c r="N32" s="557">
        <f t="shared" si="15"/>
        <v>0</v>
      </c>
      <c r="O32" s="557">
        <f t="shared" si="16"/>
        <v>0</v>
      </c>
      <c r="P32" s="557">
        <f>IF(Stamoplysninger!$H$29="JA",Juli!DG32,CX32)</f>
        <v>0</v>
      </c>
      <c r="Q32" s="557">
        <f t="shared" si="17"/>
        <v>0</v>
      </c>
      <c r="R32" s="558"/>
      <c r="S32" s="564"/>
      <c r="T32" s="565"/>
      <c r="U32" s="565"/>
      <c r="V32" s="559"/>
      <c r="W32" s="763"/>
      <c r="X32" s="560"/>
      <c r="Y32">
        <f t="shared" si="18"/>
        <v>0</v>
      </c>
      <c r="Z32">
        <f t="shared" si="2"/>
        <v>0</v>
      </c>
      <c r="AA32" s="1">
        <f t="shared" si="3"/>
        <v>0</v>
      </c>
      <c r="AB32" s="1">
        <f t="shared" si="4"/>
        <v>0</v>
      </c>
      <c r="AC32" s="1">
        <f t="shared" si="5"/>
        <v>0</v>
      </c>
      <c r="AD32" s="1">
        <f t="shared" si="6"/>
        <v>0</v>
      </c>
      <c r="AE32" s="1">
        <f t="shared" si="7"/>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0</v>
      </c>
      <c r="BB32" s="421">
        <f t="shared" si="8"/>
        <v>0</v>
      </c>
      <c r="BC32" s="1">
        <f t="shared" si="20"/>
        <v>0</v>
      </c>
      <c r="BD32" s="1">
        <f t="shared" si="9"/>
        <v>0</v>
      </c>
      <c r="BE32" s="1">
        <f t="shared" si="10"/>
        <v>0</v>
      </c>
      <c r="BF32" s="1">
        <f t="shared" si="11"/>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0</v>
      </c>
      <c r="CB32" s="1">
        <f t="shared" si="12"/>
        <v>0</v>
      </c>
      <c r="CC32" s="1">
        <f t="shared" si="13"/>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v>
      </c>
      <c r="CY32" s="457">
        <f>IF(C32="Skema 1",Stamoplysninger!$H$30/200,0)</f>
        <v>0</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0</v>
      </c>
    </row>
    <row r="33" spans="1:111">
      <c r="A33" s="443">
        <f t="shared" si="14"/>
        <v>25</v>
      </c>
      <c r="B33" s="218" t="str">
        <f t="shared" si="0"/>
        <v>ti</v>
      </c>
      <c r="C33" s="219" t="s">
        <v>245</v>
      </c>
      <c r="D33" s="220" t="str">
        <f t="shared" si="1"/>
        <v/>
      </c>
      <c r="E33" s="906" t="s">
        <v>121</v>
      </c>
      <c r="F33" s="907"/>
      <c r="G33" s="908"/>
      <c r="H33" s="526"/>
      <c r="I33" s="855"/>
      <c r="J33" s="726"/>
      <c r="K33" s="669"/>
      <c r="L33" s="669"/>
      <c r="M33" s="669"/>
      <c r="N33" s="557">
        <f t="shared" si="15"/>
        <v>0</v>
      </c>
      <c r="O33" s="557">
        <f t="shared" si="16"/>
        <v>0</v>
      </c>
      <c r="P33" s="557">
        <f>IF(Stamoplysninger!$H$29="JA",Juli!DG33,CX33)</f>
        <v>0</v>
      </c>
      <c r="Q33" s="557">
        <f t="shared" si="17"/>
        <v>0</v>
      </c>
      <c r="R33" s="558"/>
      <c r="S33" s="564"/>
      <c r="T33" s="565"/>
      <c r="U33" s="565"/>
      <c r="V33" s="559"/>
      <c r="W33" s="763"/>
      <c r="X33" s="560"/>
      <c r="Y33">
        <f t="shared" si="18"/>
        <v>0</v>
      </c>
      <c r="Z33">
        <f t="shared" si="2"/>
        <v>0</v>
      </c>
      <c r="AA33" s="1">
        <f t="shared" si="3"/>
        <v>0</v>
      </c>
      <c r="AB33" s="1">
        <f t="shared" si="4"/>
        <v>0</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8"/>
        <v>0</v>
      </c>
      <c r="BC33" s="1">
        <f t="shared" si="20"/>
        <v>0</v>
      </c>
      <c r="BD33" s="1">
        <f t="shared" si="9"/>
        <v>0</v>
      </c>
      <c r="BE33" s="1">
        <f t="shared" si="10"/>
        <v>0</v>
      </c>
      <c r="BF33" s="1">
        <f t="shared" si="11"/>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2"/>
        <v>0</v>
      </c>
      <c r="CC33" s="1">
        <f t="shared" si="13"/>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4"/>
        <v>26</v>
      </c>
      <c r="B34" s="218" t="str">
        <f t="shared" si="0"/>
        <v>on</v>
      </c>
      <c r="C34" s="219" t="s">
        <v>245</v>
      </c>
      <c r="D34" s="220" t="str">
        <f t="shared" si="1"/>
        <v/>
      </c>
      <c r="E34" s="906" t="s">
        <v>121</v>
      </c>
      <c r="F34" s="907"/>
      <c r="G34" s="908"/>
      <c r="H34" s="526"/>
      <c r="I34" s="855"/>
      <c r="J34" s="726"/>
      <c r="K34" s="669"/>
      <c r="L34" s="669"/>
      <c r="M34" s="669"/>
      <c r="N34" s="557">
        <f t="shared" si="15"/>
        <v>0</v>
      </c>
      <c r="O34" s="557">
        <f t="shared" si="16"/>
        <v>0</v>
      </c>
      <c r="P34" s="557">
        <f>IF(Stamoplysninger!$H$29="JA",Juli!DG34,CX34)</f>
        <v>0</v>
      </c>
      <c r="Q34" s="557">
        <f t="shared" si="17"/>
        <v>0</v>
      </c>
      <c r="R34" s="558"/>
      <c r="S34" s="564"/>
      <c r="T34" s="565"/>
      <c r="U34" s="565"/>
      <c r="V34" s="559"/>
      <c r="W34" s="763"/>
      <c r="X34" s="560"/>
      <c r="Y34">
        <f t="shared" si="18"/>
        <v>0</v>
      </c>
      <c r="Z34">
        <f t="shared" si="2"/>
        <v>0</v>
      </c>
      <c r="AA34" s="1">
        <f t="shared" si="3"/>
        <v>0</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0</v>
      </c>
      <c r="BB34" s="421">
        <f t="shared" si="8"/>
        <v>0</v>
      </c>
      <c r="BC34" s="1">
        <f t="shared" si="20"/>
        <v>0</v>
      </c>
      <c r="BD34" s="1">
        <f t="shared" si="9"/>
        <v>0</v>
      </c>
      <c r="BE34" s="1">
        <f t="shared" si="10"/>
        <v>0</v>
      </c>
      <c r="BF34" s="1">
        <f t="shared" si="11"/>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2"/>
        <v>0</v>
      </c>
      <c r="CC34" s="1">
        <f t="shared" si="13"/>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4"/>
        <v>27</v>
      </c>
      <c r="B35" s="218" t="str">
        <f t="shared" si="0"/>
        <v>to</v>
      </c>
      <c r="C35" s="219" t="s">
        <v>245</v>
      </c>
      <c r="D35" s="220" t="str">
        <f t="shared" si="1"/>
        <v/>
      </c>
      <c r="E35" s="906" t="s">
        <v>121</v>
      </c>
      <c r="F35" s="907"/>
      <c r="G35" s="908"/>
      <c r="H35" s="526"/>
      <c r="I35" s="855"/>
      <c r="J35" s="726"/>
      <c r="K35" s="669"/>
      <c r="L35" s="669"/>
      <c r="M35" s="669"/>
      <c r="N35" s="557">
        <f t="shared" si="15"/>
        <v>0</v>
      </c>
      <c r="O35" s="557">
        <f t="shared" si="16"/>
        <v>0</v>
      </c>
      <c r="P35" s="557">
        <f>IF(Stamoplysninger!$H$29="JA",Juli!DG35,CX35)</f>
        <v>0</v>
      </c>
      <c r="Q35" s="557">
        <f t="shared" si="17"/>
        <v>0</v>
      </c>
      <c r="R35" s="558"/>
      <c r="S35" s="564"/>
      <c r="T35" s="565"/>
      <c r="U35" s="565"/>
      <c r="V35" s="559"/>
      <c r="W35" s="763"/>
      <c r="X35" s="560"/>
      <c r="Y35">
        <f t="shared" si="18"/>
        <v>0</v>
      </c>
      <c r="Z35">
        <f t="shared" si="2"/>
        <v>0</v>
      </c>
      <c r="AA35" s="1">
        <f t="shared" si="3"/>
        <v>0</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0</v>
      </c>
      <c r="BB35" s="421">
        <f t="shared" si="8"/>
        <v>0</v>
      </c>
      <c r="BC35" s="1">
        <f t="shared" si="20"/>
        <v>0</v>
      </c>
      <c r="BD35" s="1">
        <f t="shared" si="9"/>
        <v>0</v>
      </c>
      <c r="BE35" s="1">
        <f t="shared" si="10"/>
        <v>0</v>
      </c>
      <c r="BF35" s="1">
        <f t="shared" si="11"/>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0</v>
      </c>
      <c r="CB35" s="1">
        <f t="shared" si="12"/>
        <v>0</v>
      </c>
      <c r="CC35" s="1">
        <f t="shared" si="13"/>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0</v>
      </c>
    </row>
    <row r="36" spans="1:111">
      <c r="A36" s="443">
        <f t="shared" si="14"/>
        <v>28</v>
      </c>
      <c r="B36" s="218" t="str">
        <f t="shared" si="0"/>
        <v>fr</v>
      </c>
      <c r="C36" s="219" t="s">
        <v>245</v>
      </c>
      <c r="D36" s="220" t="str">
        <f t="shared" si="1"/>
        <v/>
      </c>
      <c r="E36" s="906" t="s">
        <v>121</v>
      </c>
      <c r="F36" s="907"/>
      <c r="G36" s="908"/>
      <c r="H36" s="526"/>
      <c r="I36" s="855"/>
      <c r="J36" s="726"/>
      <c r="K36" s="669"/>
      <c r="L36" s="669"/>
      <c r="M36" s="669"/>
      <c r="N36" s="557">
        <f t="shared" si="15"/>
        <v>0</v>
      </c>
      <c r="O36" s="557">
        <f t="shared" si="16"/>
        <v>0</v>
      </c>
      <c r="P36" s="557">
        <f>IF(Stamoplysninger!$H$29="JA",Juli!DG36,CX36)</f>
        <v>0</v>
      </c>
      <c r="Q36" s="557">
        <f t="shared" si="17"/>
        <v>0</v>
      </c>
      <c r="R36" s="558"/>
      <c r="S36" s="564"/>
      <c r="T36" s="565"/>
      <c r="U36" s="565"/>
      <c r="V36" s="559"/>
      <c r="W36" s="763"/>
      <c r="X36" s="560"/>
      <c r="Y36">
        <f t="shared" si="18"/>
        <v>0</v>
      </c>
      <c r="Z36">
        <f t="shared" si="2"/>
        <v>0</v>
      </c>
      <c r="AA36" s="1">
        <f t="shared" si="3"/>
        <v>0</v>
      </c>
      <c r="AB36" s="1">
        <f t="shared" si="4"/>
        <v>0</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0</v>
      </c>
      <c r="BB36" s="421">
        <f t="shared" si="8"/>
        <v>0</v>
      </c>
      <c r="BC36" s="1">
        <f t="shared" si="20"/>
        <v>0</v>
      </c>
      <c r="BD36" s="1">
        <f t="shared" si="9"/>
        <v>0</v>
      </c>
      <c r="BE36" s="1">
        <f t="shared" si="10"/>
        <v>0</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2"/>
        <v>0</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row>
    <row r="37" spans="1:111">
      <c r="A37" s="443">
        <f>IF(ISNUMBER(A36),A36+1,1)</f>
        <v>29</v>
      </c>
      <c r="B37" s="218" t="str">
        <f t="shared" si="0"/>
        <v>lø</v>
      </c>
      <c r="C37" s="219" t="s">
        <v>138</v>
      </c>
      <c r="D37" s="220" t="str">
        <f t="shared" si="1"/>
        <v/>
      </c>
      <c r="E37" s="906"/>
      <c r="F37" s="907"/>
      <c r="G37" s="908"/>
      <c r="H37" s="526"/>
      <c r="I37" s="726"/>
      <c r="J37" s="726"/>
      <c r="K37" s="669"/>
      <c r="L37" s="669"/>
      <c r="M37" s="669"/>
      <c r="N37" s="557">
        <f t="shared" si="15"/>
        <v>0</v>
      </c>
      <c r="O37" s="557">
        <f t="shared" si="16"/>
        <v>0</v>
      </c>
      <c r="P37" s="557">
        <f>IF(Stamoplysninger!$H$29="JA",Juli!DG37,CX37)</f>
        <v>0</v>
      </c>
      <c r="Q37" s="557">
        <f t="shared" si="17"/>
        <v>0</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4"/>
        <v>30</v>
      </c>
      <c r="B38" s="218" t="str">
        <f t="shared" si="0"/>
        <v>sø</v>
      </c>
      <c r="C38" s="219" t="s">
        <v>138</v>
      </c>
      <c r="D38" s="220" t="str">
        <f t="shared" si="1"/>
        <v/>
      </c>
      <c r="E38" s="906"/>
      <c r="F38" s="907"/>
      <c r="G38" s="908"/>
      <c r="H38" s="526"/>
      <c r="I38" s="726"/>
      <c r="J38" s="726"/>
      <c r="K38" s="669"/>
      <c r="L38" s="669"/>
      <c r="M38" s="669"/>
      <c r="N38" s="557">
        <f t="shared" si="15"/>
        <v>0</v>
      </c>
      <c r="O38" s="557">
        <f t="shared" si="16"/>
        <v>0</v>
      </c>
      <c r="P38" s="557">
        <f>IF(Stamoplysninger!$H$29="JA",Juli!DG38,CX38)</f>
        <v>0</v>
      </c>
      <c r="Q38" s="557">
        <f t="shared" si="17"/>
        <v>0</v>
      </c>
      <c r="R38" s="558"/>
      <c r="S38" s="564"/>
      <c r="T38" s="565"/>
      <c r="U38" s="762"/>
      <c r="V38" s="559"/>
      <c r="W38" s="763"/>
      <c r="X38" s="560"/>
      <c r="Y38">
        <f t="shared" si="18"/>
        <v>0</v>
      </c>
      <c r="Z38">
        <f t="shared" si="2"/>
        <v>0</v>
      </c>
      <c r="AA38" s="1">
        <f t="shared" si="3"/>
        <v>0</v>
      </c>
      <c r="AB38" s="1">
        <f t="shared" si="4"/>
        <v>0</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0</v>
      </c>
      <c r="BB38" s="421">
        <f t="shared" si="8"/>
        <v>0</v>
      </c>
      <c r="BC38" s="1">
        <f t="shared" si="20"/>
        <v>0</v>
      </c>
      <c r="BD38" s="1">
        <f t="shared" si="9"/>
        <v>0</v>
      </c>
      <c r="BE38" s="1">
        <f t="shared" si="10"/>
        <v>0</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0</v>
      </c>
      <c r="CB38" s="1">
        <f t="shared" si="12"/>
        <v>0</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v>
      </c>
      <c r="CY38" s="457">
        <f>IF(C38="Skema 1",Stamoplysninger!$H$30/200,0)</f>
        <v>0</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0</v>
      </c>
    </row>
    <row r="39" spans="1:111">
      <c r="A39" s="443">
        <f>IF(ISNUMBER(A38),A38+1,1)</f>
        <v>31</v>
      </c>
      <c r="B39" s="218" t="str">
        <f t="shared" si="0"/>
        <v>ma</v>
      </c>
      <c r="C39" s="219" t="s">
        <v>245</v>
      </c>
      <c r="D39" s="220">
        <f t="shared" si="1"/>
        <v>31.142857142857142</v>
      </c>
      <c r="E39" s="909" t="s">
        <v>121</v>
      </c>
      <c r="F39" s="910"/>
      <c r="G39" s="911"/>
      <c r="H39" s="525"/>
      <c r="I39" s="855"/>
      <c r="J39" s="726"/>
      <c r="K39" s="669"/>
      <c r="L39" s="669"/>
      <c r="M39" s="669"/>
      <c r="N39" s="557">
        <f t="shared" si="15"/>
        <v>0</v>
      </c>
      <c r="O39" s="557">
        <f t="shared" si="16"/>
        <v>0</v>
      </c>
      <c r="P39" s="557">
        <f>IF(Stamoplysninger!$H$29="JA",Juli!DG39,CX39)</f>
        <v>0</v>
      </c>
      <c r="Q39" s="557">
        <f t="shared" si="17"/>
        <v>0</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t="str">
        <f>IF(AND(C39="Skema 1",B39="ma"),Arbejdstidsoversigt!$E$44,"")</f>
        <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t="str">
        <f>IF(AND(C39="Skema 2",B39="on"),Arbejdstidsoversigt!$E$55,"")</f>
        <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0</v>
      </c>
      <c r="BB39" s="421">
        <f t="shared" si="8"/>
        <v>0</v>
      </c>
      <c r="BC39" s="1">
        <f t="shared" si="20"/>
        <v>0</v>
      </c>
      <c r="BD39" s="1">
        <f t="shared" si="9"/>
        <v>0</v>
      </c>
      <c r="BE39" s="1">
        <f t="shared" si="10"/>
        <v>0</v>
      </c>
      <c r="BF39" s="1">
        <f t="shared" si="11"/>
        <v>0</v>
      </c>
      <c r="BG39" s="382" t="str">
        <f>IF(AND(C39="Skema 1",B39="ma"),Skemaoplysninger!$E$28,"")</f>
        <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t="str">
        <f>IF(AND(C39="Skema 2",B39="on"),Skemaoplysninger!$Q$28,"")</f>
        <v/>
      </c>
      <c r="BO39" s="382" t="str">
        <f>IF(AND(C39="Skema 2",B39="to"),Skemaoplysninger!$R$28,"")</f>
        <v/>
      </c>
      <c r="BP39" s="382" t="str">
        <f>IF(AND(C39="Skema 2",B39="fr"),Skemaoplysninger!$S$28,"")</f>
        <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0</v>
      </c>
      <c r="CB39" s="1">
        <f t="shared" si="12"/>
        <v>0</v>
      </c>
      <c r="CC39" s="1">
        <f t="shared" si="13"/>
        <v>0</v>
      </c>
      <c r="CD39" s="382" t="str">
        <f>IF(AND(C39="Skema 1",B39="ma"),Skemaoplysninger!$E$37,"")</f>
        <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t="str">
        <f>IF(AND(C39="Skema 2",B39="on"),Skemaoplysninger!$Q$37,"")</f>
        <v/>
      </c>
      <c r="CL39" s="382" t="str">
        <f>IF(AND(C39="Skema 2",B39="to"),Skemaoplysninger!$R$37,"")</f>
        <v/>
      </c>
      <c r="CM39" s="382" t="str">
        <f>IF(AND(C39="Skema 2",B39="fr"),Skemaoplysninger!$S$37,"")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0</v>
      </c>
      <c r="CY39" s="457">
        <f>IF(C39="Skema 1",Stamoplysninger!$H$30/200,0)</f>
        <v>0</v>
      </c>
      <c r="CZ39" s="457">
        <f>IF(C39="Skema 2",Stamoplysninger!$H$30/200,0)</f>
        <v>0</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0</v>
      </c>
    </row>
    <row r="40" spans="1:111" ht="17" thickBot="1">
      <c r="A40" s="1101" t="s">
        <v>308</v>
      </c>
      <c r="B40" s="1102"/>
      <c r="C40" s="1102"/>
      <c r="D40" s="1102"/>
      <c r="E40" s="1102"/>
      <c r="F40" s="1102"/>
      <c r="G40" s="1102"/>
      <c r="H40" s="1102"/>
      <c r="I40" s="1103"/>
      <c r="J40" s="552"/>
      <c r="K40" s="561"/>
      <c r="L40" s="561"/>
      <c r="M40" s="561"/>
      <c r="N40" s="562">
        <f t="shared" ref="N40:Q40" si="23">SUM(N9:N39)</f>
        <v>0</v>
      </c>
      <c r="O40" s="562">
        <f t="shared" si="23"/>
        <v>0</v>
      </c>
      <c r="P40" s="562">
        <f t="shared" si="23"/>
        <v>0</v>
      </c>
      <c r="Q40" s="562">
        <f t="shared" si="23"/>
        <v>0</v>
      </c>
      <c r="R40"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0</v>
      </c>
      <c r="Z40" s="706">
        <f>Z9+Z10+Z11+Z12+Z13+Z14+Z15+Z16+Z17+Z18+Z19+Z20+Z21+Z22+Z23+Z24+Z25+Z26+Z27+Z28+Z29+Z30+Z31+Z32+Z33+Z34+Z35+Z36+Z37+Z38+Z39</f>
        <v>0</v>
      </c>
      <c r="AA40" s="431">
        <f t="shared" ref="AA40:AF40" si="24">SUM(AA9:AA39)</f>
        <v>0</v>
      </c>
      <c r="AB40" s="431">
        <f t="shared" si="24"/>
        <v>0</v>
      </c>
      <c r="AC40" s="431">
        <f t="shared" si="24"/>
        <v>0</v>
      </c>
      <c r="AD40" s="431">
        <f t="shared" si="24"/>
        <v>0</v>
      </c>
      <c r="AE40" s="431">
        <f t="shared" si="24"/>
        <v>0</v>
      </c>
      <c r="AF40" s="585">
        <f t="shared" si="24"/>
        <v>0</v>
      </c>
      <c r="AQ40" s="383"/>
      <c r="AR40" s="383"/>
      <c r="AS40" s="383"/>
      <c r="AT40" s="383"/>
      <c r="AU40" s="383"/>
      <c r="AV40" s="383"/>
      <c r="AW40" s="383"/>
      <c r="AX40" s="383"/>
      <c r="AY40" s="383"/>
      <c r="AZ40" s="383"/>
      <c r="BA40" s="1">
        <f>SUM(BA9:BA39)</f>
        <v>0</v>
      </c>
      <c r="BB40" s="180"/>
      <c r="BC40" s="431">
        <f>SUM(BC9:BC39)</f>
        <v>0</v>
      </c>
      <c r="BD40" s="431">
        <f>SUM(BD9:BD39)</f>
        <v>0</v>
      </c>
      <c r="BE40" s="431">
        <f t="shared" ref="BE40:BF40" si="25">SUM(BE9:BE39)</f>
        <v>0</v>
      </c>
      <c r="BF40" s="431">
        <f t="shared" si="25"/>
        <v>0</v>
      </c>
      <c r="BQ40" s="383"/>
      <c r="BR40" s="383"/>
      <c r="BS40" s="383"/>
      <c r="BT40" s="383"/>
      <c r="BU40" s="383"/>
      <c r="BV40" s="383"/>
      <c r="BW40" s="383"/>
      <c r="BX40" s="383"/>
      <c r="BY40" s="383"/>
      <c r="BZ40" s="383"/>
      <c r="CA40" s="431">
        <f>SUM(CA9:CA39)</f>
        <v>0</v>
      </c>
      <c r="CB40" s="431">
        <f t="shared" ref="CB40:CC40" si="26">SUM(CB9:CB39)</f>
        <v>0</v>
      </c>
      <c r="CC40" s="431">
        <f t="shared" si="26"/>
        <v>0</v>
      </c>
      <c r="CN40" s="383"/>
      <c r="CO40" s="383"/>
      <c r="CP40" s="383"/>
      <c r="CQ40" s="383"/>
      <c r="CR40" s="383"/>
      <c r="CS40" s="383"/>
      <c r="CT40" s="383"/>
      <c r="CU40" s="383"/>
      <c r="CV40" s="383"/>
      <c r="CW40" s="383"/>
      <c r="CX40" s="457"/>
      <c r="CY40" s="457">
        <f t="shared" ref="CY40:DG40" si="27">SUM(CY9:CY39)</f>
        <v>0</v>
      </c>
      <c r="CZ40" s="457">
        <f t="shared" si="27"/>
        <v>0</v>
      </c>
      <c r="DA40" s="457">
        <f t="shared" si="27"/>
        <v>0</v>
      </c>
      <c r="DB40" s="457">
        <f t="shared" si="27"/>
        <v>0</v>
      </c>
      <c r="DC40" s="457">
        <f t="shared" si="27"/>
        <v>0</v>
      </c>
      <c r="DD40" s="457">
        <f t="shared" si="27"/>
        <v>0</v>
      </c>
      <c r="DE40" s="457">
        <f t="shared" si="27"/>
        <v>0</v>
      </c>
      <c r="DF40" s="457">
        <f t="shared" si="27"/>
        <v>0</v>
      </c>
      <c r="DG40" s="457">
        <f t="shared" si="27"/>
        <v>0</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6"/>
      <c r="AB41" s="445"/>
      <c r="AC41" s="445"/>
      <c r="AD41" s="446"/>
      <c r="AE41" s="446"/>
      <c r="AF41"/>
      <c r="AG41" s="446"/>
      <c r="AR41" s="447"/>
      <c r="AS41" s="447"/>
      <c r="AT41" s="447"/>
      <c r="AU41" s="447"/>
      <c r="AV41" s="447"/>
      <c r="AW41" s="447"/>
      <c r="AX41" s="447"/>
      <c r="AY41" s="447"/>
      <c r="AZ41" s="447"/>
      <c r="BA41" s="447"/>
      <c r="BB41" s="447"/>
      <c r="BC41" s="446"/>
      <c r="BD41" s="446"/>
      <c r="BE41" s="446"/>
      <c r="BF41" s="446"/>
      <c r="BG41" s="448"/>
      <c r="BR41" s="447"/>
      <c r="BS41" s="447"/>
      <c r="BT41" s="447"/>
      <c r="BU41" s="447"/>
      <c r="BV41" s="447"/>
      <c r="BW41" s="447"/>
      <c r="BX41" s="447"/>
      <c r="BY41" s="447"/>
      <c r="BZ41" s="447"/>
      <c r="CA41" s="447"/>
      <c r="CB41" s="446"/>
      <c r="CC41" s="446"/>
      <c r="CD41" s="448"/>
      <c r="CO41" s="447"/>
      <c r="CP41" s="447"/>
      <c r="CQ41" s="447"/>
      <c r="CR41" s="447"/>
      <c r="CS41" s="447"/>
      <c r="CT41" s="447"/>
      <c r="CU41" s="447"/>
      <c r="CV41" s="447"/>
      <c r="CW41" s="447"/>
      <c r="CX41" s="458"/>
      <c r="CY41" s="458"/>
    </row>
    <row r="42" spans="1:111" ht="70" customHeight="1">
      <c r="A42" s="1138" t="str">
        <f>"Arbejdstid for "&amp;A7&amp;" måned:"</f>
        <v>Arbejdstid for Juli måned:</v>
      </c>
      <c r="B42" s="1139"/>
      <c r="C42" s="1139"/>
      <c r="D42" s="1139"/>
      <c r="E42" s="1139"/>
      <c r="F42" s="1139"/>
      <c r="G42" s="1139"/>
      <c r="H42" s="571" t="s">
        <v>303</v>
      </c>
      <c r="I42" s="1139" t="s">
        <v>264</v>
      </c>
      <c r="J42" s="1140"/>
      <c r="K42" s="1141"/>
      <c r="L42" s="472"/>
      <c r="M42" s="1164" t="str">
        <f>"Ulempetimer og weekendtimer i "&amp;A5&amp;""</f>
        <v>Ulempetimer og weekendtimer i Juli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21</v>
      </c>
      <c r="I43" s="1107">
        <f>IF(Stamoplysninger!$E$12="Ja",1924/Arbejdstidsoversigt!$K$9*Stamoplysninger!$E$15*H43,H43*7.4*Stamoplysninger!$E$13)</f>
        <v>154.80459770114942</v>
      </c>
      <c r="J43" s="1108"/>
      <c r="K43" s="1109"/>
      <c r="L43" s="468"/>
      <c r="M43" s="1167" t="s">
        <v>368</v>
      </c>
      <c r="N43" s="1168"/>
      <c r="O43" s="1168"/>
      <c r="P43" s="1168"/>
      <c r="Q43" s="1168"/>
      <c r="R43" s="1168"/>
      <c r="S43" s="1168"/>
      <c r="T43" s="1168"/>
      <c r="U43" s="1168"/>
      <c r="V43" s="1169">
        <f>M62+S61+T61+M65+M69+M63+N62+N69</f>
        <v>0</v>
      </c>
      <c r="W43" s="1169"/>
      <c r="X43" s="1170"/>
      <c r="Y43" s="437"/>
      <c r="Z43" s="437"/>
      <c r="AD43" s="124"/>
      <c r="AE43" s="124"/>
      <c r="AZ43" s="436"/>
      <c r="BM43" s="1"/>
      <c r="CJ43" s="1"/>
      <c r="CU43" s="455"/>
      <c r="CV43" s="455"/>
      <c r="CY43"/>
      <c r="CZ43"/>
    </row>
    <row r="44" spans="1:111">
      <c r="A44" s="1105" t="str">
        <f>"Ferie "&amp;A7&amp;" måned"</f>
        <v>Ferie Juli måned</v>
      </c>
      <c r="B44" s="1106"/>
      <c r="C44" s="1106"/>
      <c r="D44" s="1106"/>
      <c r="E44" s="1106"/>
      <c r="F44" s="1106"/>
      <c r="G44" s="1106"/>
      <c r="H44" s="467">
        <f>IF(D62&gt;0,$D$62,"0")</f>
        <v>18</v>
      </c>
      <c r="I44" s="1110">
        <f>H44*7.4*Stamoplysninger!$E$15</f>
        <v>133.20000000000002</v>
      </c>
      <c r="J44" s="1111"/>
      <c r="K44" s="1112"/>
      <c r="L44" s="468"/>
      <c r="M44" s="1171" t="s">
        <v>307</v>
      </c>
      <c r="N44" s="1172"/>
      <c r="O44" s="1172"/>
      <c r="P44" s="1172"/>
      <c r="Q44" s="1172"/>
      <c r="R44" s="1172"/>
      <c r="S44" s="1172"/>
      <c r="T44" s="1172"/>
      <c r="U44" s="1172"/>
      <c r="V44" s="1173">
        <f>M61+S60+T60+M64+M68+M60+N60+N68</f>
        <v>0</v>
      </c>
      <c r="W44" s="1173"/>
      <c r="X44" s="1174"/>
      <c r="Y44" s="437"/>
      <c r="Z44" s="437"/>
      <c r="AD44" s="124"/>
      <c r="AE44" s="124"/>
      <c r="AZ44" s="436"/>
      <c r="BM44" s="1"/>
      <c r="CJ44" s="1"/>
      <c r="CU44" s="455"/>
      <c r="CV44" s="455"/>
      <c r="CY44"/>
      <c r="CZ44"/>
    </row>
    <row r="45" spans="1:111">
      <c r="A45" s="1105" t="str">
        <f>"Søgnehelligdage i "&amp;A7&amp;" måned"</f>
        <v>Søgnehelligdage i Juli måned</v>
      </c>
      <c r="B45" s="1106"/>
      <c r="C45" s="1106"/>
      <c r="D45" s="1106"/>
      <c r="E45" s="1106"/>
      <c r="F45" s="1106"/>
      <c r="G45" s="1106"/>
      <c r="H45" s="467">
        <f>IF(D61&gt;0,D61,0)</f>
        <v>0</v>
      </c>
      <c r="I45" s="1110">
        <f>H45*7.4*Stamoplysninger!$E$15</f>
        <v>0</v>
      </c>
      <c r="J45" s="1111"/>
      <c r="K45" s="1112"/>
      <c r="L45" s="469"/>
      <c r="M45" s="1175" t="s">
        <v>347</v>
      </c>
      <c r="N45" s="1176"/>
      <c r="O45" s="1176"/>
      <c r="P45" s="1176"/>
      <c r="Q45" s="1176"/>
      <c r="R45" s="1176"/>
      <c r="S45" s="1176"/>
      <c r="T45" s="1176"/>
      <c r="U45" s="1176"/>
      <c r="V45" s="1186">
        <f>Juni!V54</f>
        <v>9</v>
      </c>
      <c r="W45" s="1186"/>
      <c r="X45" s="1187"/>
      <c r="Y45" s="437"/>
      <c r="Z45" s="437"/>
      <c r="AD45" s="124"/>
      <c r="AE45" s="124"/>
      <c r="AZ45" s="436"/>
      <c r="BM45" s="1"/>
      <c r="CJ45" s="1"/>
      <c r="CU45" s="455"/>
      <c r="CV45" s="455"/>
      <c r="CY45"/>
      <c r="CZ45"/>
    </row>
    <row r="46" spans="1:111">
      <c r="A46" s="1105" t="str">
        <f>"Nettoarbejdstid ialt i "&amp;A7&amp;" måned"</f>
        <v>Nettoarbejdstid ialt i Juli måned</v>
      </c>
      <c r="B46" s="1106"/>
      <c r="C46" s="1106"/>
      <c r="D46" s="1106"/>
      <c r="E46" s="1106"/>
      <c r="F46" s="1106"/>
      <c r="G46" s="1106"/>
      <c r="H46" s="470">
        <f>H43-H44-H45</f>
        <v>3</v>
      </c>
      <c r="I46" s="1110">
        <f>I43-I44-I45</f>
        <v>21.604597701149402</v>
      </c>
      <c r="J46" s="1111"/>
      <c r="K46" s="1112"/>
      <c r="L46" s="678"/>
      <c r="M46" s="1134" t="s">
        <v>354</v>
      </c>
      <c r="N46" s="1135"/>
      <c r="O46" s="1135"/>
      <c r="P46" s="1135"/>
      <c r="Q46" s="1135"/>
      <c r="R46" s="1135"/>
      <c r="S46" s="1135"/>
      <c r="T46" s="1135"/>
      <c r="U46" s="1135"/>
      <c r="V46" s="1136">
        <f>V44+V45</f>
        <v>9</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Juli måned kalender</v>
      </c>
      <c r="B47" s="1114"/>
      <c r="C47" s="1114"/>
      <c r="D47" s="1114"/>
      <c r="E47" s="1114"/>
      <c r="F47" s="1114"/>
      <c r="G47" s="1114"/>
      <c r="H47" s="866">
        <f>D53+D54+D55+D56+D57+D58+D59</f>
        <v>0</v>
      </c>
      <c r="I47" s="1115">
        <f>N40+R40-J56</f>
        <v>0</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0</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09">
      <c r="A49" s="1126" t="str">
        <f>"Arbejde særligt planlagt for "&amp;A7&amp;" måned efter fanen skemaoplysninger"</f>
        <v>Arbejde særligt planlagt for Juli måned efter fanen skemaoplysninger</v>
      </c>
      <c r="B49" s="1127"/>
      <c r="C49" s="1127"/>
      <c r="D49" s="1127"/>
      <c r="E49" s="1127"/>
      <c r="F49" s="1127"/>
      <c r="G49" s="1127"/>
      <c r="H49" s="1128"/>
      <c r="I49" s="1116">
        <f>Skemaoplysninger!V67</f>
        <v>0</v>
      </c>
      <c r="J49" s="1124"/>
      <c r="K49" s="1125"/>
      <c r="L49" s="439"/>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09">
      <c r="A50" s="1142" t="s">
        <v>342</v>
      </c>
      <c r="B50" s="1143"/>
      <c r="C50" s="1143"/>
      <c r="D50" s="1143"/>
      <c r="E50" s="1143"/>
      <c r="F50" s="1143"/>
      <c r="G50" s="1143"/>
      <c r="H50" s="1143"/>
      <c r="I50" s="1194">
        <f>V40+X40-N57</f>
        <v>0</v>
      </c>
      <c r="J50" s="1118"/>
      <c r="K50" s="1195"/>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09" ht="17" thickBot="1">
      <c r="A51" s="471" t="str">
        <f>"Faktisk arbejdstid ialt i "&amp;A7&amp;" måned"</f>
        <v>Faktisk arbejdstid ialt i Juli måned</v>
      </c>
      <c r="B51" s="553"/>
      <c r="C51" s="554"/>
      <c r="D51" s="554"/>
      <c r="E51" s="554"/>
      <c r="F51" s="554"/>
      <c r="G51" s="554"/>
      <c r="H51" s="555"/>
      <c r="I51" s="1129">
        <f>I47+I50+I49+I48</f>
        <v>0</v>
      </c>
      <c r="J51" s="1130"/>
      <c r="K51" s="1131"/>
      <c r="L51" s="581"/>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761"/>
      <c r="B52" s="761"/>
      <c r="C52" s="761"/>
      <c r="D52" s="761"/>
      <c r="E52" s="761"/>
      <c r="F52" s="761"/>
      <c r="G52" s="761"/>
      <c r="H52" s="780"/>
      <c r="I52" s="582"/>
      <c r="J52" s="582"/>
      <c r="K52" s="781"/>
      <c r="L52" s="581"/>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683" t="s">
        <v>241</v>
      </c>
      <c r="B53" s="689"/>
      <c r="C53" s="689"/>
      <c r="D53" s="683">
        <f>COUNTIF([0]!Juli,"Skema 1")</f>
        <v>0</v>
      </c>
      <c r="E53" s="690"/>
      <c r="F53" s="576" t="s">
        <v>221</v>
      </c>
      <c r="G53" s="576">
        <f>COUNTIFS($B$9:$B$39,"ma",[0]!Juli,"Skema 1")</f>
        <v>0</v>
      </c>
      <c r="H53" s="576"/>
      <c r="I53" s="576"/>
      <c r="J53" s="579"/>
      <c r="K53" s="581"/>
      <c r="L53" s="5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c r="A54" s="1188" t="s">
        <v>242</v>
      </c>
      <c r="B54" s="1188"/>
      <c r="C54" s="1188"/>
      <c r="D54" s="683">
        <f>COUNTIF([0]!Juli,"Skema 2")</f>
        <v>0</v>
      </c>
      <c r="E54" s="690"/>
      <c r="F54" s="576" t="s">
        <v>222</v>
      </c>
      <c r="G54" s="576">
        <f>COUNTIFS($B$9:$B$39,"ti",[0]!Juli,"Skema 1")</f>
        <v>0</v>
      </c>
      <c r="H54" s="576"/>
      <c r="I54" s="576"/>
      <c r="J54" s="579"/>
      <c r="K54" s="581"/>
      <c r="L54" s="581"/>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09" ht="17" thickBot="1">
      <c r="A55" s="1188" t="s">
        <v>243</v>
      </c>
      <c r="B55" s="1188"/>
      <c r="C55" s="1188"/>
      <c r="D55" s="683">
        <f>COUNTIF([0]!Juli,"Skema 3")</f>
        <v>0</v>
      </c>
      <c r="E55" s="690"/>
      <c r="F55" s="576" t="s">
        <v>223</v>
      </c>
      <c r="G55" s="576">
        <f>COUNTIFS($B$9:$B$39,"on",[0]!Juli,"Skema 1")</f>
        <v>0</v>
      </c>
      <c r="H55" s="576"/>
      <c r="I55" s="576"/>
      <c r="J55" s="579"/>
      <c r="K55" s="581"/>
      <c r="L55" s="768"/>
      <c r="M55" s="1151" t="s">
        <v>346</v>
      </c>
      <c r="N55" s="1152"/>
      <c r="O55" s="1152"/>
      <c r="P55" s="1152"/>
      <c r="Q55" s="1152"/>
      <c r="R55" s="1152"/>
      <c r="S55" s="1152"/>
      <c r="T55" s="1152"/>
      <c r="U55" s="1153"/>
      <c r="V55" s="1154">
        <f>V46-SUM(V49:W54)</f>
        <v>9</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09" hidden="1">
      <c r="A56" s="1188" t="s">
        <v>244</v>
      </c>
      <c r="B56" s="1188"/>
      <c r="C56" s="1188"/>
      <c r="D56" s="683">
        <f>COUNTIF([0]!Juli,"Skema 4")</f>
        <v>0</v>
      </c>
      <c r="E56" s="690"/>
      <c r="F56" s="576" t="s">
        <v>225</v>
      </c>
      <c r="G56" s="576">
        <f>COUNTIFS($B$9:$B$39,"to",[0]!Juli,"Skema 1")</f>
        <v>0</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769"/>
      <c r="L56" s="768"/>
      <c r="M56" s="761" t="s">
        <v>378</v>
      </c>
      <c r="N56" s="761" t="s">
        <v>482</v>
      </c>
      <c r="O56" s="465"/>
      <c r="P56" s="465"/>
      <c r="Q56" s="465"/>
      <c r="R56" s="465"/>
      <c r="S56" s="465"/>
      <c r="T56" s="465"/>
      <c r="U56" s="465"/>
      <c r="V56" s="465"/>
      <c r="W56" s="465"/>
      <c r="X56" s="465"/>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83" t="s">
        <v>117</v>
      </c>
      <c r="B57" s="683"/>
      <c r="C57" s="683"/>
      <c r="D57" s="683">
        <f>COUNTIF([0]!Juli,"Fagdag")+COUNTIF([0]!Juli,"emnedag")</f>
        <v>0</v>
      </c>
      <c r="E57" s="690"/>
      <c r="F57" s="576" t="s">
        <v>224</v>
      </c>
      <c r="G57" s="576">
        <f>COUNTIFS($B$9:$B$39,"fr",[0]!Juli,"Skema 1")</f>
        <v>0</v>
      </c>
      <c r="H57" s="576"/>
      <c r="I57" s="578" t="s">
        <v>380</v>
      </c>
      <c r="J57" s="579"/>
      <c r="K57" s="768"/>
      <c r="L57" s="769"/>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7" s="754"/>
      <c r="P57" s="581"/>
      <c r="Q57" s="757" t="s">
        <v>382</v>
      </c>
      <c r="R57" s="459"/>
      <c r="S57" s="459"/>
      <c r="T57" s="459" t="s">
        <v>383</v>
      </c>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91" t="s">
        <v>116</v>
      </c>
      <c r="B58" s="683"/>
      <c r="C58" s="683"/>
      <c r="D58" s="683">
        <f>COUNTIF([0]!Juli,"Lejrskole")+COUNTIF([0]!Juli,"Ekskursion")</f>
        <v>0</v>
      </c>
      <c r="E58" s="690"/>
      <c r="F58" s="576"/>
      <c r="G58" s="576"/>
      <c r="H58" s="576"/>
      <c r="I58" s="578" t="s">
        <v>394</v>
      </c>
      <c r="J58" s="579"/>
      <c r="K58" s="768"/>
      <c r="L58" s="769"/>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115</v>
      </c>
      <c r="B59" s="683"/>
      <c r="C59" s="683"/>
      <c r="D59" s="683">
        <f>COUNTIF([0]!Juli,"Pæd.dag")</f>
        <v>0</v>
      </c>
      <c r="E59" s="690"/>
      <c r="F59" s="576" t="s">
        <v>226</v>
      </c>
      <c r="G59" s="576">
        <f>COUNTIFS($B$9:$B$39,"ma",[0]!Juli,"Skema 2")</f>
        <v>0</v>
      </c>
      <c r="H59" s="576"/>
      <c r="I59" s="576" t="s">
        <v>393</v>
      </c>
      <c r="J59" s="579"/>
      <c r="K59" s="769"/>
      <c r="L59" s="769"/>
      <c r="M59" s="754">
        <f>SUM(M57:M58)</f>
        <v>0</v>
      </c>
      <c r="N59" s="754">
        <f>SUM(N57:N58)</f>
        <v>0</v>
      </c>
      <c r="O59" s="756">
        <f>(M59+N59)/2</f>
        <v>0</v>
      </c>
      <c r="P59" s="581">
        <f>SUM(M59:O59)</f>
        <v>0</v>
      </c>
      <c r="Q59" s="757">
        <f>(M59+N59)*25%</f>
        <v>0</v>
      </c>
      <c r="R59" s="459"/>
      <c r="S59" s="459"/>
      <c r="T59" s="459"/>
      <c r="U59" s="459"/>
      <c r="V59" s="459"/>
      <c r="W59" s="582"/>
      <c r="X59" s="582"/>
      <c r="Y59" s="437"/>
      <c r="Z59" s="437"/>
      <c r="AA59" s="437"/>
      <c r="AB59" s="387"/>
      <c r="AC59" s="454"/>
      <c r="AD59" s="454"/>
      <c r="AE59" s="454"/>
      <c r="AG59" s="437"/>
      <c r="AI59" s="437"/>
      <c r="AJ59" s="437"/>
      <c r="AN59" s="124"/>
      <c r="AO59" s="124"/>
      <c r="BI59" s="436"/>
      <c r="BV59" s="1"/>
      <c r="CS59" s="1"/>
      <c r="CY59"/>
      <c r="CZ59"/>
      <c r="DD59" s="455"/>
      <c r="DE59" s="455"/>
    </row>
    <row r="60" spans="1:109" hidden="1">
      <c r="A60" s="683" t="s">
        <v>138</v>
      </c>
      <c r="B60" s="683"/>
      <c r="C60" s="683"/>
      <c r="D60" s="683">
        <f>COUNTIF([0]!Juli,"Weekend")</f>
        <v>10</v>
      </c>
      <c r="E60" s="690"/>
      <c r="F60" s="576" t="s">
        <v>227</v>
      </c>
      <c r="G60" s="576">
        <f>COUNTIFS($B$9:$B$39,"ti",[0]!Juli,"Skema 2")</f>
        <v>0</v>
      </c>
      <c r="H60" s="576"/>
      <c r="I60" s="576" t="s">
        <v>564</v>
      </c>
      <c r="J60" s="856"/>
      <c r="K60" s="857"/>
      <c r="L60" s="857"/>
      <c r="M60" s="858">
        <f>IF(Stamoplysninger!$B$26="Weekendtimer og weekendtillæg afspadseres.",M57,0)</f>
        <v>0</v>
      </c>
      <c r="N60" s="858">
        <f>IF(Stamoplysninger!$B$26="Weekendtimer og weekendtillæg afspadseres.",N57,0)</f>
        <v>0</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s="436"/>
      <c r="Z60"/>
      <c r="AM60" s="1"/>
      <c r="BJ60" s="1"/>
      <c r="BU60" s="455"/>
      <c r="BV60" s="455"/>
      <c r="CY60"/>
      <c r="CZ60"/>
    </row>
    <row r="61" spans="1:109" hidden="1">
      <c r="A61" s="683" t="s">
        <v>146</v>
      </c>
      <c r="B61" s="683"/>
      <c r="C61" s="683"/>
      <c r="D61" s="683">
        <f>COUNTIF([0]!Juli,"SH-dag")</f>
        <v>0</v>
      </c>
      <c r="E61" s="690"/>
      <c r="F61" s="576" t="s">
        <v>228</v>
      </c>
      <c r="G61" s="576">
        <f>COUNTIFS($B$9:$B$39,"on",[0]!Juli,"Skema 2")</f>
        <v>0</v>
      </c>
      <c r="H61" s="576"/>
      <c r="I61" s="854" t="s">
        <v>565</v>
      </c>
      <c r="J61" s="864"/>
      <c r="K61" s="864"/>
      <c r="L61" s="864"/>
      <c r="M61" s="858">
        <f>IF(Stamoplysninger!$B$26="Weekendtimer og weekendtillæg afspadseres.",O59,0)</f>
        <v>0</v>
      </c>
      <c r="N61" s="858">
        <f>IF(Stamoplysninger!$B$26="Weekendtimer og weekendtillæg afspadseres.",O59,0)</f>
        <v>0</v>
      </c>
      <c r="O61" s="754"/>
      <c r="P61" s="581"/>
      <c r="Q61" s="757" t="s">
        <v>381</v>
      </c>
      <c r="R61" s="459"/>
      <c r="S61" s="459">
        <f>IF(Stamoplysninger!B22="Ulempetillæg udbetales med 25% af nettotimelønnen.",Q59,0)</f>
        <v>0</v>
      </c>
      <c r="T61" s="459">
        <f>IF(Stamoplysninger!B22="Ulempetillæg udbetales med 25% af nettotimelønnen.",(R40+X40)*0.25,0)</f>
        <v>0</v>
      </c>
      <c r="U61" s="459"/>
      <c r="V61" s="459"/>
      <c r="W61" s="582"/>
      <c r="X61" s="582"/>
      <c r="Y61" s="436"/>
      <c r="Z61"/>
      <c r="AM61" s="1"/>
      <c r="BJ61" s="1"/>
      <c r="BU61" s="455"/>
      <c r="BV61" s="455"/>
      <c r="CY61"/>
      <c r="CZ61"/>
    </row>
    <row r="62" spans="1:109" hidden="1">
      <c r="A62" s="683" t="s">
        <v>114</v>
      </c>
      <c r="B62" s="683"/>
      <c r="C62" s="683"/>
      <c r="D62" s="683">
        <f>COUNTIF([0]!Juli,"Feriedag")</f>
        <v>18</v>
      </c>
      <c r="E62" s="690"/>
      <c r="F62" s="576" t="s">
        <v>229</v>
      </c>
      <c r="G62" s="576">
        <f>COUNTIFS($B$9:$B$39,"to",[0]!Juli,"Skema 2")</f>
        <v>0</v>
      </c>
      <c r="H62" s="576"/>
      <c r="I62" s="854" t="s">
        <v>566</v>
      </c>
      <c r="J62" s="865"/>
      <c r="K62" s="865"/>
      <c r="L62" s="865"/>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s="436"/>
      <c r="Z62"/>
      <c r="AM62" s="1"/>
      <c r="BJ62" s="1"/>
      <c r="BU62" s="455"/>
      <c r="BV62" s="455"/>
      <c r="CY62"/>
      <c r="CZ62"/>
    </row>
    <row r="63" spans="1:109" hidden="1">
      <c r="A63" s="683" t="s">
        <v>210</v>
      </c>
      <c r="B63" s="683"/>
      <c r="C63" s="683"/>
      <c r="D63" s="683">
        <f>COUNTIF([0]!Juli,"Nul-dag")</f>
        <v>3</v>
      </c>
      <c r="E63" s="690"/>
      <c r="F63" s="576" t="s">
        <v>230</v>
      </c>
      <c r="G63" s="576">
        <f>COUNTIFS($B$9:$B$39,"fr",[0]!Juli,"Skema 2")</f>
        <v>0</v>
      </c>
      <c r="H63" s="576"/>
      <c r="I63" s="854" t="s">
        <v>567</v>
      </c>
      <c r="J63" s="865"/>
      <c r="K63" s="865"/>
      <c r="L63" s="865"/>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s="436"/>
      <c r="Z63"/>
      <c r="AM63" s="1"/>
      <c r="BJ63" s="1"/>
      <c r="BU63" s="455"/>
      <c r="BV63" s="455"/>
      <c r="CY63"/>
      <c r="CZ63"/>
    </row>
    <row r="64" spans="1:109" hidden="1">
      <c r="A64" s="683" t="s">
        <v>505</v>
      </c>
      <c r="B64" s="683"/>
      <c r="C64" s="683"/>
      <c r="D64" s="683">
        <f>COUNTIF([0]!Juli,"Orlov")</f>
        <v>0</v>
      </c>
      <c r="E64" s="690"/>
      <c r="F64" s="692"/>
      <c r="G64" s="692"/>
      <c r="H64" s="692"/>
      <c r="I64" s="854" t="s">
        <v>385</v>
      </c>
      <c r="J64" s="861"/>
      <c r="K64" s="861"/>
      <c r="L64" s="861"/>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s="681">
        <f>IF(Stamoplysninger!B26="Der er indgået lokalaftale omkring weekendtillæg. Weekendtimerne afspadseres.",Juli!#REF!,0)</f>
        <v>0</v>
      </c>
      <c r="Z64" s="681"/>
      <c r="AA64" s="681"/>
      <c r="AB64" s="682"/>
      <c r="AC64" s="683"/>
      <c r="AD64" s="683"/>
      <c r="AE64" s="459"/>
      <c r="AG64" s="459"/>
      <c r="AH64" s="459"/>
      <c r="AI64" s="459"/>
      <c r="AJ64" s="582"/>
      <c r="AK64" s="582"/>
      <c r="BA64" s="1"/>
      <c r="BX64" s="1"/>
      <c r="CI64" s="455"/>
      <c r="CJ64" s="455"/>
      <c r="CY64"/>
      <c r="CZ64"/>
    </row>
    <row r="65" spans="1:104" hidden="1">
      <c r="A65" s="683" t="s">
        <v>185</v>
      </c>
      <c r="B65" s="683"/>
      <c r="C65" s="683"/>
      <c r="D65" s="683">
        <f>COUNTIF([0]!Juli,"Ikke relevant")</f>
        <v>0</v>
      </c>
      <c r="E65" s="690"/>
      <c r="F65" s="576" t="s">
        <v>231</v>
      </c>
      <c r="G65" s="576">
        <f>COUNTIFS($B$9:$B$39,"ma",[0]!Juli,"Skema 3")</f>
        <v>0</v>
      </c>
      <c r="H65" s="576">
        <v>1</v>
      </c>
      <c r="I65" s="854" t="s">
        <v>386</v>
      </c>
      <c r="J65" s="861"/>
      <c r="K65" s="861"/>
      <c r="L65" s="861"/>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s="681">
        <f>IF(Stamoplysninger!B26="Der er indgået lokalaftale omkring weekendtillæg. Weekendtimerne udbetales.",Juli!#REF!,0)</f>
        <v>0</v>
      </c>
      <c r="Z65" s="681"/>
      <c r="AA65" s="681"/>
      <c r="AB65" s="682"/>
      <c r="AC65" s="683"/>
      <c r="AD65" s="683"/>
      <c r="AE65" s="459"/>
      <c r="AG65" s="459"/>
      <c r="AH65" s="459"/>
      <c r="AI65" s="459"/>
      <c r="AJ65" s="582"/>
      <c r="AK65" s="582"/>
      <c r="BA65" s="1"/>
      <c r="BX65" s="1"/>
      <c r="CI65" s="455"/>
      <c r="CJ65" s="455"/>
      <c r="CY65"/>
      <c r="CZ65"/>
    </row>
    <row r="66" spans="1:104" hidden="1">
      <c r="A66" s="683" t="s">
        <v>113</v>
      </c>
      <c r="B66" s="683"/>
      <c r="C66" s="683"/>
      <c r="D66" s="693">
        <f>SUM(D53:D65)</f>
        <v>31</v>
      </c>
      <c r="E66" s="693"/>
      <c r="F66" s="576" t="s">
        <v>232</v>
      </c>
      <c r="G66" s="576">
        <f>COUNTIFS($B$9:$B$39,"ti",[0]!Juli,"Skema 3")</f>
        <v>0</v>
      </c>
      <c r="H66" s="576">
        <v>2</v>
      </c>
      <c r="I66" s="854" t="s">
        <v>569</v>
      </c>
      <c r="J66" s="861"/>
      <c r="K66" s="861"/>
      <c r="L66" s="861"/>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s="45"/>
      <c r="Z66" s="45"/>
      <c r="AA66" s="45"/>
      <c r="AB66" s="45"/>
      <c r="AC66" s="45"/>
      <c r="AD66" s="45"/>
      <c r="AE66" s="45"/>
      <c r="AG66" s="45"/>
      <c r="AH66" s="580"/>
      <c r="AI66" s="580"/>
      <c r="AK66" s="580"/>
      <c r="AM66" s="1"/>
      <c r="BA66" s="1"/>
      <c r="BX66" s="1"/>
      <c r="CI66" s="455"/>
      <c r="CJ66" s="455"/>
      <c r="CY66"/>
      <c r="CZ66"/>
    </row>
    <row r="67" spans="1:104" hidden="1">
      <c r="A67" s="683" t="s">
        <v>282</v>
      </c>
      <c r="B67" s="683"/>
      <c r="C67" s="683"/>
      <c r="D67" s="693">
        <f>D66-D60-A76-D65</f>
        <v>21</v>
      </c>
      <c r="E67" s="695"/>
      <c r="F67" s="576" t="s">
        <v>233</v>
      </c>
      <c r="G67" s="576">
        <f>COUNTIFS($B$9:$B$39,"on",[0]!Juli,"Skema 3")</f>
        <v>0</v>
      </c>
      <c r="H67" s="576"/>
      <c r="I67" s="854" t="s">
        <v>570</v>
      </c>
      <c r="J67" s="861"/>
      <c r="K67" s="861"/>
      <c r="L67" s="861"/>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s="1"/>
      <c r="AO67" s="1"/>
      <c r="BL67" s="1"/>
      <c r="BW67" s="455"/>
      <c r="BX67" s="455"/>
      <c r="CY67"/>
      <c r="CZ67"/>
    </row>
    <row r="68" spans="1:104" hidden="1">
      <c r="A68" s="576"/>
      <c r="B68" s="576"/>
      <c r="C68" s="576"/>
      <c r="D68" s="694"/>
      <c r="E68" s="576"/>
      <c r="F68" s="576" t="s">
        <v>234</v>
      </c>
      <c r="G68" s="576">
        <f>COUNTIFS($B$9:$B$39,"to",[0]!Juli,"Skema 3")</f>
        <v>0</v>
      </c>
      <c r="H68" s="576"/>
      <c r="I68" s="854" t="s">
        <v>387</v>
      </c>
      <c r="J68" s="863"/>
      <c r="K68" s="863"/>
      <c r="L68" s="863"/>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s="1"/>
      <c r="AO68" s="1"/>
      <c r="BL68" s="1"/>
      <c r="BW68" s="455"/>
      <c r="BX68" s="455"/>
      <c r="CY68"/>
      <c r="CZ68"/>
    </row>
    <row r="69" spans="1:104" hidden="1">
      <c r="A69" s="576"/>
      <c r="B69" s="576"/>
      <c r="C69" s="576"/>
      <c r="D69" s="694"/>
      <c r="E69" s="576"/>
      <c r="F69" s="576" t="s">
        <v>235</v>
      </c>
      <c r="G69" s="576">
        <f>COUNTIFS($B$9:$B$39,"fr",[0]!Juli,"Skema 3")</f>
        <v>0</v>
      </c>
      <c r="H69" s="576">
        <v>1</v>
      </c>
      <c r="I69" s="854" t="s">
        <v>388</v>
      </c>
      <c r="J69" s="863"/>
      <c r="K69" s="863"/>
      <c r="L69" s="863"/>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s="1"/>
      <c r="AO69" s="1"/>
      <c r="BL69" s="1"/>
      <c r="BW69" s="455"/>
      <c r="BX69" s="455"/>
      <c r="CY69"/>
      <c r="CZ69"/>
    </row>
    <row r="70" spans="1:104" hidden="1">
      <c r="A70" s="576" t="s">
        <v>344</v>
      </c>
      <c r="B70" s="576"/>
      <c r="C70" s="576"/>
      <c r="D70" s="694"/>
      <c r="E70" s="694"/>
      <c r="F70" s="576"/>
      <c r="G70" s="576"/>
      <c r="H70" s="576">
        <v>2</v>
      </c>
      <c r="I70" s="854" t="s">
        <v>571</v>
      </c>
      <c r="J70" s="863"/>
      <c r="K70" s="863"/>
      <c r="L70" s="863"/>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s="1"/>
      <c r="AO70" s="1"/>
      <c r="BL70" s="1"/>
      <c r="BW70" s="455"/>
      <c r="BX70" s="455"/>
      <c r="CY70"/>
      <c r="CZ70"/>
    </row>
    <row r="71" spans="1:104" hidden="1">
      <c r="A71" s="576">
        <f>COUNTIF($C$9:$C$10,"Skema 1")+COUNTIF($C$9:$C$10,"Skema 2")+COUNTIF($C$9:$C$10,"Skema 3")+COUNTIF($C$9:$C$10,"Skema 4")+COUNTIF($C$9:$C$10,"Fagdag")+COUNTIF($C$9:$C$10,"Emnedag")+COUNTIF($C$9:$C$10,"Lejrskole")+COUNTIF($C$9:$C$10,"Ekskursion")+COUNTIF($C$9:$C$10,"Pæd.dag")</f>
        <v>0</v>
      </c>
      <c r="B71" s="576"/>
      <c r="C71" s="576"/>
      <c r="D71" s="576"/>
      <c r="E71" s="694"/>
      <c r="F71" s="576" t="s">
        <v>236</v>
      </c>
      <c r="G71" s="576">
        <f>COUNTIFS($B$9:$B$39,"ma",[0]!Juli,"Skema 4")</f>
        <v>0</v>
      </c>
      <c r="H71" s="576"/>
      <c r="I71" s="854" t="s">
        <v>572</v>
      </c>
      <c r="J71" s="863"/>
      <c r="K71" s="863"/>
      <c r="L71" s="863"/>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s="1"/>
      <c r="AO71" s="1"/>
      <c r="BL71" s="1"/>
      <c r="BW71" s="455"/>
      <c r="BX71" s="455"/>
      <c r="CY71"/>
      <c r="CZ71"/>
    </row>
    <row r="72" spans="1:104" hidden="1">
      <c r="A72" s="576">
        <f>COUNTIF($C$16:$C$17,"Skema 1")+COUNTIF($C$16:$C$17,"Skema 2")+COUNTIF($C$16:$C$17,"Skema 3")+COUNTIF($C$16:$C$17,"Skema 4")+COUNTIF($C$16:$C$17,"Fagdag")+COUNTIF($C$16:$C$17,"Emnedag")+COUNTIF($C$16:$C$17,"Lejrskole")+COUNTIF($C$16:$C$17,"Ekskursion")+COUNTIF($C$16:$C$17,"Pæd.dag")</f>
        <v>0</v>
      </c>
      <c r="B72" s="576"/>
      <c r="C72" s="576"/>
      <c r="D72" s="576"/>
      <c r="E72" s="694"/>
      <c r="F72" s="576" t="s">
        <v>237</v>
      </c>
      <c r="G72" s="576">
        <f>COUNTIFS($B$9:$B$39,"ti",[0]!Juli,"Skema 4")</f>
        <v>0</v>
      </c>
      <c r="H72" s="576"/>
      <c r="I72" s="576" t="s">
        <v>568</v>
      </c>
      <c r="J72" s="769"/>
      <c r="K72" s="769"/>
      <c r="L72" s="769"/>
      <c r="M72" s="754">
        <f>IF(Stamoplysninger!$B$26="Der er indgået lokalaftale omkring weekendtimer og weekendtillæg.(Kræver aftale med TR/FSL).",M57,0)</f>
        <v>0</v>
      </c>
      <c r="N72" s="754"/>
      <c r="O72" s="580"/>
      <c r="P72" s="580"/>
      <c r="Q72" s="580"/>
      <c r="R72" s="580"/>
      <c r="S72" s="580"/>
      <c r="T72" s="580"/>
      <c r="V72" s="580"/>
      <c r="X72" s="580"/>
      <c r="Y72"/>
      <c r="Z72" s="1"/>
      <c r="AO72" s="1"/>
      <c r="BL72" s="1"/>
      <c r="BW72" s="455"/>
      <c r="BX72" s="455"/>
      <c r="CY72"/>
      <c r="CZ72"/>
    </row>
    <row r="73" spans="1:104">
      <c r="A73" s="576">
        <f>COUNTIF($C$23:$C$24,"Skema 1")+COUNTIF($C$23:$C$24,"Skema 2")+COUNTIF($C$23:$C$24,"Skema 3")+COUNTIF($C$23:$C$24,"Skema 4")+COUNTIF($C$23:$C$24,"Fagdag")+COUNTIF($C$23:$C$24,"Emnedag")+COUNTIF($C$23:$C$24,"Lejrskole")+COUNTIF($C$23:$C$24,"Ekskursion")+COUNTIF($C$23:$C$24,"Pæd.dag")</f>
        <v>0</v>
      </c>
      <c r="B73" s="576"/>
      <c r="C73" s="576"/>
      <c r="D73" s="576"/>
      <c r="E73" s="694"/>
      <c r="F73" s="576" t="s">
        <v>238</v>
      </c>
      <c r="G73" s="576">
        <f>COUNTIFS($B$9:$B$39,"on",[0]!Juli,"Skema 4")</f>
        <v>0</v>
      </c>
      <c r="H73" s="576"/>
      <c r="I73" s="576"/>
      <c r="J73" s="769"/>
      <c r="K73" s="769"/>
      <c r="L73" s="769"/>
      <c r="M73" s="580"/>
      <c r="N73" s="580"/>
      <c r="O73" s="580"/>
      <c r="P73" s="580"/>
      <c r="Q73" s="580"/>
      <c r="R73" s="580"/>
      <c r="S73" s="580"/>
      <c r="T73" s="580"/>
      <c r="V73" s="580"/>
      <c r="Y73"/>
      <c r="Z73" s="1"/>
      <c r="AO73" s="1"/>
      <c r="BL73" s="1"/>
      <c r="BW73" s="455"/>
      <c r="BX73" s="455"/>
      <c r="CY73"/>
      <c r="CZ73"/>
    </row>
    <row r="74" spans="1:104">
      <c r="A74" s="576">
        <f>COUNTIF($C$30:$C$31,"Skema 1")+COUNTIF($C$30:$C$31,"Skema 2")+COUNTIF($C$30:$C$31,"Skema 3")+COUNTIF($C$30:$C$31,"Skema 4")+COUNTIF($C$30:$C$31,"Fagdag")+COUNTIF($C$30:$C$31,"Emnedag")+COUNTIF($C$30:$C$31,"Lejrskole")+COUNTIF($C$30:$C$31,"Ekskursion")+COUNTIF($C$30:$C$31,"Pæd.dag")</f>
        <v>0</v>
      </c>
      <c r="B74" s="576"/>
      <c r="C74" s="576"/>
      <c r="D74" s="576"/>
      <c r="E74" s="694"/>
      <c r="F74" s="576" t="s">
        <v>239</v>
      </c>
      <c r="G74" s="576">
        <f>COUNTIFS($B$9:$B$39,"to",[0]!Juli,"Skema 4")</f>
        <v>0</v>
      </c>
      <c r="H74" s="576"/>
      <c r="I74" s="576"/>
      <c r="J74" s="769"/>
      <c r="K74" s="769"/>
      <c r="L74" s="769"/>
      <c r="M74" s="580"/>
      <c r="N74" s="580"/>
      <c r="O74" s="580"/>
      <c r="P74" s="580"/>
      <c r="Q74" s="580"/>
      <c r="R74" s="580"/>
      <c r="S74" s="580"/>
      <c r="T74" s="580"/>
      <c r="V74" s="580"/>
      <c r="Y74"/>
      <c r="Z74"/>
      <c r="AO74" s="1">
        <f>SUM(N74:AN74)</f>
        <v>0</v>
      </c>
      <c r="BL74" s="1">
        <f>SUM(AI74:BK74)</f>
        <v>0</v>
      </c>
      <c r="BW74" s="455"/>
      <c r="BX74" s="455"/>
      <c r="CY74"/>
      <c r="CZ74"/>
    </row>
    <row r="75" spans="1:104">
      <c r="A75" s="576">
        <f>COUNTIF($C$37:$C$38,"Skema 1")+COUNTIF($C$37:$C$38,"Skema 2")+COUNTIF($C$37:$C$38,"Skema 3")+COUNTIF($C$37:$C$38,"Skema 4")+COUNTIF($C$37:$C$38,"Fagdag")+COUNTIF($C$37:$C$38,"Emnedag")+COUNTIF($C$37:$C$38,"Lejrskole")+COUNTIF($C$37:$C$38,"Ekskursion")+COUNTIF($C$37:$C$38,"Pæd.dag")</f>
        <v>0</v>
      </c>
      <c r="B75" s="576"/>
      <c r="C75" s="576"/>
      <c r="D75" s="576"/>
      <c r="E75" s="694"/>
      <c r="F75" s="576" t="s">
        <v>240</v>
      </c>
      <c r="G75" s="576">
        <f>COUNTIFS($B$9:$B$39,"fr",[0]!Juli,"Skema 4")</f>
        <v>0</v>
      </c>
      <c r="H75" s="576"/>
      <c r="I75" s="45"/>
      <c r="J75" s="769"/>
      <c r="K75" s="769"/>
      <c r="L75" s="769"/>
      <c r="M75" s="580"/>
      <c r="N75" s="580"/>
      <c r="O75" s="580"/>
      <c r="P75" s="580"/>
      <c r="Q75" s="580"/>
      <c r="R75" s="580"/>
      <c r="S75" s="580"/>
      <c r="T75" s="580"/>
      <c r="V75" s="580"/>
      <c r="Y75"/>
      <c r="Z75"/>
      <c r="AO75" s="1">
        <f>SUM(N75:AN75)</f>
        <v>0</v>
      </c>
      <c r="BL75" s="1">
        <f>SUM(AI75:BK75)</f>
        <v>0</v>
      </c>
      <c r="BW75" s="455"/>
      <c r="BX75" s="455"/>
      <c r="CY75"/>
      <c r="CZ75"/>
    </row>
    <row r="76" spans="1:104">
      <c r="A76" s="576">
        <f>SUM(A71:A75)</f>
        <v>0</v>
      </c>
      <c r="B76" s="576"/>
      <c r="C76" s="576"/>
      <c r="D76" s="576"/>
      <c r="E76" s="694"/>
      <c r="F76" s="694"/>
      <c r="G76" s="697">
        <f>SUM(G53:G75)</f>
        <v>0</v>
      </c>
      <c r="H76" s="696"/>
      <c r="I76" s="45"/>
      <c r="J76" s="769"/>
      <c r="K76" s="769"/>
      <c r="L76" s="769"/>
      <c r="Y76"/>
      <c r="Z76"/>
      <c r="AO76" s="1">
        <f>SUM(N76:AN76)</f>
        <v>0</v>
      </c>
      <c r="BL76" s="1">
        <f>SUM(AI76:BK76)</f>
        <v>0</v>
      </c>
      <c r="BW76" s="455"/>
      <c r="BX76" s="455"/>
      <c r="CY76"/>
      <c r="CZ76"/>
    </row>
    <row r="77" spans="1:104">
      <c r="A77" s="779"/>
      <c r="B77" s="779"/>
      <c r="C77" s="779"/>
      <c r="D77" s="779"/>
      <c r="E77" s="778"/>
      <c r="F77" s="778"/>
      <c r="G77" s="778"/>
      <c r="H77" s="779"/>
      <c r="I77" s="769"/>
      <c r="J77" s="769"/>
      <c r="K77" s="769"/>
      <c r="L77" s="769"/>
      <c r="Y77"/>
      <c r="Z77"/>
      <c r="AO77" s="1">
        <f>SUM(N77:AN77)</f>
        <v>0</v>
      </c>
      <c r="BL77" s="1">
        <f>SUM(AI77:BK77)</f>
        <v>0</v>
      </c>
      <c r="BW77" s="455"/>
      <c r="BX77" s="455"/>
      <c r="CY77"/>
      <c r="CZ77"/>
    </row>
    <row r="78" spans="1:104">
      <c r="A78" s="779"/>
      <c r="B78" s="779"/>
      <c r="C78" s="779"/>
      <c r="D78" s="779"/>
      <c r="E78" s="778"/>
      <c r="F78" s="778"/>
      <c r="G78" s="778"/>
      <c r="H78" s="779"/>
      <c r="I78" s="769"/>
      <c r="J78" s="769"/>
      <c r="K78" s="769"/>
      <c r="L78" s="769"/>
      <c r="Y78"/>
      <c r="Z78"/>
      <c r="BW78" s="455"/>
      <c r="BX78" s="455"/>
      <c r="CY78"/>
      <c r="CZ78"/>
    </row>
    <row r="79" spans="1:104">
      <c r="A79" s="779"/>
      <c r="B79" s="779"/>
      <c r="C79" s="779"/>
      <c r="D79" s="779"/>
      <c r="E79" s="778"/>
      <c r="F79" s="778"/>
      <c r="G79" s="778"/>
      <c r="H79" s="779"/>
      <c r="I79" s="769"/>
      <c r="J79" s="769"/>
      <c r="K79" s="769"/>
      <c r="L79" s="769"/>
      <c r="Y79"/>
      <c r="Z79"/>
      <c r="BW79" s="455"/>
      <c r="BX79" s="455"/>
      <c r="CY79"/>
      <c r="CZ79"/>
    </row>
    <row r="80" spans="1:104">
      <c r="A80" s="779"/>
      <c r="B80" s="779"/>
      <c r="C80" s="779"/>
      <c r="D80" s="779"/>
      <c r="E80" s="778"/>
      <c r="F80" s="778"/>
      <c r="G80" s="778"/>
      <c r="H80" s="779"/>
      <c r="I80" s="769"/>
      <c r="J80" s="769"/>
      <c r="K80" s="769"/>
      <c r="L80" s="769"/>
      <c r="Y80"/>
      <c r="Z80"/>
      <c r="BW80" s="455"/>
      <c r="BX80" s="455"/>
      <c r="CY80"/>
      <c r="CZ80"/>
    </row>
    <row r="81" spans="1:111">
      <c r="A81" s="779"/>
      <c r="B81" s="779"/>
      <c r="C81" s="779"/>
      <c r="D81" s="779"/>
      <c r="E81" s="583"/>
      <c r="F81" s="778"/>
      <c r="G81" s="778"/>
      <c r="H81" s="779"/>
      <c r="I81" s="769"/>
      <c r="J81" s="769"/>
      <c r="K81" s="769"/>
      <c r="L81" s="769"/>
      <c r="Y81"/>
      <c r="Z81"/>
      <c r="BW81" s="455"/>
      <c r="BX81" s="455"/>
      <c r="CY81"/>
      <c r="CZ81"/>
    </row>
    <row r="82" spans="1:111">
      <c r="A82" s="779"/>
      <c r="B82" s="779"/>
      <c r="C82" s="779"/>
      <c r="D82" s="779"/>
      <c r="E82" s="583"/>
      <c r="F82" s="778"/>
      <c r="G82" s="778"/>
      <c r="H82" s="779"/>
      <c r="I82" s="769"/>
      <c r="J82" s="769"/>
      <c r="K82" s="769"/>
      <c r="L82" s="769"/>
      <c r="Y82"/>
      <c r="Z82"/>
      <c r="AF82" s="424"/>
      <c r="BW82" s="455"/>
      <c r="BX82" s="455"/>
      <c r="CY82"/>
      <c r="CZ82"/>
    </row>
    <row r="83" spans="1:111">
      <c r="A83" s="779"/>
      <c r="B83" s="779"/>
      <c r="C83" s="779"/>
      <c r="D83" s="779"/>
      <c r="E83" s="188"/>
      <c r="F83" s="777"/>
      <c r="G83" s="777"/>
      <c r="H83" s="769"/>
      <c r="I83" s="769"/>
      <c r="J83" s="769"/>
      <c r="K83" s="769"/>
      <c r="L83" s="769"/>
      <c r="Y83"/>
      <c r="Z83"/>
      <c r="AD83" s="406"/>
      <c r="AE83" s="424"/>
      <c r="AF83" s="424"/>
      <c r="AG83" s="424"/>
      <c r="AH83" s="424"/>
      <c r="CY83"/>
      <c r="CZ83"/>
      <c r="DF83" s="455"/>
      <c r="DG83" s="455"/>
    </row>
    <row r="84" spans="1:111">
      <c r="A84" s="769"/>
      <c r="B84" s="769"/>
      <c r="C84" s="769"/>
      <c r="D84" s="769"/>
      <c r="E84" s="188"/>
      <c r="F84" s="777"/>
      <c r="G84" s="777"/>
      <c r="H84" s="769"/>
      <c r="I84" s="769"/>
      <c r="J84" s="769"/>
      <c r="K84" s="769"/>
      <c r="L84" s="769"/>
      <c r="Y84"/>
      <c r="Z84"/>
      <c r="AD84" s="406"/>
      <c r="AE84" s="424"/>
      <c r="AG84" s="424"/>
      <c r="AH84" s="424"/>
      <c r="CY84"/>
      <c r="CZ84"/>
      <c r="DF84" s="455"/>
      <c r="DG84" s="455"/>
    </row>
    <row r="85" spans="1:111">
      <c r="A85" s="769"/>
      <c r="B85" s="769"/>
      <c r="C85" s="769"/>
      <c r="D85" s="769"/>
      <c r="E85" s="188"/>
      <c r="F85" s="188"/>
      <c r="G85" s="188"/>
      <c r="H85" s="769"/>
    </row>
    <row r="86" spans="1:111">
      <c r="A86" s="769"/>
      <c r="B86" s="769"/>
      <c r="C86" s="769"/>
      <c r="D86" s="769"/>
      <c r="E86" s="105"/>
      <c r="F86" s="105"/>
      <c r="G86" s="105"/>
    </row>
  </sheetData>
  <sheetProtection sheet="1" objects="1" scenarios="1"/>
  <mergeCells count="117">
    <mergeCell ref="A56:C56"/>
    <mergeCell ref="M55:U55"/>
    <mergeCell ref="V55:X55"/>
    <mergeCell ref="A54:C54"/>
    <mergeCell ref="A55:C55"/>
    <mergeCell ref="I51:K51"/>
    <mergeCell ref="M50:U50"/>
    <mergeCell ref="V50:X50"/>
    <mergeCell ref="M51:U51"/>
    <mergeCell ref="V51:X51"/>
    <mergeCell ref="M52:U52"/>
    <mergeCell ref="V52:X52"/>
    <mergeCell ref="M53:U53"/>
    <mergeCell ref="V53:X53"/>
    <mergeCell ref="M54:U54"/>
    <mergeCell ref="V54:X54"/>
    <mergeCell ref="A50:H50"/>
    <mergeCell ref="I50:K50"/>
    <mergeCell ref="M49:U49"/>
    <mergeCell ref="V49:X49"/>
    <mergeCell ref="A44:G44"/>
    <mergeCell ref="I44:K44"/>
    <mergeCell ref="A45:G45"/>
    <mergeCell ref="I45:K45"/>
    <mergeCell ref="M45:U45"/>
    <mergeCell ref="V45:X45"/>
    <mergeCell ref="A49:H49"/>
    <mergeCell ref="I49:K49"/>
    <mergeCell ref="A46:G46"/>
    <mergeCell ref="I46:K46"/>
    <mergeCell ref="A47:G47"/>
    <mergeCell ref="I47:K47"/>
    <mergeCell ref="M46:U46"/>
    <mergeCell ref="A48:H48"/>
    <mergeCell ref="I48:K48"/>
    <mergeCell ref="V46:X46"/>
    <mergeCell ref="M47:X47"/>
    <mergeCell ref="M48:U48"/>
    <mergeCell ref="V48:X48"/>
    <mergeCell ref="A42:G42"/>
    <mergeCell ref="I42:K42"/>
    <mergeCell ref="A43:G43"/>
    <mergeCell ref="I43:K43"/>
    <mergeCell ref="M42:X42"/>
    <mergeCell ref="M43:U43"/>
    <mergeCell ref="V43:X43"/>
    <mergeCell ref="M44:U44"/>
    <mergeCell ref="V44:X44"/>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S6:X6"/>
    <mergeCell ref="S8:U8"/>
    <mergeCell ref="V8:X8"/>
    <mergeCell ref="I6:I7"/>
    <mergeCell ref="J6:J7"/>
    <mergeCell ref="B2:E2"/>
    <mergeCell ref="E4:G4"/>
    <mergeCell ref="K4:L4"/>
    <mergeCell ref="A5:R5"/>
    <mergeCell ref="P6:P7"/>
    <mergeCell ref="Q6:Q7"/>
    <mergeCell ref="R6:R7"/>
    <mergeCell ref="A4:D4"/>
    <mergeCell ref="S5:X5"/>
    <mergeCell ref="A3:X3"/>
  </mergeCells>
  <conditionalFormatting sqref="E20">
    <cfRule type="expression" dxfId="460" priority="78">
      <formula>OR($D19="pæd.dag")</formula>
    </cfRule>
    <cfRule type="expression" dxfId="459" priority="79">
      <formula>OR($D19="nul-dag")</formula>
    </cfRule>
    <cfRule type="expression" dxfId="458" priority="80">
      <formula>OR($D19="SH-dag")</formula>
    </cfRule>
    <cfRule type="expression" dxfId="457" priority="81">
      <formula>OR($D19="ekskursion")</formula>
    </cfRule>
    <cfRule type="expression" dxfId="456" priority="82">
      <formula>OR($D19="lejrskole")</formula>
    </cfRule>
    <cfRule type="expression" dxfId="455" priority="83">
      <formula>OR($D19="emnedag")</formula>
    </cfRule>
    <cfRule type="expression" dxfId="454" priority="84">
      <formula>OR($D19="fagdag")</formula>
    </cfRule>
    <cfRule type="expression" dxfId="453" priority="85">
      <formula>OR($D19="feriedag")</formula>
    </cfRule>
    <cfRule type="expression" dxfId="452" priority="86">
      <formula>OR($D19="weekend")</formula>
    </cfRule>
    <cfRule type="expression" dxfId="451" priority="87" stopIfTrue="1">
      <formula>OR($D19="skoledag")</formula>
    </cfRule>
  </conditionalFormatting>
  <conditionalFormatting sqref="E20">
    <cfRule type="expression" dxfId="450" priority="88">
      <formula>OR($D19="Ikke relevant")</formula>
    </cfRule>
  </conditionalFormatting>
  <conditionalFormatting sqref="K9:M39">
    <cfRule type="expression" dxfId="449" priority="58">
      <formula>OR($C9="fagdag",)</formula>
    </cfRule>
    <cfRule type="expression" dxfId="448" priority="59">
      <formula>OR($C9="emnedag",)</formula>
    </cfRule>
  </conditionalFormatting>
  <conditionalFormatting sqref="K9:K39">
    <cfRule type="expression" dxfId="447" priority="60">
      <formula>OR($C9="Pæd.dag",)</formula>
    </cfRule>
  </conditionalFormatting>
  <conditionalFormatting sqref="K9:L39">
    <cfRule type="expression" dxfId="446" priority="61">
      <formula>OR($C9="Lejrskole",)</formula>
    </cfRule>
    <cfRule type="expression" dxfId="445" priority="62">
      <formula>OR($C9="Ekskursion",)</formula>
    </cfRule>
  </conditionalFormatting>
  <conditionalFormatting sqref="R9:R39">
    <cfRule type="expression" dxfId="444" priority="89">
      <formula>OR($H9&gt;"0",)</formula>
    </cfRule>
  </conditionalFormatting>
  <conditionalFormatting sqref="E27">
    <cfRule type="expression" dxfId="443" priority="15">
      <formula>OR($D26="pæd.dag")</formula>
    </cfRule>
    <cfRule type="expression" dxfId="442" priority="16">
      <formula>OR($D26="nul-dag")</formula>
    </cfRule>
    <cfRule type="expression" dxfId="441" priority="17">
      <formula>OR($D26="SH-dag")</formula>
    </cfRule>
    <cfRule type="expression" dxfId="440" priority="18">
      <formula>OR($D26="ekskursion")</formula>
    </cfRule>
    <cfRule type="expression" dxfId="439" priority="19">
      <formula>OR($D26="lejrskole")</formula>
    </cfRule>
    <cfRule type="expression" dxfId="438" priority="20">
      <formula>OR($D26="emnedag")</formula>
    </cfRule>
    <cfRule type="expression" dxfId="437" priority="21">
      <formula>OR($D26="fagdag")</formula>
    </cfRule>
    <cfRule type="expression" dxfId="436" priority="22">
      <formula>OR($D26="feriedag")</formula>
    </cfRule>
    <cfRule type="expression" dxfId="435" priority="23">
      <formula>OR($D26="weekend")</formula>
    </cfRule>
    <cfRule type="expression" dxfId="434" priority="24" stopIfTrue="1">
      <formula>OR($D26="skoledag")</formula>
    </cfRule>
  </conditionalFormatting>
  <conditionalFormatting sqref="E27">
    <cfRule type="expression" dxfId="433" priority="25">
      <formula>OR($D26="Ikke relevant")</formula>
    </cfRule>
  </conditionalFormatting>
  <conditionalFormatting sqref="E34">
    <cfRule type="expression" dxfId="432" priority="4">
      <formula>OR($D33="pæd.dag")</formula>
    </cfRule>
    <cfRule type="expression" dxfId="431" priority="5">
      <formula>OR($D33="nul-dag")</formula>
    </cfRule>
    <cfRule type="expression" dxfId="430" priority="6">
      <formula>OR($D33="SH-dag")</formula>
    </cfRule>
    <cfRule type="expression" dxfId="429" priority="7">
      <formula>OR($D33="ekskursion")</formula>
    </cfRule>
    <cfRule type="expression" dxfId="428" priority="8">
      <formula>OR($D33="lejrskole")</formula>
    </cfRule>
    <cfRule type="expression" dxfId="427" priority="9">
      <formula>OR($D33="emnedag")</formula>
    </cfRule>
    <cfRule type="expression" dxfId="426" priority="10">
      <formula>OR($D33="fagdag")</formula>
    </cfRule>
    <cfRule type="expression" dxfId="425" priority="11">
      <formula>OR($D33="feriedag")</formula>
    </cfRule>
    <cfRule type="expression" dxfId="424" priority="12">
      <formula>OR($D33="weekend")</formula>
    </cfRule>
    <cfRule type="expression" dxfId="423" priority="13" stopIfTrue="1">
      <formula>OR($D33="skoledag")</formula>
    </cfRule>
  </conditionalFormatting>
  <conditionalFormatting sqref="E34">
    <cfRule type="expression" dxfId="422" priority="14">
      <formula>OR($D33="Ikke relevant")</formula>
    </cfRule>
  </conditionalFormatting>
  <conditionalFormatting sqref="A9:H39">
    <cfRule type="expression" dxfId="421" priority="63">
      <formula>OR($C9="Skema 1")</formula>
    </cfRule>
    <cfRule type="expression" dxfId="420" priority="64">
      <formula>OR($C9="skema 2")</formula>
    </cfRule>
    <cfRule type="expression" dxfId="419" priority="65">
      <formula>OR($C9="Skema 3")</formula>
    </cfRule>
    <cfRule type="expression" dxfId="418" priority="66">
      <formula>OR($C9="Skema 4")</formula>
    </cfRule>
    <cfRule type="expression" dxfId="417" priority="67">
      <formula>OR($C9="Ikke relevant")</formula>
    </cfRule>
    <cfRule type="expression" dxfId="416" priority="68">
      <formula>OR($C9="pæd.dag")</formula>
    </cfRule>
    <cfRule type="expression" dxfId="415" priority="69">
      <formula>OR($C9="nul-dag")</formula>
    </cfRule>
    <cfRule type="expression" dxfId="414" priority="70">
      <formula>OR($C9="SH-dag")</formula>
    </cfRule>
    <cfRule type="expression" dxfId="413" priority="71">
      <formula>OR($C9="ekskursion")</formula>
    </cfRule>
    <cfRule type="expression" dxfId="412" priority="72">
      <formula>OR($C9="lejrskole")</formula>
    </cfRule>
    <cfRule type="expression" dxfId="411" priority="73">
      <formula>OR($C9="emnedag")</formula>
    </cfRule>
    <cfRule type="expression" dxfId="410" priority="74">
      <formula>OR($C9="fagdag")</formula>
    </cfRule>
    <cfRule type="expression" dxfId="409" priority="75">
      <formula>OR($C9="feriedag")</formula>
    </cfRule>
    <cfRule type="expression" dxfId="408" priority="76">
      <formula>OR($C9="weekend")</formula>
    </cfRule>
    <cfRule type="expression" dxfId="407" priority="77" stopIfTrue="1">
      <formula>OR($C9="Orlov")</formula>
    </cfRule>
  </conditionalFormatting>
  <conditionalFormatting sqref="V9:V39">
    <cfRule type="expression" dxfId="406" priority="3">
      <formula>OR($S9="X",)</formula>
    </cfRule>
  </conditionalFormatting>
  <conditionalFormatting sqref="W9:W39">
    <cfRule type="expression" dxfId="405" priority="2">
      <formula>OR($T9="X",)</formula>
    </cfRule>
  </conditionalFormatting>
  <conditionalFormatting sqref="X9:X39">
    <cfRule type="expression" dxfId="404" priority="1">
      <formula>OR($U9="X",)</formula>
    </cfRule>
  </conditionalFormatting>
  <dataValidations count="3">
    <dataValidation type="list" allowBlank="1" showInputMessage="1" showErrorMessage="1" sqref="S9:T39 U9:U37"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I10 I16:I17 I23:I24 I30:I31 I37:I38"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August!$A$79:$A$93</xm:f>
          </x14:formula1>
          <xm:sqref>C9:C39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84"/>
  <sheetViews>
    <sheetView zoomScale="110" zoomScaleNormal="110" workbookViewId="0">
      <selection activeCell="C83" sqref="C83:J83"/>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1259" t="s">
        <v>541</v>
      </c>
      <c r="D1" s="1259"/>
      <c r="E1" s="1259"/>
      <c r="F1" s="1259"/>
      <c r="G1" s="1259"/>
      <c r="H1" s="1259"/>
      <c r="I1" s="1259"/>
      <c r="J1" s="1259"/>
      <c r="K1" s="625"/>
      <c r="L1" s="625"/>
    </row>
    <row r="2" spans="1:12" ht="56" customHeight="1">
      <c r="A2" s="13"/>
      <c r="B2" s="34"/>
      <c r="C2" s="1260" t="s">
        <v>419</v>
      </c>
      <c r="D2" s="1260"/>
      <c r="E2" s="1260"/>
      <c r="F2" s="1260"/>
      <c r="G2" s="1260"/>
      <c r="H2" s="1260"/>
      <c r="I2" s="1260"/>
      <c r="J2" s="1260"/>
      <c r="K2" s="624"/>
      <c r="L2" s="624"/>
    </row>
    <row r="3" spans="1:12" ht="43" customHeight="1">
      <c r="A3" s="13"/>
      <c r="B3" s="34"/>
      <c r="C3" s="1260" t="s">
        <v>542</v>
      </c>
      <c r="D3" s="1260"/>
      <c r="E3" s="1260"/>
      <c r="F3" s="1260"/>
      <c r="G3" s="1260"/>
      <c r="H3" s="1260"/>
      <c r="I3" s="1260"/>
      <c r="J3" s="1260"/>
      <c r="K3" s="624"/>
      <c r="L3" s="624"/>
    </row>
    <row r="4" spans="1:12" ht="22" customHeight="1">
      <c r="A4" s="13"/>
      <c r="B4" s="34"/>
      <c r="C4" s="1277" t="s">
        <v>438</v>
      </c>
      <c r="D4" s="1277"/>
      <c r="E4" s="1277"/>
      <c r="F4" s="1277"/>
      <c r="G4" s="1277"/>
      <c r="H4" s="1277"/>
      <c r="I4" s="1277"/>
      <c r="J4" s="1277"/>
      <c r="K4" s="624"/>
      <c r="L4" s="624"/>
    </row>
    <row r="5" spans="1:12" ht="42" customHeight="1">
      <c r="A5" s="13"/>
      <c r="B5" s="34"/>
      <c r="C5" s="1260" t="s">
        <v>629</v>
      </c>
      <c r="D5" s="1260"/>
      <c r="E5" s="1260"/>
      <c r="F5" s="1260"/>
      <c r="G5" s="1260"/>
      <c r="H5" s="1260"/>
      <c r="I5" s="1260"/>
      <c r="J5" s="1260"/>
      <c r="K5" s="624"/>
      <c r="L5" s="624"/>
    </row>
    <row r="6" spans="1:12" ht="96" customHeight="1">
      <c r="A6" s="13"/>
      <c r="B6" s="34"/>
      <c r="C6" s="1260" t="s">
        <v>439</v>
      </c>
      <c r="D6" s="1260"/>
      <c r="E6" s="1260"/>
      <c r="F6" s="1260"/>
      <c r="G6" s="1260"/>
      <c r="H6" s="1260"/>
      <c r="I6" s="1260"/>
      <c r="J6" s="1260"/>
      <c r="K6" s="624"/>
      <c r="L6" s="624"/>
    </row>
    <row r="7" spans="1:12" s="6" customFormat="1" ht="24" customHeight="1" thickBot="1">
      <c r="A7" s="1279" t="s">
        <v>543</v>
      </c>
      <c r="B7" s="1279"/>
      <c r="C7" s="1278" t="s">
        <v>544</v>
      </c>
      <c r="D7" s="1278"/>
      <c r="E7" s="1278"/>
      <c r="F7" s="1278"/>
      <c r="G7" s="1278"/>
      <c r="H7" s="1278"/>
      <c r="I7" s="1278"/>
      <c r="J7" s="1278"/>
      <c r="K7" s="852"/>
      <c r="L7" s="852"/>
    </row>
    <row r="8" spans="1:12" ht="28" customHeight="1">
      <c r="A8" s="1292">
        <v>1</v>
      </c>
      <c r="B8" s="1271" t="s">
        <v>25</v>
      </c>
      <c r="C8" s="1272"/>
      <c r="D8" s="1272"/>
      <c r="E8" s="1272"/>
      <c r="F8" s="1272"/>
      <c r="G8" s="1272"/>
      <c r="H8" s="1272"/>
      <c r="I8" s="1272"/>
      <c r="J8" s="1273"/>
    </row>
    <row r="9" spans="1:12" ht="20" customHeight="1">
      <c r="A9" s="1293"/>
      <c r="B9" s="1274" t="str">
        <f>"Der er for perioden: "&amp;Stamoplysninger!E11&amp;" - "&amp;Stamoplysninger!G11&amp;" planlagt følgende arbejdstid:"</f>
        <v>Der er for perioden: 01.08.2022 - 31.07.2023 planlagt følgende arbejdstid:</v>
      </c>
      <c r="C9" s="1275"/>
      <c r="D9" s="1275"/>
      <c r="E9" s="1275"/>
      <c r="F9" s="1275"/>
      <c r="G9" s="1275"/>
      <c r="H9" s="1275"/>
      <c r="I9" s="1275"/>
      <c r="J9" s="1276"/>
      <c r="K9" s="45">
        <v>261</v>
      </c>
    </row>
    <row r="10" spans="1:12" ht="5" customHeight="1">
      <c r="A10" s="1293"/>
      <c r="B10" s="628"/>
      <c r="C10" s="629"/>
      <c r="D10" s="629"/>
      <c r="E10" s="629"/>
      <c r="F10" s="629"/>
      <c r="G10" s="629"/>
      <c r="H10" s="629"/>
      <c r="I10" s="629"/>
      <c r="J10" s="632"/>
    </row>
    <row r="11" spans="1:12" ht="32" customHeight="1">
      <c r="A11" s="1293"/>
      <c r="B11" s="1269"/>
      <c r="C11" s="1270"/>
      <c r="D11" s="1270"/>
      <c r="E11" s="1270"/>
      <c r="F11" s="1032"/>
      <c r="G11" s="1295" t="s">
        <v>10</v>
      </c>
      <c r="H11" s="1295"/>
      <c r="I11" s="1263" t="s">
        <v>30</v>
      </c>
      <c r="J11" s="1264"/>
    </row>
    <row r="12" spans="1:12" ht="32" customHeight="1">
      <c r="A12" s="1293"/>
      <c r="B12" s="1282" t="s">
        <v>250</v>
      </c>
      <c r="C12" s="1228"/>
      <c r="D12" s="1228"/>
      <c r="E12" s="1228"/>
      <c r="F12" s="1229"/>
      <c r="G12" s="1261">
        <f>August!D68+September!D66+Oktober!D67+November!D66+December!D67+Januar!D67+Februar!D64+Marts!D67+April!D66+Maj!D67+Juni!D66+Juli!D67</f>
        <v>261</v>
      </c>
      <c r="H12" s="1261"/>
      <c r="I12" s="1265">
        <f>IF(Stamoplysninger!E12="Ja",1924/K9*G12*Stamoplysninger!E15,Arbejdstidsoversigt!G12*7.4*Stamoplysninger!E13)</f>
        <v>1924</v>
      </c>
      <c r="J12" s="1266"/>
    </row>
    <row r="13" spans="1:12" ht="32" customHeight="1">
      <c r="A13" s="1293"/>
      <c r="B13" s="1282" t="s">
        <v>253</v>
      </c>
      <c r="C13" s="1228"/>
      <c r="D13" s="1228"/>
      <c r="E13" s="1228"/>
      <c r="F13" s="1229"/>
      <c r="G13" s="1261">
        <f>August!D62+September!D60+Oktober!D61+November!D60+December!D61+Januar!D61+Februar!D58+Marts!D61+April!D60+Maj!D61+Juni!D60+Juli!D61</f>
        <v>7</v>
      </c>
      <c r="H13" s="1261"/>
      <c r="I13" s="1265">
        <f>G13*7.4*Stamoplysninger!E15</f>
        <v>51.800000000000004</v>
      </c>
      <c r="J13" s="1266"/>
    </row>
    <row r="14" spans="1:12" ht="32" customHeight="1">
      <c r="A14" s="1293"/>
      <c r="B14" s="1282" t="s">
        <v>254</v>
      </c>
      <c r="C14" s="1228"/>
      <c r="D14" s="1228"/>
      <c r="E14" s="1228"/>
      <c r="F14" s="1229"/>
      <c r="G14" s="1261">
        <f>August!D63+September!D61+Oktober!D62+November!D61+December!D62+Januar!D62+Februar!D59+Marts!D62+April!D61+Maj!D62+Juni!D61+Juli!D62</f>
        <v>25</v>
      </c>
      <c r="H14" s="1261"/>
      <c r="I14" s="1265">
        <f>G14*Stamoplysninger!E15*7.4</f>
        <v>185</v>
      </c>
      <c r="J14" s="1266"/>
    </row>
    <row r="15" spans="1:12" ht="32" customHeight="1" thickBot="1">
      <c r="A15" s="1294"/>
      <c r="B15" s="1283" t="s">
        <v>25</v>
      </c>
      <c r="C15" s="1284"/>
      <c r="D15" s="1284"/>
      <c r="E15" s="1284"/>
      <c r="F15" s="1285"/>
      <c r="G15" s="1262">
        <f>G12-G13-G14</f>
        <v>229</v>
      </c>
      <c r="H15" s="1262"/>
      <c r="I15" s="1267">
        <f>I12-I13-I14</f>
        <v>1687.2</v>
      </c>
      <c r="J15" s="1268"/>
    </row>
    <row r="16" spans="1:12" ht="16" customHeight="1" thickBot="1">
      <c r="A16" s="26"/>
      <c r="B16" s="34"/>
      <c r="C16" s="35"/>
      <c r="D16" s="35"/>
      <c r="E16" s="35"/>
      <c r="F16" s="35"/>
      <c r="G16" s="35"/>
      <c r="H16" s="35"/>
    </row>
    <row r="17" spans="1:12" ht="25" customHeight="1">
      <c r="A17" s="1204">
        <v>2</v>
      </c>
      <c r="B17" s="1286" t="s">
        <v>410</v>
      </c>
      <c r="C17" s="1287"/>
      <c r="D17" s="1287"/>
      <c r="E17" s="1287"/>
      <c r="F17" s="1287"/>
      <c r="G17" s="1287"/>
      <c r="H17" s="1287"/>
      <c r="I17" s="1287"/>
      <c r="J17" s="1288"/>
    </row>
    <row r="18" spans="1:12" ht="15" customHeight="1">
      <c r="A18" s="1205"/>
      <c r="B18" s="1224" t="s">
        <v>411</v>
      </c>
      <c r="C18" s="1225"/>
      <c r="D18" s="1225"/>
      <c r="E18" s="1225"/>
      <c r="F18" s="1225"/>
      <c r="G18" s="1225"/>
      <c r="H18" s="1225"/>
      <c r="I18" s="1225"/>
      <c r="J18" s="1226"/>
    </row>
    <row r="19" spans="1:12" ht="17" customHeight="1">
      <c r="A19" s="1205"/>
      <c r="B19" s="877"/>
      <c r="C19" s="626"/>
      <c r="D19" s="626"/>
      <c r="E19" s="626"/>
      <c r="F19" s="626"/>
      <c r="G19" s="626"/>
      <c r="H19" s="626"/>
      <c r="I19" s="627"/>
      <c r="J19" s="630" t="s">
        <v>30</v>
      </c>
    </row>
    <row r="20" spans="1:12" ht="17" customHeight="1">
      <c r="A20" s="1205"/>
      <c r="B20" s="1227" t="s">
        <v>56</v>
      </c>
      <c r="C20" s="1228"/>
      <c r="D20" s="1228"/>
      <c r="E20" s="1228"/>
      <c r="F20" s="1228"/>
      <c r="G20" s="1228"/>
      <c r="H20" s="1228"/>
      <c r="I20" s="1229"/>
      <c r="J20" s="631">
        <f>I15</f>
        <v>1687.2</v>
      </c>
    </row>
    <row r="21" spans="1:12" ht="17" customHeight="1">
      <c r="A21" s="1205"/>
      <c r="B21" s="1215" t="s">
        <v>93</v>
      </c>
      <c r="C21" s="1216"/>
      <c r="D21" s="1216"/>
      <c r="E21" s="1216"/>
      <c r="F21" s="1216"/>
      <c r="G21" s="1216"/>
      <c r="H21" s="1216"/>
      <c r="I21" s="1217"/>
      <c r="J21" s="631">
        <f>August!AC41+September!AC39+Oktober!AC40+November!AC39+December!AC40+Januar!AC40+Februar!AC37+Marts!AC40+April!AC39+Maj!AC40+Juni!AC39+Juli!AC40</f>
        <v>44</v>
      </c>
    </row>
    <row r="22" spans="1:12" ht="17" customHeight="1">
      <c r="A22" s="1205"/>
      <c r="B22" s="1215" t="s">
        <v>141</v>
      </c>
      <c r="C22" s="1216"/>
      <c r="D22" s="1216"/>
      <c r="E22" s="1216"/>
      <c r="F22" s="1216"/>
      <c r="G22" s="1216"/>
      <c r="H22" s="1216"/>
      <c r="I22" s="1217"/>
      <c r="J22" s="631">
        <f>August!AD41+August!AE41+September!AD39+September!AE39+Oktober!AD40+Oktober!AE40+November!AD39+November!AE39+December!AD40+December!AE40+Januar!AD40+Januar!AE40+Februar!AD37+Februar!AE37+Marts!AD40+Marts!AE40+April!AD39+April!AE39+Maj!AD40+Maj!AE40+Juni!AD39+Juni!AE39+Juli!AD40+Juli!AE40</f>
        <v>126.97999999999999</v>
      </c>
    </row>
    <row r="23" spans="1:12" ht="17" customHeight="1">
      <c r="A23" s="1205"/>
      <c r="B23" s="1215" t="s">
        <v>195</v>
      </c>
      <c r="C23" s="1216"/>
      <c r="D23" s="1216"/>
      <c r="E23" s="1216"/>
      <c r="F23" s="1216"/>
      <c r="G23" s="1216"/>
      <c r="H23" s="1216"/>
      <c r="I23" s="1217"/>
      <c r="J23" s="631">
        <f>August!R41+September!R39+Oktober!R40+November!R39+December!R40+Januar!R40+Februar!R37+Marts!R40+April!R39+Maj!R40+Juni!R39+Juli!R40</f>
        <v>27</v>
      </c>
    </row>
    <row r="24" spans="1:12" ht="16" customHeight="1">
      <c r="A24" s="1205"/>
      <c r="B24" s="878" t="s">
        <v>506</v>
      </c>
      <c r="C24" s="783"/>
      <c r="D24" s="783"/>
      <c r="E24" s="783"/>
      <c r="F24" s="783"/>
      <c r="G24" s="783"/>
      <c r="H24" s="783"/>
      <c r="I24" s="784"/>
      <c r="J24" s="785">
        <f>August!AF41+September!AF39+Oktober!AF40+November!AF39+December!AF40+Januar!AF40+Februar!AF37+Marts!AF40+April!AF39+Maj!AF40+Juni!AF39+Juli!AF40</f>
        <v>0</v>
      </c>
    </row>
    <row r="25" spans="1:12" ht="17" customHeight="1">
      <c r="A25" s="1205"/>
      <c r="B25" s="1215" t="s">
        <v>327</v>
      </c>
      <c r="C25" s="1216"/>
      <c r="D25" s="1216"/>
      <c r="E25" s="1216"/>
      <c r="F25" s="1216"/>
      <c r="G25" s="1216"/>
      <c r="H25" s="1216"/>
      <c r="I25" s="1217"/>
      <c r="J25" s="415">
        <f>Skemaoplysninger!I67</f>
        <v>20</v>
      </c>
    </row>
    <row r="26" spans="1:12" ht="17" customHeight="1" thickBot="1">
      <c r="A26" s="1205"/>
      <c r="B26" s="1244" t="s">
        <v>613</v>
      </c>
      <c r="C26" s="1245"/>
      <c r="D26" s="1245"/>
      <c r="E26" s="1245"/>
      <c r="F26" s="1245"/>
      <c r="G26" s="1245"/>
      <c r="H26" s="1245"/>
      <c r="I26" s="1246"/>
      <c r="J26" s="876">
        <f>August!I49+September!I47+Oktober!I48+November!I47+December!I48+Januar!I48+Februar!I45+Marts!I48+April!I47+Maj!I48+Juni!I47+Juli!I48</f>
        <v>-8</v>
      </c>
    </row>
    <row r="27" spans="1:12" ht="17" customHeight="1">
      <c r="A27" s="1205"/>
      <c r="B27" s="1241" t="s">
        <v>412</v>
      </c>
      <c r="C27" s="1242"/>
      <c r="D27" s="1242"/>
      <c r="E27" s="1242"/>
      <c r="F27" s="1242"/>
      <c r="G27" s="1242"/>
      <c r="H27" s="1242"/>
      <c r="I27" s="1243"/>
      <c r="J27" s="414">
        <f>J20-J21-J22-J23-J24-J25-J26</f>
        <v>1477.22</v>
      </c>
    </row>
    <row r="28" spans="1:12" ht="17" customHeight="1">
      <c r="A28" s="1205"/>
      <c r="B28" s="1215" t="s">
        <v>292</v>
      </c>
      <c r="C28" s="1216"/>
      <c r="D28" s="1216"/>
      <c r="E28" s="1216"/>
      <c r="F28" s="1216"/>
      <c r="G28" s="1216"/>
      <c r="H28" s="1216"/>
      <c r="I28" s="1217"/>
      <c r="J28" s="599">
        <f>Skemaoplysninger!AN35</f>
        <v>621.75</v>
      </c>
    </row>
    <row r="29" spans="1:12" ht="17" customHeight="1">
      <c r="A29" s="1205"/>
      <c r="B29" s="1215" t="s">
        <v>413</v>
      </c>
      <c r="C29" s="1216"/>
      <c r="D29" s="1216"/>
      <c r="E29" s="1216"/>
      <c r="F29" s="1216"/>
      <c r="G29" s="1216"/>
      <c r="H29" s="1216"/>
      <c r="I29" s="1217"/>
      <c r="J29" s="415">
        <f>August!BE41+August!BF41+September!BE39+September!BF39+Oktober!BE40+Oktober!BF40+November!BE39+November!BF39+December!BE40+December!BF40+Januar!BE40+Januar!BF40+Februar!BE37+Februar!BF37+Marts!BE40+Marts!BF40+April!BE39+April!BF39+Maj!BE40+Maj!BF40+Juni!BE39+Juni!BF39+Juli!BE40+Juli!BF40</f>
        <v>88.75</v>
      </c>
      <c r="K29" s="180"/>
    </row>
    <row r="30" spans="1:12" ht="17" customHeight="1">
      <c r="A30" s="1205"/>
      <c r="B30" s="1215" t="s">
        <v>414</v>
      </c>
      <c r="C30" s="1216"/>
      <c r="D30" s="1216"/>
      <c r="E30" s="1216"/>
      <c r="F30" s="1216"/>
      <c r="G30" s="1216"/>
      <c r="H30" s="1216"/>
      <c r="I30" s="1217"/>
      <c r="J30" s="429">
        <f>IF(Stamoplysninger!H29="Ja",Stamoplysninger!H30,Skemaoplysninger!AN38+Skemaoplysninger!AN39)</f>
        <v>152.41666666666669</v>
      </c>
    </row>
    <row r="31" spans="1:12" ht="35" customHeight="1" thickBot="1">
      <c r="A31" s="1205"/>
      <c r="B31" s="1218" t="s">
        <v>614</v>
      </c>
      <c r="C31" s="1219"/>
      <c r="D31" s="1219"/>
      <c r="E31" s="1219"/>
      <c r="F31" s="1219"/>
      <c r="G31" s="1219"/>
      <c r="H31" s="1219"/>
      <c r="I31" s="1220"/>
      <c r="J31" s="879">
        <f>J27-J28-J29-J30</f>
        <v>614.30333333333328</v>
      </c>
      <c r="K31" s="600"/>
      <c r="L31" s="600"/>
    </row>
    <row r="32" spans="1:12" ht="15" customHeight="1" thickBot="1">
      <c r="A32" s="24"/>
      <c r="B32" s="416"/>
      <c r="C32" s="416"/>
      <c r="D32" s="416"/>
      <c r="E32" s="416"/>
      <c r="F32" s="416"/>
      <c r="G32" s="416"/>
      <c r="H32" s="416"/>
      <c r="I32" s="611"/>
      <c r="J32" s="612"/>
      <c r="K32" s="612"/>
      <c r="L32" s="600"/>
    </row>
    <row r="33" spans="1:14" ht="26" customHeight="1">
      <c r="A33" s="1201" t="s">
        <v>501</v>
      </c>
      <c r="B33" s="1236" t="s">
        <v>415</v>
      </c>
      <c r="C33" s="1237"/>
      <c r="D33" s="1237"/>
      <c r="E33" s="1237"/>
      <c r="F33" s="1237"/>
      <c r="G33" s="1237"/>
      <c r="H33" s="1237"/>
      <c r="I33" s="1237"/>
      <c r="J33" s="1238"/>
      <c r="K33" s="600"/>
      <c r="L33" s="600"/>
    </row>
    <row r="34" spans="1:14" ht="19" customHeight="1" thickBot="1">
      <c r="A34" s="1202"/>
      <c r="B34" s="1233" t="s">
        <v>420</v>
      </c>
      <c r="C34" s="1234"/>
      <c r="D34" s="1234"/>
      <c r="E34" s="1234"/>
      <c r="F34" s="1234"/>
      <c r="G34" s="1234"/>
      <c r="H34" s="1234"/>
      <c r="I34" s="1234"/>
      <c r="J34" s="1235"/>
    </row>
    <row r="35" spans="1:14" ht="23" customHeight="1">
      <c r="A35" s="1202"/>
      <c r="B35" s="1239" t="s">
        <v>405</v>
      </c>
      <c r="C35" s="1240"/>
      <c r="D35" s="1240"/>
      <c r="E35" s="1240"/>
      <c r="F35" s="1240"/>
      <c r="G35" s="1240"/>
      <c r="H35" s="1240"/>
      <c r="I35" s="1296">
        <f>August!D59+September!D57+Oktober!D58+November!D57+December!D58+Januar!D58+Februar!D55+Marts!D58+April!D57+Maj!D58+Juni!D57+Juli!D58</f>
        <v>8</v>
      </c>
      <c r="J35" s="1297" t="e">
        <f>H35=August!C59+#REF!+#REF!+#REF!+#REF!+#REF!+#REF!+#REF!+#REF!+#REF!+#REF!+#REF!</f>
        <v>#REF!</v>
      </c>
    </row>
    <row r="36" spans="1:14" ht="29" customHeight="1">
      <c r="A36" s="1202"/>
      <c r="B36" s="1213" t="s">
        <v>290</v>
      </c>
      <c r="C36" s="1221"/>
      <c r="D36" s="1221"/>
      <c r="E36" s="1221"/>
      <c r="F36" s="1221"/>
      <c r="G36" s="1221"/>
      <c r="H36" s="1221"/>
      <c r="I36" s="1298">
        <f>Skemaoplysninger!AN30</f>
        <v>170</v>
      </c>
      <c r="J36" s="1291"/>
    </row>
    <row r="37" spans="1:14" ht="29" customHeight="1">
      <c r="A37" s="1202"/>
      <c r="B37" s="1213" t="s">
        <v>291</v>
      </c>
      <c r="C37" s="1221"/>
      <c r="D37" s="1221"/>
      <c r="E37" s="1221"/>
      <c r="F37" s="1221"/>
      <c r="G37" s="1221"/>
      <c r="H37" s="1221"/>
      <c r="I37" s="1298">
        <f>August!D58+September!D56+Oktober!D57+November!D56+December!D57+Januar!D57+Februar!D54+Marts!D57+April!D56+Maj!D57+Juni!D56+Juli!D57</f>
        <v>22</v>
      </c>
      <c r="J37" s="1291"/>
    </row>
    <row r="38" spans="1:14" ht="21" customHeight="1">
      <c r="A38" s="1202"/>
      <c r="B38" s="1222" t="s">
        <v>76</v>
      </c>
      <c r="C38" s="1223"/>
      <c r="D38" s="1223"/>
      <c r="E38" s="1223"/>
      <c r="F38" s="1223"/>
      <c r="G38" s="1223"/>
      <c r="H38" s="1223"/>
      <c r="I38" s="1231">
        <f>I35+I36+I37</f>
        <v>200</v>
      </c>
      <c r="J38" s="1232"/>
      <c r="K38" s="1230" t="str">
        <f>IF(I38&lt;&gt;200,"OBS der er normalt 200 skoledage i et skoleår"," ")</f>
        <v xml:space="preserve"> </v>
      </c>
      <c r="L38" s="1230"/>
      <c r="M38" s="1230"/>
      <c r="N38" s="1230"/>
    </row>
    <row r="39" spans="1:14" ht="21" customHeight="1">
      <c r="A39" s="1202"/>
      <c r="B39" s="1222" t="s">
        <v>373</v>
      </c>
      <c r="C39" s="1223"/>
      <c r="D39" s="1223"/>
      <c r="E39" s="1223"/>
      <c r="F39" s="1223"/>
      <c r="G39" s="1223"/>
      <c r="H39" s="1223"/>
      <c r="I39" s="1255">
        <f>August!AA41+August!AB41+September!AA39+September!AB39+Oktober!AA40+Oktober!AB40+November!AA39+November!AB39+December!AA40+December!AB40+Januar!AA40+Januar!AB40+Februar!AA37+Februar!AB37+Marts!AA40+Marts!AB40+April!AA39+April!AB39+Maj!AA40+Maj!AB40+Juni!AA39+Juni!AB39+Juli!AA40+Juli!AB40</f>
        <v>160</v>
      </c>
      <c r="J39" s="1256"/>
      <c r="K39" s="367"/>
      <c r="L39" s="419"/>
      <c r="M39" s="419"/>
      <c r="N39" s="419"/>
    </row>
    <row r="40" spans="1:14" ht="33" customHeight="1" thickBot="1">
      <c r="A40" s="1202"/>
      <c r="B40" s="1257" t="s">
        <v>299</v>
      </c>
      <c r="C40" s="1258"/>
      <c r="D40" s="1258"/>
      <c r="E40" s="1258"/>
      <c r="F40" s="1258"/>
      <c r="G40" s="1258"/>
      <c r="H40" s="1258"/>
      <c r="I40" s="1247">
        <f>(J27-I39)/I36</f>
        <v>7.7483529411764707</v>
      </c>
      <c r="J40" s="1248"/>
    </row>
    <row r="41" spans="1:14" ht="33" hidden="1" customHeight="1" thickBot="1">
      <c r="A41" s="1202"/>
      <c r="B41" s="1257" t="s">
        <v>441</v>
      </c>
      <c r="C41" s="1258"/>
      <c r="D41" s="1258"/>
      <c r="E41" s="1258"/>
      <c r="F41" s="1258"/>
      <c r="G41" s="1258"/>
      <c r="H41" s="1258"/>
      <c r="I41" s="1253">
        <f>J31/I38</f>
        <v>3.0715166666666662</v>
      </c>
      <c r="J41" s="1254"/>
    </row>
    <row r="42" spans="1:14" ht="17" customHeight="1">
      <c r="A42" s="1202"/>
      <c r="B42" s="549"/>
      <c r="C42" s="550"/>
      <c r="D42" s="1249" t="s">
        <v>72</v>
      </c>
      <c r="E42" s="1250"/>
      <c r="F42" s="96" t="str">
        <f>Skemaoplysninger!F5</f>
        <v>01.08.2022</v>
      </c>
      <c r="G42" s="96" t="str">
        <f>Skemaoplysninger!H5</f>
        <v>31.12.2022</v>
      </c>
      <c r="H42" s="97"/>
      <c r="I42" s="1251" t="s">
        <v>75</v>
      </c>
      <c r="J42" s="1252"/>
    </row>
    <row r="43" spans="1:14" ht="94" customHeight="1">
      <c r="A43" s="1202"/>
      <c r="B43" s="601" t="s">
        <v>77</v>
      </c>
      <c r="C43" s="602"/>
      <c r="D43" s="47" t="s">
        <v>9</v>
      </c>
      <c r="E43" s="417" t="s">
        <v>175</v>
      </c>
      <c r="F43" s="417" t="s">
        <v>71</v>
      </c>
      <c r="G43" s="432" t="s">
        <v>626</v>
      </c>
      <c r="H43" s="418" t="s">
        <v>471</v>
      </c>
      <c r="I43" s="616" t="s">
        <v>94</v>
      </c>
      <c r="J43" s="617" t="s">
        <v>73</v>
      </c>
    </row>
    <row r="44" spans="1:14" ht="17" customHeight="1">
      <c r="A44" s="1202"/>
      <c r="B44" s="601" t="s">
        <v>58</v>
      </c>
      <c r="C44" s="602"/>
      <c r="D44" s="37">
        <f>Skemaoplysninger!E$30</f>
        <v>15</v>
      </c>
      <c r="E44" s="42">
        <v>8</v>
      </c>
      <c r="F44" s="38">
        <f>Skemaoplysninger!E28*24</f>
        <v>3.75</v>
      </c>
      <c r="G44" s="433">
        <f>IF(Stamoplysninger!$H$29="Nej",Skemaoplysninger!$E$37,IF(Skemaoplysninger!$E$28&gt;0,Stamoplysninger!$H$30/200,0))</f>
        <v>0.91666666666666674</v>
      </c>
      <c r="H44" s="48">
        <f>E44-F44-G44</f>
        <v>3.333333333333333</v>
      </c>
      <c r="I44" s="618">
        <v>0.33333333333333331</v>
      </c>
      <c r="J44" s="619">
        <f>I44+(E44/24)</f>
        <v>0.66666666666666663</v>
      </c>
    </row>
    <row r="45" spans="1:14" ht="17" customHeight="1">
      <c r="A45" s="1202"/>
      <c r="B45" s="601" t="s">
        <v>59</v>
      </c>
      <c r="C45" s="602"/>
      <c r="D45" s="37">
        <f>Skemaoplysninger!F$30</f>
        <v>16</v>
      </c>
      <c r="E45" s="42">
        <v>8</v>
      </c>
      <c r="F45" s="38">
        <f>Skemaoplysninger!F28*24</f>
        <v>5.25</v>
      </c>
      <c r="G45" s="433">
        <f>IF(Stamoplysninger!$H$29="Nej",Skemaoplysninger!$F$37,IF(Skemaoplysninger!$F$28&gt;0,Stamoplysninger!$H$30/200,0))</f>
        <v>1.0833333333333335</v>
      </c>
      <c r="H45" s="48">
        <f t="shared" ref="H45:H48" si="0">E45-F45-G45</f>
        <v>1.6666666666666665</v>
      </c>
      <c r="I45" s="618">
        <v>0.33333333333333331</v>
      </c>
      <c r="J45" s="619">
        <f>I45+(E45/24)</f>
        <v>0.66666666666666663</v>
      </c>
    </row>
    <row r="46" spans="1:14" ht="17" customHeight="1">
      <c r="A46" s="1202"/>
      <c r="B46" s="601" t="s">
        <v>60</v>
      </c>
      <c r="C46" s="602"/>
      <c r="D46" s="37">
        <f>Skemaoplysninger!G$30</f>
        <v>15</v>
      </c>
      <c r="E46" s="42">
        <v>8</v>
      </c>
      <c r="F46" s="38">
        <f>Skemaoplysninger!G28*24</f>
        <v>3.75</v>
      </c>
      <c r="G46" s="433">
        <f>IF(Stamoplysninger!$H$29="Nej",Skemaoplysninger!$G$37,IF(Skemaoplysninger!$G$28&gt;0,Stamoplysninger!$H$30/200,0))</f>
        <v>0.91666666666666674</v>
      </c>
      <c r="H46" s="48">
        <f t="shared" si="0"/>
        <v>3.333333333333333</v>
      </c>
      <c r="I46" s="618">
        <v>0.33333333333333331</v>
      </c>
      <c r="J46" s="619">
        <f>I46+(E46/24)</f>
        <v>0.66666666666666663</v>
      </c>
    </row>
    <row r="47" spans="1:14" ht="17" customHeight="1">
      <c r="A47" s="1202"/>
      <c r="B47" s="601" t="s">
        <v>61</v>
      </c>
      <c r="C47" s="602"/>
      <c r="D47" s="37">
        <f>Skemaoplysninger!H$30</f>
        <v>15</v>
      </c>
      <c r="E47" s="42">
        <v>8</v>
      </c>
      <c r="F47" s="38">
        <f>Skemaoplysninger!H28*24</f>
        <v>3.75</v>
      </c>
      <c r="G47" s="433">
        <f>IF(Stamoplysninger!$H$29="Nej",Skemaoplysninger!$H$37,IF(Skemaoplysninger!$H$28&gt;0,Stamoplysninger!$H$30/200,0))</f>
        <v>0.91666666666666674</v>
      </c>
      <c r="H47" s="48">
        <f t="shared" si="0"/>
        <v>3.333333333333333</v>
      </c>
      <c r="I47" s="618">
        <v>0.33333333333333331</v>
      </c>
      <c r="J47" s="619">
        <f>I47+(E47/24)</f>
        <v>0.66666666666666663</v>
      </c>
    </row>
    <row r="48" spans="1:14" ht="17" customHeight="1" thickBot="1">
      <c r="A48" s="1202"/>
      <c r="B48" s="609" t="s">
        <v>62</v>
      </c>
      <c r="C48" s="610"/>
      <c r="D48" s="37">
        <f>Skemaoplysninger!I$30</f>
        <v>16</v>
      </c>
      <c r="E48" s="42">
        <v>7</v>
      </c>
      <c r="F48" s="38">
        <f>Skemaoplysninger!I28*24</f>
        <v>2.25</v>
      </c>
      <c r="G48" s="433">
        <f>IF(Stamoplysninger!$H$29="Nej",Skemaoplysninger!$I$37,IF(Skemaoplysninger!$I$28&gt;0,Stamoplysninger!$H$30/200,0))</f>
        <v>0.33333333333333331</v>
      </c>
      <c r="H48" s="48">
        <f t="shared" si="0"/>
        <v>4.416666666666667</v>
      </c>
      <c r="I48" s="618">
        <v>0.37152777777777773</v>
      </c>
      <c r="J48" s="620">
        <f>I48+(E48/24)</f>
        <v>0.66319444444444442</v>
      </c>
    </row>
    <row r="49" spans="1:10" ht="17" customHeight="1" thickBot="1">
      <c r="A49" s="1202"/>
      <c r="B49" s="603" t="s">
        <v>111</v>
      </c>
      <c r="C49" s="604"/>
      <c r="D49" s="605"/>
      <c r="E49" s="100">
        <f>SUM(E44:E48)</f>
        <v>39</v>
      </c>
      <c r="F49" s="100">
        <f t="shared" ref="F49:H49" si="1">SUM(F44:F48)</f>
        <v>18.75</v>
      </c>
      <c r="G49" s="434">
        <f>SUM(G44:G48)</f>
        <v>4.166666666666667</v>
      </c>
      <c r="H49" s="103">
        <f t="shared" si="1"/>
        <v>16.083333333333332</v>
      </c>
      <c r="I49" s="102"/>
      <c r="J49" s="101"/>
    </row>
    <row r="50" spans="1:10" ht="17" customHeight="1" thickBot="1">
      <c r="A50" s="1202"/>
      <c r="B50" s="606"/>
      <c r="C50" s="613"/>
      <c r="D50" s="613"/>
      <c r="E50" s="613"/>
      <c r="F50" s="613"/>
      <c r="G50" s="613"/>
      <c r="H50" s="613"/>
      <c r="I50" s="613"/>
      <c r="J50" s="614"/>
    </row>
    <row r="51" spans="1:10" ht="17" customHeight="1">
      <c r="A51" s="1202"/>
      <c r="B51" s="549"/>
      <c r="C51" s="550"/>
      <c r="D51" s="1206" t="s">
        <v>72</v>
      </c>
      <c r="E51" s="1206"/>
      <c r="F51" s="98" t="str">
        <f>Skemaoplysninger!P5</f>
        <v>01.01.2023</v>
      </c>
      <c r="G51" s="99" t="str">
        <f>Skemaoplysninger!R5</f>
        <v>31.07.2023</v>
      </c>
      <c r="H51" s="99"/>
      <c r="I51" s="1251" t="s">
        <v>75</v>
      </c>
      <c r="J51" s="1252"/>
    </row>
    <row r="52" spans="1:10" ht="91" customHeight="1">
      <c r="A52" s="1202"/>
      <c r="B52" s="601" t="s">
        <v>77</v>
      </c>
      <c r="C52" s="602"/>
      <c r="D52" s="47" t="s">
        <v>9</v>
      </c>
      <c r="E52" s="417" t="s">
        <v>175</v>
      </c>
      <c r="F52" s="417" t="s">
        <v>71</v>
      </c>
      <c r="G52" s="432" t="s">
        <v>626</v>
      </c>
      <c r="H52" s="418" t="s">
        <v>471</v>
      </c>
      <c r="I52" s="49" t="s">
        <v>94</v>
      </c>
      <c r="J52" s="67" t="s">
        <v>73</v>
      </c>
    </row>
    <row r="53" spans="1:10" ht="17" customHeight="1">
      <c r="A53" s="1202"/>
      <c r="B53" s="601" t="s">
        <v>58</v>
      </c>
      <c r="C53" s="602"/>
      <c r="D53" s="37">
        <f>Skemaoplysninger!O$30</f>
        <v>17</v>
      </c>
      <c r="E53" s="42">
        <v>8</v>
      </c>
      <c r="F53" s="38">
        <f>Skemaoplysninger!O$28*24</f>
        <v>4.5</v>
      </c>
      <c r="G53" s="433">
        <f>IF(Stamoplysninger!$H$29="Nej",Skemaoplysninger!$O$37,IF(Skemaoplysninger!$O$28&gt;0,Stamoplysninger!$H$30/200,0))</f>
        <v>1.0833333333333335</v>
      </c>
      <c r="H53" s="48">
        <f>E53-F53</f>
        <v>3.5</v>
      </c>
      <c r="I53" s="618">
        <v>0.33333333333333331</v>
      </c>
      <c r="J53" s="50">
        <f>I53+(E53/24)</f>
        <v>0.66666666666666663</v>
      </c>
    </row>
    <row r="54" spans="1:10" ht="17" customHeight="1">
      <c r="A54" s="1202"/>
      <c r="B54" s="601" t="s">
        <v>59</v>
      </c>
      <c r="C54" s="602"/>
      <c r="D54" s="37">
        <f>Skemaoplysninger!P$30</f>
        <v>19</v>
      </c>
      <c r="E54" s="42">
        <v>8</v>
      </c>
      <c r="F54" s="38">
        <f>Skemaoplysninger!P$28*24</f>
        <v>4.5</v>
      </c>
      <c r="G54" s="433">
        <f>IF(Stamoplysninger!$H$29="Nej",Skemaoplysninger!$P$37,IF(Skemaoplysninger!$P$28&gt;0,Stamoplysninger!$H$30/200,0))</f>
        <v>1.0833333333333335</v>
      </c>
      <c r="H54" s="48">
        <f>E54-F54</f>
        <v>3.5</v>
      </c>
      <c r="I54" s="618">
        <v>0.33333333333333331</v>
      </c>
      <c r="J54" s="50">
        <f>I54+(E54/24)</f>
        <v>0.66666666666666663</v>
      </c>
    </row>
    <row r="55" spans="1:10" ht="17" customHeight="1">
      <c r="A55" s="1202"/>
      <c r="B55" s="601" t="s">
        <v>60</v>
      </c>
      <c r="C55" s="602"/>
      <c r="D55" s="37">
        <f>Skemaoplysninger!Q$30</f>
        <v>20</v>
      </c>
      <c r="E55" s="42">
        <v>8</v>
      </c>
      <c r="F55" s="38">
        <f>Skemaoplysninger!Q$28*24</f>
        <v>3</v>
      </c>
      <c r="G55" s="433">
        <f>IF(Stamoplysninger!$H$29="Nej",Skemaoplysninger!$Q$37,IF(Skemaoplysninger!$Q$28&gt;0,Stamoplysninger!$H$30/200,0))</f>
        <v>0.5</v>
      </c>
      <c r="H55" s="48">
        <f>E55-F55</f>
        <v>5</v>
      </c>
      <c r="I55" s="618">
        <v>0.33333333333333331</v>
      </c>
      <c r="J55" s="50">
        <f>I55+(E55/24)</f>
        <v>0.66666666666666663</v>
      </c>
    </row>
    <row r="56" spans="1:10" ht="17" customHeight="1">
      <c r="A56" s="1202"/>
      <c r="B56" s="601" t="s">
        <v>61</v>
      </c>
      <c r="C56" s="602"/>
      <c r="D56" s="37">
        <f>Skemaoplysninger!R$30</f>
        <v>19</v>
      </c>
      <c r="E56" s="42">
        <v>8</v>
      </c>
      <c r="F56" s="38">
        <f>Skemaoplysninger!R$28*24</f>
        <v>3</v>
      </c>
      <c r="G56" s="433">
        <f>IF(Stamoplysninger!$H$29="Nej",Skemaoplysninger!$R$37,IF(Skemaoplysninger!$R$28&gt;0,Stamoplysninger!$H$30/200,0))</f>
        <v>0.5</v>
      </c>
      <c r="H56" s="48">
        <f>E56-F56</f>
        <v>5</v>
      </c>
      <c r="I56" s="618">
        <v>0.33333333333333331</v>
      </c>
      <c r="J56" s="50">
        <f>I56+(E56/24)</f>
        <v>0.66666666666666663</v>
      </c>
    </row>
    <row r="57" spans="1:10" ht="17" customHeight="1" thickBot="1">
      <c r="A57" s="1202"/>
      <c r="B57" s="601" t="s">
        <v>62</v>
      </c>
      <c r="C57" s="602"/>
      <c r="D57" s="37">
        <f>Skemaoplysninger!S$30</f>
        <v>18</v>
      </c>
      <c r="E57" s="42">
        <v>6.5</v>
      </c>
      <c r="F57" s="38">
        <f>Skemaoplysninger!S$28*24</f>
        <v>3</v>
      </c>
      <c r="G57" s="433">
        <f>IF(Stamoplysninger!$H$29="Nej",Skemaoplysninger!$S$37,IF(Skemaoplysninger!$S$28&gt;0,Stamoplysninger!$H$30/200,0))</f>
        <v>0.5</v>
      </c>
      <c r="H57" s="48">
        <f>E57-F57</f>
        <v>3.5</v>
      </c>
      <c r="I57" s="618">
        <v>0.33333333333333331</v>
      </c>
      <c r="J57" s="51">
        <f>I57+(E57/24)</f>
        <v>0.60416666666666663</v>
      </c>
    </row>
    <row r="58" spans="1:10" ht="17" customHeight="1" thickBot="1">
      <c r="A58" s="1202"/>
      <c r="B58" s="603" t="s">
        <v>111</v>
      </c>
      <c r="C58" s="604"/>
      <c r="D58" s="605"/>
      <c r="E58" s="100">
        <f>SUM(E53:E57)</f>
        <v>38.5</v>
      </c>
      <c r="F58" s="100">
        <f>SUM(F53:F57)</f>
        <v>18</v>
      </c>
      <c r="G58" s="434"/>
      <c r="H58" s="103">
        <f>SUM(H53:H57)</f>
        <v>20.5</v>
      </c>
      <c r="I58" s="102"/>
      <c r="J58" s="101"/>
    </row>
    <row r="59" spans="1:10" ht="17" customHeight="1" thickBot="1">
      <c r="A59" s="1202"/>
      <c r="B59" s="606"/>
      <c r="C59" s="613"/>
      <c r="D59" s="613"/>
      <c r="E59" s="613"/>
      <c r="F59" s="613"/>
      <c r="G59" s="613"/>
      <c r="H59" s="613"/>
      <c r="I59" s="613"/>
      <c r="J59" s="614"/>
    </row>
    <row r="60" spans="1:10" ht="17" customHeight="1">
      <c r="A60" s="1202"/>
      <c r="B60" s="549"/>
      <c r="C60" s="550"/>
      <c r="D60" s="1206" t="s">
        <v>72</v>
      </c>
      <c r="E60" s="1206"/>
      <c r="F60" s="98">
        <f>Skemaoplysninger!Z5</f>
        <v>0</v>
      </c>
      <c r="G60" s="99">
        <f>Skemaoplysninger!AB5</f>
        <v>0</v>
      </c>
      <c r="H60" s="99"/>
      <c r="I60" s="1251" t="s">
        <v>75</v>
      </c>
      <c r="J60" s="1252"/>
    </row>
    <row r="61" spans="1:10" ht="91" customHeight="1">
      <c r="A61" s="1202"/>
      <c r="B61" s="601" t="s">
        <v>77</v>
      </c>
      <c r="C61" s="602"/>
      <c r="D61" s="47" t="s">
        <v>9</v>
      </c>
      <c r="E61" s="417" t="s">
        <v>175</v>
      </c>
      <c r="F61" s="417" t="s">
        <v>71</v>
      </c>
      <c r="G61" s="432" t="s">
        <v>626</v>
      </c>
      <c r="H61" s="418" t="s">
        <v>471</v>
      </c>
      <c r="I61" s="49" t="s">
        <v>94</v>
      </c>
      <c r="J61" s="67" t="s">
        <v>73</v>
      </c>
    </row>
    <row r="62" spans="1:10" ht="17" customHeight="1">
      <c r="A62" s="1202"/>
      <c r="B62" s="601" t="s">
        <v>58</v>
      </c>
      <c r="C62" s="602"/>
      <c r="D62" s="37">
        <f>Skemaoplysninger!Y$30</f>
        <v>0</v>
      </c>
      <c r="E62" s="42"/>
      <c r="F62" s="38">
        <f>Skemaoplysninger!Y$28*24</f>
        <v>0</v>
      </c>
      <c r="G62" s="433">
        <f>IF(Stamoplysninger!$H$29="Nej",Skemaoplysninger!$Y$37,IF(Skemaoplysninger!$Y$28&gt;0,Stamoplysninger!$H$30/200,0))</f>
        <v>0</v>
      </c>
      <c r="H62" s="48">
        <f>E62-F62</f>
        <v>0</v>
      </c>
      <c r="I62" s="618"/>
      <c r="J62" s="50">
        <f>I62+(E62/24)</f>
        <v>0</v>
      </c>
    </row>
    <row r="63" spans="1:10" ht="17" customHeight="1">
      <c r="A63" s="1202"/>
      <c r="B63" s="601" t="s">
        <v>59</v>
      </c>
      <c r="C63" s="602"/>
      <c r="D63" s="37">
        <f>Skemaoplysninger!Z$30</f>
        <v>0</v>
      </c>
      <c r="E63" s="42"/>
      <c r="F63" s="38">
        <f>Skemaoplysninger!Z$28*24</f>
        <v>0</v>
      </c>
      <c r="G63" s="433">
        <f>IF(Stamoplysninger!$H$29="Nej",Skemaoplysninger!$Z$37,IF(Skemaoplysninger!$Z$28&gt;0,Stamoplysninger!$H$30/200,0))</f>
        <v>0</v>
      </c>
      <c r="H63" s="48">
        <f>E63-F63</f>
        <v>0</v>
      </c>
      <c r="I63" s="618"/>
      <c r="J63" s="50">
        <f>I63+(E63/24)</f>
        <v>0</v>
      </c>
    </row>
    <row r="64" spans="1:10" ht="17" customHeight="1">
      <c r="A64" s="1202"/>
      <c r="B64" s="601" t="s">
        <v>60</v>
      </c>
      <c r="C64" s="602"/>
      <c r="D64" s="37">
        <f>Skemaoplysninger!AA$30</f>
        <v>0</v>
      </c>
      <c r="E64" s="42"/>
      <c r="F64" s="38">
        <f>Skemaoplysninger!AA$28*24</f>
        <v>0</v>
      </c>
      <c r="G64" s="433">
        <f>IF(Stamoplysninger!$H$29="Nej",Skemaoplysninger!$AA$37,IF(Skemaoplysninger!$AA$28&gt;0,Stamoplysninger!$H$30/200,0))</f>
        <v>0</v>
      </c>
      <c r="H64" s="48">
        <f>E64-F64</f>
        <v>0</v>
      </c>
      <c r="I64" s="618"/>
      <c r="J64" s="50">
        <f>I64+(E64/24)</f>
        <v>0</v>
      </c>
    </row>
    <row r="65" spans="1:10" ht="17" customHeight="1">
      <c r="A65" s="1202"/>
      <c r="B65" s="601" t="s">
        <v>61</v>
      </c>
      <c r="C65" s="602"/>
      <c r="D65" s="37">
        <f>Skemaoplysninger!AB$30</f>
        <v>0</v>
      </c>
      <c r="E65" s="42"/>
      <c r="F65" s="38">
        <f>Skemaoplysninger!AB$28*24</f>
        <v>0</v>
      </c>
      <c r="G65" s="433">
        <f>IF(Stamoplysninger!$H$29="Nej",Skemaoplysninger!$AB$37,IF(Skemaoplysninger!$AB$28&gt;0,Stamoplysninger!$H$30/200,0))</f>
        <v>0</v>
      </c>
      <c r="H65" s="48">
        <f>E65-F65</f>
        <v>0</v>
      </c>
      <c r="I65" s="618"/>
      <c r="J65" s="50">
        <f>I65+(E65/24)</f>
        <v>0</v>
      </c>
    </row>
    <row r="66" spans="1:10" ht="17" customHeight="1" thickBot="1">
      <c r="A66" s="1202"/>
      <c r="B66" s="601" t="s">
        <v>62</v>
      </c>
      <c r="C66" s="602"/>
      <c r="D66" s="37">
        <f>Skemaoplysninger!AC$30</f>
        <v>0</v>
      </c>
      <c r="E66" s="42"/>
      <c r="F66" s="38">
        <f>Skemaoplysninger!AC$28*24</f>
        <v>0</v>
      </c>
      <c r="G66" s="433">
        <f>IF(Stamoplysninger!$H$29="Nej",Skemaoplysninger!$AC$37,IF(Skemaoplysninger!$AC$28&gt;0,Stamoplysninger!$H$30/200,0))</f>
        <v>0</v>
      </c>
      <c r="H66" s="48">
        <f>E66-F66</f>
        <v>0</v>
      </c>
      <c r="I66" s="618"/>
      <c r="J66" s="51">
        <f>I66+(E66/24)</f>
        <v>0</v>
      </c>
    </row>
    <row r="67" spans="1:10" ht="17" customHeight="1" thickBot="1">
      <c r="A67" s="1202"/>
      <c r="B67" s="603" t="s">
        <v>111</v>
      </c>
      <c r="C67" s="604"/>
      <c r="D67" s="605"/>
      <c r="E67" s="100">
        <f>SUM(E62:E66)</f>
        <v>0</v>
      </c>
      <c r="F67" s="100">
        <f>SUM(F62:F66)</f>
        <v>0</v>
      </c>
      <c r="G67" s="434"/>
      <c r="H67" s="103">
        <f>SUM(H62:H66)</f>
        <v>0</v>
      </c>
      <c r="I67" s="102"/>
      <c r="J67" s="101"/>
    </row>
    <row r="68" spans="1:10" ht="17" customHeight="1" thickBot="1">
      <c r="A68" s="1202"/>
      <c r="B68" s="606"/>
      <c r="C68" s="613"/>
      <c r="D68" s="613"/>
      <c r="E68" s="613"/>
      <c r="F68" s="613"/>
      <c r="G68" s="613"/>
      <c r="H68" s="613"/>
      <c r="I68" s="613"/>
      <c r="J68" s="614"/>
    </row>
    <row r="69" spans="1:10" ht="17" customHeight="1">
      <c r="A69" s="1202"/>
      <c r="B69" s="549"/>
      <c r="C69" s="550"/>
      <c r="D69" s="1206" t="s">
        <v>72</v>
      </c>
      <c r="E69" s="1206"/>
      <c r="F69" s="98">
        <f>Skemaoplysninger!AJ5</f>
        <v>0</v>
      </c>
      <c r="G69" s="99">
        <f>Skemaoplysninger!AL5</f>
        <v>0</v>
      </c>
      <c r="H69" s="99"/>
      <c r="I69" s="1251" t="s">
        <v>75</v>
      </c>
      <c r="J69" s="1252"/>
    </row>
    <row r="70" spans="1:10" ht="91" customHeight="1">
      <c r="A70" s="1202"/>
      <c r="B70" s="601" t="s">
        <v>77</v>
      </c>
      <c r="C70" s="602"/>
      <c r="D70" s="47" t="s">
        <v>9</v>
      </c>
      <c r="E70" s="417" t="s">
        <v>175</v>
      </c>
      <c r="F70" s="417" t="s">
        <v>71</v>
      </c>
      <c r="G70" s="432" t="s">
        <v>626</v>
      </c>
      <c r="H70" s="418" t="s">
        <v>471</v>
      </c>
      <c r="I70" s="49" t="s">
        <v>94</v>
      </c>
      <c r="J70" s="67" t="s">
        <v>73</v>
      </c>
    </row>
    <row r="71" spans="1:10" ht="17" customHeight="1">
      <c r="A71" s="1202"/>
      <c r="B71" s="601" t="s">
        <v>58</v>
      </c>
      <c r="C71" s="602"/>
      <c r="D71" s="37">
        <f>Skemaoplysninger!AI$30</f>
        <v>0</v>
      </c>
      <c r="E71" s="42"/>
      <c r="F71" s="38">
        <f>Skemaoplysninger!AI$28*24</f>
        <v>0</v>
      </c>
      <c r="G71" s="433">
        <f>IF(Stamoplysninger!$H$29="Nej",Skemaoplysninger!$AI$37,IF(Skemaoplysninger!$AI$28&gt;0,Stamoplysninger!$H$30/200,0))</f>
        <v>0</v>
      </c>
      <c r="H71" s="48">
        <f>E71-F71</f>
        <v>0</v>
      </c>
      <c r="I71" s="618"/>
      <c r="J71" s="50">
        <f>I71+(E71/24)</f>
        <v>0</v>
      </c>
    </row>
    <row r="72" spans="1:10" ht="17" customHeight="1">
      <c r="A72" s="1202"/>
      <c r="B72" s="601" t="s">
        <v>59</v>
      </c>
      <c r="C72" s="602"/>
      <c r="D72" s="37">
        <f>Skemaoplysninger!AJ$30</f>
        <v>0</v>
      </c>
      <c r="E72" s="42"/>
      <c r="F72" s="38">
        <f>Skemaoplysninger!AJ$28*24</f>
        <v>0</v>
      </c>
      <c r="G72" s="433">
        <f>IF(Stamoplysninger!$H$29="Nej",Skemaoplysninger!$AJ$37,IF(Skemaoplysninger!$AJ$28&gt;0,Stamoplysninger!$H$30/200,0))</f>
        <v>0</v>
      </c>
      <c r="H72" s="48">
        <f>E72-F72</f>
        <v>0</v>
      </c>
      <c r="I72" s="618"/>
      <c r="J72" s="50">
        <f>I72+(E72/24)</f>
        <v>0</v>
      </c>
    </row>
    <row r="73" spans="1:10" ht="17" customHeight="1">
      <c r="A73" s="1202"/>
      <c r="B73" s="601" t="s">
        <v>60</v>
      </c>
      <c r="C73" s="602"/>
      <c r="D73" s="37">
        <f>Skemaoplysninger!AK$30</f>
        <v>0</v>
      </c>
      <c r="E73" s="42"/>
      <c r="F73" s="38">
        <f>Skemaoplysninger!AK$28*24</f>
        <v>0</v>
      </c>
      <c r="G73" s="433">
        <f>IF(Stamoplysninger!$H$29="Nej",Skemaoplysninger!$AK$37,IF(Skemaoplysninger!$AK$28&gt;0,Stamoplysninger!$H$30/200,0))</f>
        <v>0</v>
      </c>
      <c r="H73" s="48">
        <f>E73-F73</f>
        <v>0</v>
      </c>
      <c r="I73" s="618"/>
      <c r="J73" s="50">
        <f>I73+(E73/24)</f>
        <v>0</v>
      </c>
    </row>
    <row r="74" spans="1:10" ht="17" customHeight="1">
      <c r="A74" s="1202"/>
      <c r="B74" s="601" t="s">
        <v>61</v>
      </c>
      <c r="C74" s="602"/>
      <c r="D74" s="37">
        <f>Skemaoplysninger!AL$30</f>
        <v>0</v>
      </c>
      <c r="E74" s="42"/>
      <c r="F74" s="38">
        <f>Skemaoplysninger!AL$28*24</f>
        <v>0</v>
      </c>
      <c r="G74" s="433">
        <f>IF(Stamoplysninger!$H$29="Nej",Skemaoplysninger!$AL$37,IF(Skemaoplysninger!$AL$28&gt;0,Stamoplysninger!$H$30/200,0))</f>
        <v>0</v>
      </c>
      <c r="H74" s="48">
        <f>E74-F74</f>
        <v>0</v>
      </c>
      <c r="I74" s="618"/>
      <c r="J74" s="50">
        <f>I74+(E74/24)</f>
        <v>0</v>
      </c>
    </row>
    <row r="75" spans="1:10" ht="17" customHeight="1" thickBot="1">
      <c r="A75" s="1202"/>
      <c r="B75" s="601" t="s">
        <v>62</v>
      </c>
      <c r="C75" s="602"/>
      <c r="D75" s="37">
        <f>Skemaoplysninger!AM$30</f>
        <v>0</v>
      </c>
      <c r="E75" s="42"/>
      <c r="F75" s="38">
        <f>Skemaoplysninger!AM$28*24</f>
        <v>0</v>
      </c>
      <c r="G75" s="433">
        <f>IF(Stamoplysninger!$H$29="Nej",Skemaoplysninger!$AM$37,IF(Skemaoplysninger!$AM$28&gt;0,Stamoplysninger!$H$30/200,0))</f>
        <v>0</v>
      </c>
      <c r="H75" s="48">
        <f>E75-F75</f>
        <v>0</v>
      </c>
      <c r="I75" s="618"/>
      <c r="J75" s="51">
        <f>I75+(E75/24)</f>
        <v>0</v>
      </c>
    </row>
    <row r="76" spans="1:10" ht="17" customHeight="1" thickBot="1">
      <c r="A76" s="1202"/>
      <c r="B76" s="603" t="s">
        <v>111</v>
      </c>
      <c r="C76" s="604"/>
      <c r="D76" s="605"/>
      <c r="E76" s="100">
        <f>SUM(E71:E75)</f>
        <v>0</v>
      </c>
      <c r="F76" s="100">
        <f>SUM(F71:F75)</f>
        <v>0</v>
      </c>
      <c r="G76" s="434"/>
      <c r="H76" s="103">
        <f>SUM(H71:H75)</f>
        <v>0</v>
      </c>
      <c r="I76" s="102"/>
      <c r="J76" s="101"/>
    </row>
    <row r="77" spans="1:10" ht="17" customHeight="1">
      <c r="A77" s="1202"/>
      <c r="B77" s="607"/>
      <c r="C77" s="608"/>
      <c r="D77" s="608"/>
      <c r="E77" s="608"/>
      <c r="F77" s="608"/>
      <c r="G77" s="608"/>
      <c r="H77" s="608"/>
      <c r="I77" s="608"/>
      <c r="J77" s="615"/>
    </row>
    <row r="78" spans="1:10" ht="32" customHeight="1">
      <c r="A78" s="1202"/>
      <c r="B78" s="1213" t="s">
        <v>416</v>
      </c>
      <c r="C78" s="1214"/>
      <c r="D78" s="1289">
        <f>(D44*E44)+(D45*E45)+(D46*E46)+(D47*E47)+(D48*E48)+(D53*E53)+(D54*E54)+(D55*E55)+(D56*E56)+(D57*E57)+(D62*E62)+(D63*E63)+(D64*E64)+(D65*E65)+(D66*E66)+(D71*E71)+(D72*E72)+(D73*E73)+(D74*E74)+(D75*E75)</f>
        <v>1317</v>
      </c>
      <c r="E78" s="1290"/>
      <c r="F78" s="1290"/>
      <c r="G78" s="1290"/>
      <c r="H78" s="1290"/>
      <c r="I78" s="1290"/>
      <c r="J78" s="1291"/>
    </row>
    <row r="79" spans="1:10" ht="17" customHeight="1">
      <c r="A79" s="1202"/>
      <c r="B79" s="1213" t="s">
        <v>63</v>
      </c>
      <c r="C79" s="1214"/>
      <c r="D79" s="1289">
        <f>D78+I39-J27</f>
        <v>-0.22000000000002728</v>
      </c>
      <c r="E79" s="1290"/>
      <c r="F79" s="1290"/>
      <c r="G79" s="1290"/>
      <c r="H79" s="1290"/>
      <c r="I79" s="1290"/>
      <c r="J79" s="1291"/>
    </row>
    <row r="80" spans="1:10" ht="31" customHeight="1">
      <c r="A80" s="1202"/>
      <c r="B80" s="1207" t="s">
        <v>545</v>
      </c>
      <c r="C80" s="1208"/>
      <c r="D80" s="1208"/>
      <c r="E80" s="1208"/>
      <c r="F80" s="1208"/>
      <c r="G80" s="1208"/>
      <c r="H80" s="1208"/>
      <c r="I80" s="1208"/>
      <c r="J80" s="1209"/>
    </row>
    <row r="81" spans="1:11" ht="37" customHeight="1" thickBot="1">
      <c r="A81" s="1203"/>
      <c r="B81" s="1210"/>
      <c r="C81" s="1211"/>
      <c r="D81" s="1211"/>
      <c r="E81" s="1211"/>
      <c r="F81" s="1211"/>
      <c r="G81" s="1211"/>
      <c r="H81" s="1211"/>
      <c r="I81" s="1211"/>
      <c r="J81" s="1212"/>
    </row>
    <row r="82" spans="1:11" ht="44" customHeight="1">
      <c r="A82" s="1281"/>
      <c r="B82" s="1281"/>
      <c r="C82" s="1280" t="s">
        <v>442</v>
      </c>
      <c r="D82" s="1280"/>
      <c r="E82" s="1280"/>
      <c r="F82" s="1280"/>
      <c r="G82" s="1280"/>
      <c r="H82" s="1280"/>
      <c r="I82" s="1280"/>
      <c r="J82" s="1280"/>
      <c r="K82" s="3"/>
    </row>
    <row r="83" spans="1:11" ht="63" customHeight="1">
      <c r="A83" s="998"/>
      <c r="B83" s="998"/>
      <c r="C83" s="1259" t="s">
        <v>632</v>
      </c>
      <c r="D83" s="1259"/>
      <c r="E83" s="1259"/>
      <c r="F83" s="1259"/>
      <c r="G83" s="1259"/>
      <c r="H83" s="1259"/>
      <c r="I83" s="1259"/>
      <c r="J83" s="1259"/>
      <c r="K83" s="3"/>
    </row>
    <row r="84" spans="1:11" ht="10" customHeight="1"/>
  </sheetData>
  <sheetProtection sheet="1" formatCells="0" formatColumns="0" formatRows="0"/>
  <dataConsolidate/>
  <mergeCells count="74">
    <mergeCell ref="C82:J82"/>
    <mergeCell ref="C83:J83"/>
    <mergeCell ref="A82:B83"/>
    <mergeCell ref="B12:F12"/>
    <mergeCell ref="B13:F13"/>
    <mergeCell ref="B14:F14"/>
    <mergeCell ref="B15:F15"/>
    <mergeCell ref="B17:J17"/>
    <mergeCell ref="D79:J79"/>
    <mergeCell ref="D78:J78"/>
    <mergeCell ref="A8:A15"/>
    <mergeCell ref="G11:H11"/>
    <mergeCell ref="G12:H12"/>
    <mergeCell ref="I35:J35"/>
    <mergeCell ref="I36:J36"/>
    <mergeCell ref="I37:J37"/>
    <mergeCell ref="B8:J8"/>
    <mergeCell ref="B9:J9"/>
    <mergeCell ref="C4:J4"/>
    <mergeCell ref="C5:J5"/>
    <mergeCell ref="C6:J6"/>
    <mergeCell ref="C7:J7"/>
    <mergeCell ref="A7:B7"/>
    <mergeCell ref="C1:J1"/>
    <mergeCell ref="C2:J2"/>
    <mergeCell ref="C3:J3"/>
    <mergeCell ref="I60:J60"/>
    <mergeCell ref="D69:E69"/>
    <mergeCell ref="I69:J69"/>
    <mergeCell ref="G14:H14"/>
    <mergeCell ref="G15:H15"/>
    <mergeCell ref="I11:J11"/>
    <mergeCell ref="I14:J14"/>
    <mergeCell ref="I15:J15"/>
    <mergeCell ref="I12:J12"/>
    <mergeCell ref="I13:J13"/>
    <mergeCell ref="G13:H13"/>
    <mergeCell ref="B11:F11"/>
    <mergeCell ref="I51:J51"/>
    <mergeCell ref="I40:J40"/>
    <mergeCell ref="D42:E42"/>
    <mergeCell ref="I42:J42"/>
    <mergeCell ref="I41:J41"/>
    <mergeCell ref="I39:J39"/>
    <mergeCell ref="B40:H40"/>
    <mergeCell ref="B41:H41"/>
    <mergeCell ref="B39:H39"/>
    <mergeCell ref="B22:I22"/>
    <mergeCell ref="B23:I23"/>
    <mergeCell ref="K38:N38"/>
    <mergeCell ref="I38:J38"/>
    <mergeCell ref="B34:J34"/>
    <mergeCell ref="B33:J33"/>
    <mergeCell ref="B35:H35"/>
    <mergeCell ref="B25:I25"/>
    <mergeCell ref="B27:I27"/>
    <mergeCell ref="B28:I28"/>
    <mergeCell ref="B26:I26"/>
    <mergeCell ref="A33:A81"/>
    <mergeCell ref="A17:A31"/>
    <mergeCell ref="D51:E51"/>
    <mergeCell ref="D60:E60"/>
    <mergeCell ref="B80:J81"/>
    <mergeCell ref="B78:C78"/>
    <mergeCell ref="B79:C79"/>
    <mergeCell ref="B29:I29"/>
    <mergeCell ref="B30:I30"/>
    <mergeCell ref="B31:I31"/>
    <mergeCell ref="B36:H36"/>
    <mergeCell ref="B37:H37"/>
    <mergeCell ref="B38:H38"/>
    <mergeCell ref="B18:J18"/>
    <mergeCell ref="B20:I20"/>
    <mergeCell ref="B21:I21"/>
  </mergeCells>
  <phoneticPr fontId="5" type="noConversion"/>
  <printOptions horizontalCentered="1"/>
  <pageMargins left="0.25" right="0.25" top="0.75" bottom="0.75" header="0.3" footer="0.3"/>
  <pageSetup paperSize="9" scale="62" orientation="portrait" horizontalDpi="4294967292" verticalDpi="4294967292" r:id="rId1"/>
  <rowBreaks count="2" manualBreakCount="2">
    <brk id="15" max="16383" man="1"/>
    <brk id="36" max="9" man="1"/>
  </rowBreaks>
  <colBreaks count="2" manualBreakCount="2">
    <brk id="1" min="7" max="30" man="1"/>
    <brk id="19"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84"/>
  <sheetViews>
    <sheetView showZeros="0" topLeftCell="A28" workbookViewId="0">
      <selection activeCell="B48" sqref="B48:J48"/>
    </sheetView>
  </sheetViews>
  <sheetFormatPr baseColWidth="10" defaultRowHeight="16"/>
  <cols>
    <col min="11" max="11" width="14.1640625" bestFit="1" customWidth="1"/>
  </cols>
  <sheetData>
    <row r="1" spans="1:41" ht="47" customHeight="1">
      <c r="A1" s="998"/>
      <c r="B1" s="998"/>
      <c r="C1" s="1259" t="s">
        <v>546</v>
      </c>
      <c r="D1" s="1259"/>
      <c r="E1" s="1259"/>
      <c r="F1" s="1259"/>
      <c r="G1" s="1259"/>
      <c r="H1" s="1259"/>
      <c r="I1" s="1259"/>
      <c r="J1" s="1259"/>
      <c r="K1" s="1259"/>
    </row>
    <row r="2" spans="1:41" ht="49" customHeight="1" thickBot="1">
      <c r="A2" s="998"/>
      <c r="B2" s="998"/>
      <c r="C2" s="994" t="s">
        <v>630</v>
      </c>
      <c r="D2" s="994"/>
      <c r="E2" s="994"/>
      <c r="F2" s="994"/>
      <c r="G2" s="994"/>
      <c r="H2" s="994"/>
      <c r="I2" s="994"/>
      <c r="J2" s="994"/>
      <c r="K2" s="994"/>
    </row>
    <row r="3" spans="1:41" ht="31" customHeight="1">
      <c r="A3" s="1338" t="s">
        <v>440</v>
      </c>
      <c r="B3" s="1299" t="s">
        <v>74</v>
      </c>
      <c r="C3" s="1300"/>
      <c r="D3" s="1300"/>
      <c r="E3" s="1300"/>
      <c r="F3" s="1300"/>
      <c r="G3" s="1300"/>
      <c r="H3" s="1300"/>
      <c r="I3" s="1300"/>
      <c r="J3" s="1301"/>
      <c r="K3" s="1302" t="s">
        <v>70</v>
      </c>
    </row>
    <row r="4" spans="1:41" ht="30" customHeight="1">
      <c r="A4" s="1338"/>
      <c r="B4" s="1304" t="s">
        <v>547</v>
      </c>
      <c r="C4" s="1305"/>
      <c r="D4" s="1305"/>
      <c r="E4" s="1305"/>
      <c r="F4" s="1305"/>
      <c r="G4" s="1305"/>
      <c r="H4" s="1305"/>
      <c r="I4" s="1305"/>
      <c r="J4" s="1306"/>
      <c r="K4" s="1303"/>
    </row>
    <row r="5" spans="1:41" s="4" customFormat="1" ht="31" customHeight="1" thickBot="1">
      <c r="A5" s="1338"/>
      <c r="B5" s="1307" t="s">
        <v>507</v>
      </c>
      <c r="C5" s="1308"/>
      <c r="D5" s="1308"/>
      <c r="E5" s="1308"/>
      <c r="F5" s="1308"/>
      <c r="G5" s="1308"/>
      <c r="H5" s="1308"/>
      <c r="I5" s="1308"/>
      <c r="J5" s="1309"/>
      <c r="K5" s="853">
        <f>Arbejdstidsoversigt!J31</f>
        <v>614.30333333333328</v>
      </c>
      <c r="L5" s="424"/>
      <c r="M5" s="407"/>
      <c r="N5" s="408"/>
      <c r="O5" s="409"/>
      <c r="P5" s="409"/>
      <c r="Q5" s="405"/>
      <c r="R5" s="405"/>
      <c r="S5" s="405"/>
      <c r="T5" s="405"/>
      <c r="U5" s="405"/>
      <c r="W5" s="407"/>
      <c r="X5" s="408"/>
      <c r="Y5" s="409"/>
      <c r="Z5" s="409"/>
      <c r="AA5" s="405"/>
      <c r="AB5" s="405"/>
      <c r="AC5" s="405"/>
      <c r="AD5" s="405"/>
      <c r="AE5" s="405"/>
      <c r="AG5" s="407"/>
      <c r="AH5" s="408"/>
      <c r="AI5" s="409"/>
      <c r="AJ5" s="409"/>
      <c r="AK5" s="405"/>
      <c r="AL5" s="405"/>
      <c r="AM5" s="405"/>
      <c r="AN5" s="405"/>
      <c r="AO5" s="405"/>
    </row>
    <row r="6" spans="1:41" s="406" customFormat="1" ht="19" customHeight="1">
      <c r="A6" s="1338"/>
      <c r="B6" s="1314" t="s">
        <v>548</v>
      </c>
      <c r="C6" s="1315"/>
      <c r="D6" s="1315"/>
      <c r="E6" s="1315"/>
      <c r="F6" s="1315"/>
      <c r="G6" s="1315"/>
      <c r="H6" s="1315"/>
      <c r="I6" s="1315"/>
      <c r="J6" s="1315"/>
      <c r="K6" s="1316"/>
    </row>
    <row r="7" spans="1:41" s="4" customFormat="1" ht="20" customHeight="1">
      <c r="A7" s="1338"/>
      <c r="B7" s="1310" t="s">
        <v>606</v>
      </c>
      <c r="C7" s="1311"/>
      <c r="D7" s="1311"/>
      <c r="E7" s="1311"/>
      <c r="F7" s="1311"/>
      <c r="G7" s="1311"/>
      <c r="H7" s="1311"/>
      <c r="I7" s="1311"/>
      <c r="J7" s="1311"/>
      <c r="K7" s="642">
        <v>375</v>
      </c>
      <c r="L7" s="425"/>
      <c r="M7" s="407"/>
      <c r="N7" s="408"/>
      <c r="O7" s="409"/>
      <c r="P7" s="409"/>
      <c r="Q7" s="405"/>
      <c r="R7" s="405"/>
      <c r="S7" s="405"/>
      <c r="T7" s="405"/>
      <c r="U7" s="405"/>
      <c r="W7" s="407"/>
      <c r="X7" s="408"/>
      <c r="Y7" s="409"/>
      <c r="Z7" s="409"/>
      <c r="AA7" s="405"/>
      <c r="AB7" s="405"/>
      <c r="AC7" s="405"/>
      <c r="AD7" s="405"/>
      <c r="AE7" s="405"/>
      <c r="AG7" s="407"/>
      <c r="AH7" s="408"/>
      <c r="AI7" s="409"/>
      <c r="AJ7" s="409"/>
      <c r="AK7" s="405"/>
      <c r="AL7" s="405"/>
      <c r="AM7" s="405"/>
      <c r="AN7" s="405"/>
      <c r="AO7" s="405"/>
    </row>
    <row r="8" spans="1:41" s="4" customFormat="1" ht="20" customHeight="1">
      <c r="A8" s="1338"/>
      <c r="B8" s="1312" t="s">
        <v>18</v>
      </c>
      <c r="C8" s="1313"/>
      <c r="D8" s="1313"/>
      <c r="E8" s="1313"/>
      <c r="F8" s="1313"/>
      <c r="G8" s="1313"/>
      <c r="H8" s="1313"/>
      <c r="I8" s="1313"/>
      <c r="J8" s="1313"/>
      <c r="K8" s="642">
        <v>70</v>
      </c>
      <c r="L8" s="425"/>
      <c r="M8" s="407"/>
      <c r="N8" s="408"/>
      <c r="O8" s="409"/>
      <c r="P8" s="409"/>
      <c r="Q8" s="405"/>
      <c r="R8" s="405"/>
      <c r="S8" s="405"/>
      <c r="T8" s="405"/>
      <c r="U8" s="405"/>
      <c r="W8" s="407"/>
      <c r="X8" s="408"/>
      <c r="Y8" s="409"/>
      <c r="Z8" s="409"/>
      <c r="AA8" s="405"/>
      <c r="AB8" s="405"/>
      <c r="AC8" s="405"/>
      <c r="AD8" s="405"/>
      <c r="AE8" s="405"/>
      <c r="AG8" s="407"/>
      <c r="AH8" s="408"/>
      <c r="AI8" s="409"/>
      <c r="AJ8" s="409"/>
      <c r="AK8" s="405"/>
      <c r="AL8" s="405"/>
      <c r="AM8" s="405"/>
      <c r="AN8" s="405"/>
      <c r="AO8" s="405"/>
    </row>
    <row r="9" spans="1:41" s="4" customFormat="1" ht="20" customHeight="1">
      <c r="A9" s="1338"/>
      <c r="B9" s="1028"/>
      <c r="C9" s="1029"/>
      <c r="D9" s="1029"/>
      <c r="E9" s="1029"/>
      <c r="F9" s="1029"/>
      <c r="G9" s="1029"/>
      <c r="H9" s="1029"/>
      <c r="I9" s="1029"/>
      <c r="J9" s="1025"/>
      <c r="K9" s="642"/>
      <c r="L9" s="425"/>
      <c r="M9" s="407"/>
      <c r="N9" s="408"/>
      <c r="O9" s="409"/>
      <c r="P9" s="409"/>
      <c r="Q9" s="405"/>
      <c r="R9" s="405"/>
      <c r="S9" s="405"/>
      <c r="T9" s="405"/>
      <c r="U9" s="405"/>
      <c r="W9" s="407"/>
      <c r="X9" s="408"/>
      <c r="Y9" s="409"/>
      <c r="Z9" s="409"/>
      <c r="AA9" s="405"/>
      <c r="AB9" s="405"/>
      <c r="AC9" s="405"/>
      <c r="AD9" s="405"/>
      <c r="AE9" s="405"/>
      <c r="AG9" s="407"/>
      <c r="AH9" s="408"/>
      <c r="AI9" s="409"/>
      <c r="AJ9" s="409"/>
      <c r="AK9" s="405"/>
      <c r="AL9" s="405"/>
      <c r="AM9" s="405"/>
      <c r="AN9" s="405"/>
      <c r="AO9" s="405"/>
    </row>
    <row r="10" spans="1:41" s="4" customFormat="1" ht="20" customHeight="1">
      <c r="A10" s="1338"/>
      <c r="B10" s="1028"/>
      <c r="C10" s="1029"/>
      <c r="D10" s="1029"/>
      <c r="E10" s="1029"/>
      <c r="F10" s="1029"/>
      <c r="G10" s="1029"/>
      <c r="H10" s="1029"/>
      <c r="I10" s="1029"/>
      <c r="J10" s="1025"/>
      <c r="K10" s="642"/>
      <c r="L10" s="425"/>
      <c r="M10" s="407"/>
      <c r="N10" s="408"/>
      <c r="O10" s="409"/>
      <c r="P10" s="409"/>
      <c r="Q10" s="405"/>
      <c r="R10" s="405"/>
      <c r="S10" s="405"/>
      <c r="T10" s="405"/>
      <c r="U10" s="405"/>
      <c r="W10" s="407"/>
      <c r="X10" s="408"/>
      <c r="Y10" s="409"/>
      <c r="Z10" s="409"/>
      <c r="AA10" s="405"/>
      <c r="AB10" s="405"/>
      <c r="AC10" s="405"/>
      <c r="AD10" s="405"/>
      <c r="AE10" s="405"/>
      <c r="AG10" s="407"/>
      <c r="AH10" s="408"/>
      <c r="AI10" s="409"/>
      <c r="AJ10" s="409"/>
      <c r="AK10" s="405"/>
      <c r="AL10" s="405"/>
      <c r="AM10" s="405"/>
      <c r="AN10" s="405"/>
      <c r="AO10" s="405"/>
    </row>
    <row r="11" spans="1:41" s="4" customFormat="1" ht="20" customHeight="1">
      <c r="A11" s="1338"/>
      <c r="B11" s="1028"/>
      <c r="C11" s="1029"/>
      <c r="D11" s="1029"/>
      <c r="E11" s="1029"/>
      <c r="F11" s="1029"/>
      <c r="G11" s="1029"/>
      <c r="H11" s="1029"/>
      <c r="I11" s="1029"/>
      <c r="J11" s="1025"/>
      <c r="K11" s="642"/>
      <c r="L11" s="425"/>
      <c r="M11" s="407"/>
      <c r="N11" s="408"/>
      <c r="O11" s="409"/>
      <c r="P11" s="409"/>
      <c r="Q11" s="405"/>
      <c r="R11" s="405"/>
      <c r="S11" s="405"/>
      <c r="T11" s="405"/>
      <c r="U11" s="405"/>
      <c r="W11" s="407"/>
      <c r="X11" s="408"/>
      <c r="Y11" s="409"/>
      <c r="Z11" s="409"/>
      <c r="AA11" s="405"/>
      <c r="AB11" s="405"/>
      <c r="AC11" s="405"/>
      <c r="AD11" s="405"/>
      <c r="AE11" s="405"/>
      <c r="AG11" s="407"/>
      <c r="AH11" s="408"/>
      <c r="AI11" s="409"/>
      <c r="AJ11" s="409"/>
      <c r="AK11" s="405"/>
      <c r="AL11" s="405"/>
      <c r="AM11" s="405"/>
      <c r="AN11" s="405"/>
      <c r="AO11" s="405"/>
    </row>
    <row r="12" spans="1:41" s="4" customFormat="1" ht="20" customHeight="1">
      <c r="A12" s="1338"/>
      <c r="B12" s="1028"/>
      <c r="C12" s="1029"/>
      <c r="D12" s="1029"/>
      <c r="E12" s="1029"/>
      <c r="F12" s="1029"/>
      <c r="G12" s="1029"/>
      <c r="H12" s="1029"/>
      <c r="I12" s="1029"/>
      <c r="J12" s="1025"/>
      <c r="K12" s="642"/>
      <c r="L12" s="425"/>
      <c r="M12" s="407"/>
      <c r="N12" s="408"/>
      <c r="O12" s="409"/>
      <c r="P12" s="409"/>
      <c r="Q12" s="405"/>
      <c r="R12" s="405"/>
      <c r="S12" s="405"/>
      <c r="T12" s="405"/>
      <c r="U12" s="405"/>
      <c r="W12" s="407"/>
      <c r="X12" s="408"/>
      <c r="Y12" s="409"/>
      <c r="Z12" s="409"/>
      <c r="AA12" s="405"/>
      <c r="AB12" s="405"/>
      <c r="AC12" s="405"/>
      <c r="AD12" s="405"/>
      <c r="AE12" s="405"/>
      <c r="AG12" s="407"/>
      <c r="AH12" s="408"/>
      <c r="AI12" s="409"/>
      <c r="AJ12" s="409"/>
      <c r="AK12" s="405"/>
      <c r="AL12" s="405"/>
      <c r="AM12" s="405"/>
      <c r="AN12" s="405"/>
      <c r="AO12" s="405"/>
    </row>
    <row r="13" spans="1:41" s="4" customFormat="1" ht="20" customHeight="1">
      <c r="A13" s="1338"/>
      <c r="B13" s="1028"/>
      <c r="C13" s="1029"/>
      <c r="D13" s="1029"/>
      <c r="E13" s="1029"/>
      <c r="F13" s="1029"/>
      <c r="G13" s="1029"/>
      <c r="H13" s="1029"/>
      <c r="I13" s="1029"/>
      <c r="J13" s="1025"/>
      <c r="K13" s="642"/>
      <c r="L13" s="425"/>
      <c r="M13" s="407"/>
      <c r="N13" s="408"/>
      <c r="O13" s="409"/>
      <c r="P13" s="409"/>
      <c r="Q13" s="405"/>
      <c r="R13" s="405"/>
      <c r="S13" s="405"/>
      <c r="T13" s="405"/>
      <c r="U13" s="405"/>
      <c r="W13" s="407"/>
      <c r="X13" s="408"/>
      <c r="Y13" s="409"/>
      <c r="Z13" s="409"/>
      <c r="AA13" s="405"/>
      <c r="AB13" s="405"/>
      <c r="AC13" s="405"/>
      <c r="AD13" s="405"/>
      <c r="AE13" s="405"/>
      <c r="AG13" s="407"/>
      <c r="AH13" s="408"/>
      <c r="AI13" s="409"/>
      <c r="AJ13" s="409"/>
      <c r="AK13" s="405"/>
      <c r="AL13" s="405"/>
      <c r="AM13" s="405"/>
      <c r="AN13" s="405"/>
      <c r="AO13" s="405"/>
    </row>
    <row r="14" spans="1:41" s="4" customFormat="1" ht="20" customHeight="1">
      <c r="A14" s="1338"/>
      <c r="B14" s="1028"/>
      <c r="C14" s="1029"/>
      <c r="D14" s="1029"/>
      <c r="E14" s="1029"/>
      <c r="F14" s="1029"/>
      <c r="G14" s="1029"/>
      <c r="H14" s="1029"/>
      <c r="I14" s="1029"/>
      <c r="J14" s="1025"/>
      <c r="K14" s="642"/>
      <c r="L14" s="425"/>
      <c r="M14" s="407"/>
      <c r="N14" s="408"/>
      <c r="O14" s="409"/>
      <c r="P14" s="409"/>
      <c r="Q14" s="405"/>
      <c r="R14" s="405"/>
      <c r="S14" s="405"/>
      <c r="T14" s="405"/>
      <c r="U14" s="405"/>
      <c r="W14" s="407"/>
      <c r="X14" s="408"/>
      <c r="Y14" s="409"/>
      <c r="Z14" s="409"/>
      <c r="AA14" s="405"/>
      <c r="AB14" s="405"/>
      <c r="AC14" s="405"/>
      <c r="AD14" s="405"/>
      <c r="AE14" s="405"/>
      <c r="AG14" s="407"/>
      <c r="AH14" s="408"/>
      <c r="AI14" s="409"/>
      <c r="AJ14" s="409"/>
      <c r="AK14" s="405"/>
      <c r="AL14" s="405"/>
      <c r="AM14" s="405"/>
      <c r="AN14" s="405"/>
      <c r="AO14" s="405"/>
    </row>
    <row r="15" spans="1:41" s="4" customFormat="1" ht="20" customHeight="1">
      <c r="A15" s="1338"/>
      <c r="B15" s="643"/>
      <c r="C15" s="644"/>
      <c r="D15" s="644"/>
      <c r="E15" s="644"/>
      <c r="F15" s="644"/>
      <c r="G15" s="644"/>
      <c r="H15" s="644"/>
      <c r="I15" s="644"/>
      <c r="J15" s="645"/>
      <c r="K15" s="642"/>
      <c r="L15" s="425"/>
      <c r="M15" s="407"/>
      <c r="N15" s="408"/>
      <c r="O15" s="409"/>
      <c r="P15" s="409"/>
      <c r="Q15" s="405"/>
      <c r="R15" s="405"/>
      <c r="S15" s="405"/>
      <c r="T15" s="405"/>
      <c r="U15" s="405"/>
      <c r="W15" s="407"/>
      <c r="X15" s="408"/>
      <c r="Y15" s="409"/>
      <c r="Z15" s="409"/>
      <c r="AA15" s="405"/>
      <c r="AB15" s="405"/>
      <c r="AC15" s="405"/>
      <c r="AD15" s="405"/>
      <c r="AE15" s="405"/>
      <c r="AG15" s="407"/>
      <c r="AH15" s="408"/>
      <c r="AI15" s="409"/>
      <c r="AJ15" s="409"/>
      <c r="AK15" s="405"/>
      <c r="AL15" s="405"/>
      <c r="AM15" s="405"/>
      <c r="AN15" s="405"/>
      <c r="AO15" s="405"/>
    </row>
    <row r="16" spans="1:41" s="4" customFormat="1" ht="20" customHeight="1">
      <c r="A16" s="1338"/>
      <c r="B16" s="643"/>
      <c r="C16" s="644"/>
      <c r="D16" s="644"/>
      <c r="E16" s="644"/>
      <c r="F16" s="644"/>
      <c r="G16" s="644"/>
      <c r="H16" s="644"/>
      <c r="I16" s="644"/>
      <c r="J16" s="645"/>
      <c r="K16" s="642"/>
      <c r="L16" s="425"/>
      <c r="M16" s="407"/>
      <c r="N16" s="408"/>
      <c r="O16" s="409"/>
      <c r="P16" s="409"/>
      <c r="Q16" s="405"/>
      <c r="R16" s="405"/>
      <c r="S16" s="405"/>
      <c r="T16" s="405"/>
      <c r="U16" s="405"/>
      <c r="W16" s="407"/>
      <c r="X16" s="408"/>
      <c r="Y16" s="409"/>
      <c r="Z16" s="409"/>
      <c r="AA16" s="405"/>
      <c r="AB16" s="405"/>
      <c r="AC16" s="405"/>
      <c r="AD16" s="405"/>
      <c r="AE16" s="405"/>
      <c r="AG16" s="407"/>
      <c r="AH16" s="408"/>
      <c r="AI16" s="409"/>
      <c r="AJ16" s="409"/>
      <c r="AK16" s="405"/>
      <c r="AL16" s="405"/>
      <c r="AM16" s="405"/>
      <c r="AN16" s="405"/>
      <c r="AO16" s="405"/>
    </row>
    <row r="17" spans="1:41" s="4" customFormat="1" ht="20" customHeight="1">
      <c r="A17" s="1338"/>
      <c r="B17" s="643"/>
      <c r="C17" s="644"/>
      <c r="D17" s="644"/>
      <c r="E17" s="644"/>
      <c r="F17" s="644"/>
      <c r="G17" s="644"/>
      <c r="H17" s="644"/>
      <c r="I17" s="644"/>
      <c r="J17" s="645"/>
      <c r="K17" s="642"/>
      <c r="L17" s="425"/>
      <c r="M17" s="407"/>
      <c r="N17" s="408"/>
      <c r="O17" s="409"/>
      <c r="P17" s="409"/>
      <c r="Q17" s="405"/>
      <c r="R17" s="405"/>
      <c r="S17" s="405"/>
      <c r="T17" s="405"/>
      <c r="U17" s="405"/>
      <c r="W17" s="407"/>
      <c r="X17" s="408"/>
      <c r="Y17" s="409"/>
      <c r="Z17" s="409"/>
      <c r="AA17" s="405"/>
      <c r="AB17" s="405"/>
      <c r="AC17" s="405"/>
      <c r="AD17" s="405"/>
      <c r="AE17" s="405"/>
      <c r="AG17" s="407"/>
      <c r="AH17" s="408"/>
      <c r="AI17" s="409"/>
      <c r="AJ17" s="409"/>
      <c r="AK17" s="405"/>
      <c r="AL17" s="405"/>
      <c r="AM17" s="405"/>
      <c r="AN17" s="405"/>
      <c r="AO17" s="405"/>
    </row>
    <row r="18" spans="1:41" s="4" customFormat="1" ht="20" customHeight="1">
      <c r="A18" s="1338"/>
      <c r="B18" s="643"/>
      <c r="C18" s="644"/>
      <c r="D18" s="644"/>
      <c r="E18" s="644"/>
      <c r="F18" s="644"/>
      <c r="G18" s="644"/>
      <c r="H18" s="644"/>
      <c r="I18" s="644"/>
      <c r="J18" s="645"/>
      <c r="K18" s="642"/>
      <c r="L18" s="425"/>
      <c r="M18" s="407"/>
      <c r="N18" s="408"/>
      <c r="O18" s="409"/>
      <c r="P18" s="409"/>
      <c r="Q18" s="405"/>
      <c r="R18" s="405"/>
      <c r="S18" s="405"/>
      <c r="T18" s="405"/>
      <c r="U18" s="405"/>
      <c r="W18" s="407"/>
      <c r="X18" s="408"/>
      <c r="Y18" s="409"/>
      <c r="Z18" s="409"/>
      <c r="AA18" s="405"/>
      <c r="AB18" s="405"/>
      <c r="AC18" s="405"/>
      <c r="AD18" s="405"/>
      <c r="AE18" s="405"/>
      <c r="AG18" s="407"/>
      <c r="AH18" s="408"/>
      <c r="AI18" s="409"/>
      <c r="AJ18" s="409"/>
      <c r="AK18" s="405"/>
      <c r="AL18" s="405"/>
      <c r="AM18" s="405"/>
      <c r="AN18" s="405"/>
      <c r="AO18" s="405"/>
    </row>
    <row r="19" spans="1:41" s="4" customFormat="1" ht="20" customHeight="1">
      <c r="A19" s="1338"/>
      <c r="B19" s="643"/>
      <c r="C19" s="644"/>
      <c r="D19" s="644"/>
      <c r="E19" s="644"/>
      <c r="F19" s="644"/>
      <c r="G19" s="644"/>
      <c r="H19" s="644"/>
      <c r="I19" s="644"/>
      <c r="J19" s="645"/>
      <c r="K19" s="642"/>
      <c r="L19" s="425"/>
      <c r="M19" s="407"/>
      <c r="N19" s="408"/>
      <c r="O19" s="409"/>
      <c r="P19" s="409"/>
      <c r="Q19" s="405"/>
      <c r="R19" s="405"/>
      <c r="S19" s="405"/>
      <c r="T19" s="405"/>
      <c r="U19" s="405"/>
      <c r="W19" s="407"/>
      <c r="X19" s="408"/>
      <c r="Y19" s="409"/>
      <c r="Z19" s="409"/>
      <c r="AA19" s="405"/>
      <c r="AB19" s="405"/>
      <c r="AC19" s="405"/>
      <c r="AD19" s="405"/>
      <c r="AE19" s="405"/>
      <c r="AG19" s="407"/>
      <c r="AH19" s="408"/>
      <c r="AI19" s="409"/>
      <c r="AJ19" s="409"/>
      <c r="AK19" s="405"/>
      <c r="AL19" s="405"/>
      <c r="AM19" s="405"/>
      <c r="AN19" s="405"/>
      <c r="AO19" s="405"/>
    </row>
    <row r="20" spans="1:41" s="4" customFormat="1" ht="20" customHeight="1">
      <c r="A20" s="1338"/>
      <c r="B20" s="643"/>
      <c r="C20" s="644"/>
      <c r="D20" s="644"/>
      <c r="E20" s="644"/>
      <c r="F20" s="644"/>
      <c r="G20" s="644"/>
      <c r="H20" s="644"/>
      <c r="I20" s="644"/>
      <c r="J20" s="645"/>
      <c r="K20" s="642"/>
      <c r="L20" s="425"/>
      <c r="M20" s="407"/>
      <c r="N20" s="408"/>
      <c r="O20" s="409"/>
      <c r="P20" s="409"/>
      <c r="Q20" s="405"/>
      <c r="R20" s="405"/>
      <c r="S20" s="405"/>
      <c r="T20" s="405"/>
      <c r="U20" s="405"/>
      <c r="W20" s="407"/>
      <c r="X20" s="408"/>
      <c r="Y20" s="409"/>
      <c r="Z20" s="409"/>
      <c r="AA20" s="405"/>
      <c r="AB20" s="405"/>
      <c r="AC20" s="405"/>
      <c r="AD20" s="405"/>
      <c r="AE20" s="405"/>
      <c r="AG20" s="407"/>
      <c r="AH20" s="408"/>
      <c r="AI20" s="409"/>
      <c r="AJ20" s="409"/>
      <c r="AK20" s="405"/>
      <c r="AL20" s="405"/>
      <c r="AM20" s="405"/>
      <c r="AN20" s="405"/>
      <c r="AO20" s="405"/>
    </row>
    <row r="21" spans="1:41" s="4" customFormat="1" ht="20" customHeight="1">
      <c r="A21" s="1338"/>
      <c r="B21" s="643"/>
      <c r="C21" s="644"/>
      <c r="D21" s="644"/>
      <c r="E21" s="644"/>
      <c r="F21" s="644"/>
      <c r="G21" s="644"/>
      <c r="H21" s="644"/>
      <c r="I21" s="644"/>
      <c r="J21" s="645"/>
      <c r="K21" s="642"/>
      <c r="L21" s="425"/>
      <c r="M21" s="407"/>
      <c r="N21" s="408"/>
      <c r="O21" s="409"/>
      <c r="P21" s="409"/>
      <c r="Q21" s="405"/>
      <c r="R21" s="405"/>
      <c r="S21" s="405"/>
      <c r="T21" s="405"/>
      <c r="U21" s="405"/>
      <c r="W21" s="407"/>
      <c r="X21" s="408"/>
      <c r="Y21" s="409"/>
      <c r="Z21" s="409"/>
      <c r="AA21" s="405"/>
      <c r="AB21" s="405"/>
      <c r="AC21" s="405"/>
      <c r="AD21" s="405"/>
      <c r="AE21" s="405"/>
      <c r="AG21" s="407"/>
      <c r="AH21" s="408"/>
      <c r="AI21" s="409"/>
      <c r="AJ21" s="409"/>
      <c r="AK21" s="405"/>
      <c r="AL21" s="405"/>
      <c r="AM21" s="405"/>
      <c r="AN21" s="405"/>
      <c r="AO21" s="405"/>
    </row>
    <row r="22" spans="1:41" s="4" customFormat="1" ht="20" customHeight="1">
      <c r="A22" s="1338"/>
      <c r="B22" s="643"/>
      <c r="C22" s="644"/>
      <c r="D22" s="644"/>
      <c r="E22" s="644"/>
      <c r="F22" s="644"/>
      <c r="G22" s="644"/>
      <c r="H22" s="644"/>
      <c r="I22" s="644"/>
      <c r="J22" s="645"/>
      <c r="K22" s="642"/>
      <c r="L22" s="425"/>
      <c r="M22" s="407"/>
      <c r="N22" s="408"/>
      <c r="O22" s="409"/>
      <c r="P22" s="409"/>
      <c r="Q22" s="405"/>
      <c r="R22" s="405"/>
      <c r="S22" s="405"/>
      <c r="T22" s="405"/>
      <c r="U22" s="405"/>
      <c r="W22" s="407"/>
      <c r="X22" s="408"/>
      <c r="Y22" s="409"/>
      <c r="Z22" s="409"/>
      <c r="AA22" s="405"/>
      <c r="AB22" s="405"/>
      <c r="AC22" s="405"/>
      <c r="AD22" s="405"/>
      <c r="AE22" s="405"/>
      <c r="AG22" s="407"/>
      <c r="AH22" s="408"/>
      <c r="AI22" s="409"/>
      <c r="AJ22" s="409"/>
      <c r="AK22" s="405"/>
      <c r="AL22" s="405"/>
      <c r="AM22" s="405"/>
      <c r="AN22" s="405"/>
      <c r="AO22" s="405"/>
    </row>
    <row r="23" spans="1:41" s="4" customFormat="1" ht="20" customHeight="1">
      <c r="A23" s="1338"/>
      <c r="B23" s="643"/>
      <c r="C23" s="644"/>
      <c r="D23" s="644"/>
      <c r="E23" s="644"/>
      <c r="F23" s="644"/>
      <c r="G23" s="644"/>
      <c r="H23" s="644"/>
      <c r="I23" s="644"/>
      <c r="J23" s="645"/>
      <c r="K23" s="642"/>
      <c r="L23" s="425"/>
      <c r="M23" s="407"/>
      <c r="N23" s="408"/>
      <c r="O23" s="409"/>
      <c r="P23" s="409"/>
      <c r="Q23" s="405"/>
      <c r="R23" s="405"/>
      <c r="S23" s="405"/>
      <c r="T23" s="405"/>
      <c r="U23" s="405"/>
      <c r="W23" s="407"/>
      <c r="X23" s="408"/>
      <c r="Y23" s="409"/>
      <c r="Z23" s="409"/>
      <c r="AA23" s="405"/>
      <c r="AB23" s="405"/>
      <c r="AC23" s="405"/>
      <c r="AD23" s="405"/>
      <c r="AE23" s="405"/>
      <c r="AG23" s="407"/>
      <c r="AH23" s="408"/>
      <c r="AI23" s="409"/>
      <c r="AJ23" s="409"/>
      <c r="AK23" s="405"/>
      <c r="AL23" s="405"/>
      <c r="AM23" s="405"/>
      <c r="AN23" s="405"/>
      <c r="AO23" s="405"/>
    </row>
    <row r="24" spans="1:41" s="4" customFormat="1" ht="20" customHeight="1">
      <c r="A24" s="1338"/>
      <c r="B24" s="643"/>
      <c r="C24" s="644"/>
      <c r="D24" s="644"/>
      <c r="E24" s="644"/>
      <c r="F24" s="644"/>
      <c r="G24" s="644"/>
      <c r="H24" s="644"/>
      <c r="I24" s="644"/>
      <c r="J24" s="645"/>
      <c r="K24" s="642"/>
      <c r="L24" s="425"/>
      <c r="M24" s="407"/>
      <c r="N24" s="408"/>
      <c r="O24" s="409"/>
      <c r="P24" s="409"/>
      <c r="Q24" s="405"/>
      <c r="R24" s="405"/>
      <c r="S24" s="405"/>
      <c r="T24" s="405"/>
      <c r="U24" s="405"/>
      <c r="W24" s="407"/>
      <c r="X24" s="408"/>
      <c r="Y24" s="409"/>
      <c r="Z24" s="409"/>
      <c r="AA24" s="405"/>
      <c r="AB24" s="405"/>
      <c r="AC24" s="405"/>
      <c r="AD24" s="405"/>
      <c r="AE24" s="405"/>
      <c r="AG24" s="407"/>
      <c r="AH24" s="408"/>
      <c r="AI24" s="409"/>
      <c r="AJ24" s="409"/>
      <c r="AK24" s="405"/>
      <c r="AL24" s="405"/>
      <c r="AM24" s="405"/>
      <c r="AN24" s="405"/>
      <c r="AO24" s="405"/>
    </row>
    <row r="25" spans="1:41" s="4" customFormat="1" ht="20" customHeight="1">
      <c r="A25" s="1338"/>
      <c r="B25" s="1028"/>
      <c r="C25" s="1029"/>
      <c r="D25" s="1029"/>
      <c r="E25" s="1029"/>
      <c r="F25" s="1029"/>
      <c r="G25" s="1029"/>
      <c r="H25" s="1029"/>
      <c r="I25" s="1029"/>
      <c r="J25" s="1025"/>
      <c r="K25" s="642"/>
      <c r="L25" s="425"/>
      <c r="M25" s="407"/>
      <c r="N25" s="408"/>
      <c r="O25" s="409"/>
      <c r="P25" s="409"/>
      <c r="Q25" s="405"/>
      <c r="R25" s="405"/>
      <c r="S25" s="405"/>
      <c r="T25" s="405"/>
      <c r="U25" s="405"/>
      <c r="W25" s="407"/>
      <c r="X25" s="408"/>
      <c r="Y25" s="409"/>
      <c r="Z25" s="409"/>
      <c r="AA25" s="405"/>
      <c r="AB25" s="405"/>
      <c r="AC25" s="405"/>
      <c r="AD25" s="405"/>
      <c r="AE25" s="405"/>
      <c r="AG25" s="407"/>
      <c r="AH25" s="408"/>
      <c r="AI25" s="409"/>
      <c r="AJ25" s="409"/>
      <c r="AK25" s="405"/>
      <c r="AL25" s="405"/>
      <c r="AM25" s="405"/>
      <c r="AN25" s="405"/>
      <c r="AO25" s="405"/>
    </row>
    <row r="26" spans="1:41" s="4" customFormat="1" ht="20" customHeight="1">
      <c r="A26" s="1338"/>
      <c r="B26" s="1028"/>
      <c r="C26" s="1029"/>
      <c r="D26" s="1029"/>
      <c r="E26" s="1029"/>
      <c r="F26" s="1029"/>
      <c r="G26" s="1029"/>
      <c r="H26" s="1029"/>
      <c r="I26" s="1029"/>
      <c r="J26" s="1025"/>
      <c r="K26" s="642"/>
      <c r="L26" s="425"/>
      <c r="M26" s="407"/>
      <c r="N26" s="408"/>
      <c r="O26" s="409"/>
      <c r="P26" s="409"/>
      <c r="Q26" s="405"/>
      <c r="R26" s="405"/>
      <c r="S26" s="405"/>
      <c r="T26" s="405"/>
      <c r="U26" s="405"/>
      <c r="W26" s="407"/>
      <c r="X26" s="408"/>
      <c r="Y26" s="409"/>
      <c r="Z26" s="409"/>
      <c r="AA26" s="405"/>
      <c r="AB26" s="405"/>
      <c r="AC26" s="405"/>
      <c r="AD26" s="405"/>
      <c r="AE26" s="405"/>
      <c r="AG26" s="407"/>
      <c r="AH26" s="408"/>
      <c r="AI26" s="409"/>
      <c r="AJ26" s="409"/>
      <c r="AK26" s="405"/>
      <c r="AL26" s="405"/>
      <c r="AM26" s="405"/>
      <c r="AN26" s="405"/>
      <c r="AO26" s="405"/>
    </row>
    <row r="27" spans="1:41" s="4" customFormat="1" ht="20" customHeight="1">
      <c r="A27" s="1338"/>
      <c r="B27" s="1028"/>
      <c r="C27" s="1029"/>
      <c r="D27" s="1029"/>
      <c r="E27" s="1029"/>
      <c r="F27" s="1029"/>
      <c r="G27" s="1029"/>
      <c r="H27" s="1029"/>
      <c r="I27" s="1029"/>
      <c r="J27" s="1025"/>
      <c r="K27" s="642"/>
      <c r="L27" s="425"/>
      <c r="M27" s="407"/>
      <c r="N27" s="408"/>
      <c r="O27" s="409"/>
      <c r="P27" s="409"/>
      <c r="Q27" s="405"/>
      <c r="R27" s="405"/>
      <c r="S27" s="405"/>
      <c r="T27" s="405"/>
      <c r="U27" s="405"/>
      <c r="W27" s="407"/>
      <c r="X27" s="408"/>
      <c r="Y27" s="409"/>
      <c r="Z27" s="409"/>
      <c r="AA27" s="405"/>
      <c r="AB27" s="405"/>
      <c r="AC27" s="405"/>
      <c r="AD27" s="405"/>
      <c r="AE27" s="405"/>
      <c r="AG27" s="407"/>
      <c r="AH27" s="408"/>
      <c r="AI27" s="409"/>
      <c r="AJ27" s="409"/>
      <c r="AK27" s="405"/>
      <c r="AL27" s="405"/>
      <c r="AM27" s="405"/>
      <c r="AN27" s="405"/>
      <c r="AO27" s="405"/>
    </row>
    <row r="28" spans="1:41" s="4" customFormat="1" ht="20" customHeight="1">
      <c r="A28" s="1338"/>
      <c r="B28" s="1028"/>
      <c r="C28" s="1029"/>
      <c r="D28" s="1029"/>
      <c r="E28" s="1029"/>
      <c r="F28" s="1029"/>
      <c r="G28" s="1029"/>
      <c r="H28" s="1029"/>
      <c r="I28" s="1029"/>
      <c r="J28" s="1025"/>
      <c r="K28" s="642"/>
      <c r="L28" s="425"/>
      <c r="M28" s="407"/>
      <c r="N28" s="408"/>
      <c r="O28" s="409"/>
      <c r="P28" s="409"/>
      <c r="Q28" s="405"/>
      <c r="R28" s="405"/>
      <c r="S28" s="405"/>
      <c r="T28" s="405"/>
      <c r="U28" s="405"/>
      <c r="W28" s="407"/>
      <c r="X28" s="408"/>
      <c r="Y28" s="409"/>
      <c r="Z28" s="409"/>
      <c r="AA28" s="405"/>
      <c r="AB28" s="405"/>
      <c r="AC28" s="405"/>
      <c r="AD28" s="405"/>
      <c r="AE28" s="405"/>
      <c r="AG28" s="407"/>
      <c r="AH28" s="408"/>
      <c r="AI28" s="409"/>
      <c r="AJ28" s="409"/>
      <c r="AK28" s="405"/>
      <c r="AL28" s="405"/>
      <c r="AM28" s="405"/>
      <c r="AN28" s="405"/>
      <c r="AO28" s="405"/>
    </row>
    <row r="29" spans="1:41" s="4" customFormat="1" ht="20" customHeight="1" thickBot="1">
      <c r="A29" s="1338"/>
      <c r="B29" s="1028"/>
      <c r="C29" s="1029"/>
      <c r="D29" s="1029"/>
      <c r="E29" s="1029"/>
      <c r="F29" s="1029"/>
      <c r="G29" s="1029"/>
      <c r="H29" s="1029"/>
      <c r="I29" s="1029"/>
      <c r="J29" s="1025"/>
      <c r="K29" s="646"/>
      <c r="L29" s="425"/>
      <c r="M29" s="407"/>
      <c r="N29" s="408"/>
      <c r="O29" s="409"/>
      <c r="P29" s="409"/>
      <c r="Q29" s="405"/>
      <c r="R29" s="405"/>
      <c r="S29" s="405"/>
      <c r="T29" s="405"/>
      <c r="U29" s="405"/>
      <c r="W29" s="407"/>
      <c r="X29" s="408"/>
      <c r="Y29" s="409"/>
      <c r="Z29" s="409"/>
      <c r="AA29" s="405"/>
      <c r="AB29" s="405"/>
      <c r="AC29" s="405"/>
      <c r="AD29" s="405"/>
      <c r="AE29" s="405"/>
      <c r="AG29" s="407"/>
      <c r="AH29" s="408"/>
      <c r="AI29" s="409"/>
      <c r="AJ29" s="409"/>
      <c r="AK29" s="405"/>
      <c r="AL29" s="405"/>
      <c r="AM29" s="405"/>
      <c r="AN29" s="405"/>
      <c r="AO29" s="405"/>
    </row>
    <row r="30" spans="1:41" s="479" customFormat="1" ht="30" customHeight="1" thickBot="1">
      <c r="A30" s="1338"/>
      <c r="B30" s="1326" t="s">
        <v>286</v>
      </c>
      <c r="C30" s="1327"/>
      <c r="D30" s="1327"/>
      <c r="E30" s="1327"/>
      <c r="F30" s="1327"/>
      <c r="G30" s="1327"/>
      <c r="H30" s="1327"/>
      <c r="I30" s="1327"/>
      <c r="J30" s="1328"/>
      <c r="K30" s="730">
        <f>SUM(K7:K29)</f>
        <v>445</v>
      </c>
      <c r="L30" s="474"/>
      <c r="M30" s="475"/>
      <c r="N30" s="476"/>
      <c r="O30" s="477"/>
      <c r="P30" s="477"/>
      <c r="Q30" s="478"/>
      <c r="R30" s="478"/>
      <c r="S30" s="478"/>
      <c r="T30" s="478"/>
      <c r="U30" s="478"/>
      <c r="W30" s="475"/>
      <c r="X30" s="476"/>
      <c r="Y30" s="477"/>
      <c r="Z30" s="477"/>
      <c r="AA30" s="478"/>
      <c r="AB30" s="478"/>
      <c r="AC30" s="478"/>
      <c r="AD30" s="478"/>
      <c r="AE30" s="478"/>
      <c r="AG30" s="475"/>
      <c r="AH30" s="476"/>
      <c r="AI30" s="477"/>
      <c r="AJ30" s="477"/>
      <c r="AK30" s="478"/>
      <c r="AL30" s="478"/>
      <c r="AM30" s="478"/>
      <c r="AN30" s="478"/>
      <c r="AO30" s="478"/>
    </row>
    <row r="31" spans="1:41" s="4" customFormat="1" ht="36" customHeight="1" thickBot="1">
      <c r="A31" s="1338"/>
      <c r="B31" s="1322" t="s">
        <v>285</v>
      </c>
      <c r="C31" s="1323"/>
      <c r="D31" s="1323"/>
      <c r="E31" s="1323"/>
      <c r="F31" s="1323"/>
      <c r="G31" s="1323"/>
      <c r="H31" s="1323"/>
      <c r="I31" s="1324" t="s">
        <v>287</v>
      </c>
      <c r="J31" s="1325"/>
      <c r="K31" s="638">
        <f>K5-K30</f>
        <v>169.30333333333328</v>
      </c>
      <c r="L31" s="425"/>
      <c r="M31" s="407"/>
      <c r="N31" s="408"/>
      <c r="O31" s="409"/>
      <c r="P31" s="409"/>
      <c r="Q31" s="405"/>
      <c r="R31" s="405"/>
      <c r="S31" s="405"/>
      <c r="T31" s="405"/>
      <c r="U31" s="405"/>
      <c r="W31" s="407"/>
      <c r="X31" s="408"/>
      <c r="Y31" s="409"/>
      <c r="Z31" s="409"/>
      <c r="AA31" s="405"/>
      <c r="AB31" s="405"/>
      <c r="AC31" s="405"/>
      <c r="AD31" s="405"/>
      <c r="AE31" s="405"/>
      <c r="AG31" s="407"/>
      <c r="AH31" s="408"/>
      <c r="AI31" s="409"/>
      <c r="AJ31" s="409"/>
      <c r="AK31" s="405"/>
      <c r="AL31" s="405"/>
      <c r="AM31" s="405"/>
      <c r="AN31" s="405"/>
      <c r="AO31" s="405"/>
    </row>
    <row r="32" spans="1:41" s="4" customFormat="1" ht="20" customHeight="1">
      <c r="A32" s="1338"/>
      <c r="B32" s="1319" t="s">
        <v>607</v>
      </c>
      <c r="C32" s="1320"/>
      <c r="D32" s="1320"/>
      <c r="E32" s="1320"/>
      <c r="F32" s="1320"/>
      <c r="G32" s="1320"/>
      <c r="H32" s="1320"/>
      <c r="I32" s="1320"/>
      <c r="J32" s="1320"/>
      <c r="K32" s="1321"/>
      <c r="L32" s="425"/>
      <c r="M32" s="407"/>
      <c r="N32" s="408"/>
      <c r="O32" s="409"/>
      <c r="P32" s="409"/>
      <c r="Q32" s="405"/>
      <c r="R32" s="405"/>
      <c r="S32" s="405"/>
      <c r="T32" s="405"/>
      <c r="U32" s="405"/>
      <c r="W32" s="407"/>
      <c r="X32" s="408"/>
      <c r="Y32" s="409"/>
      <c r="Z32" s="409"/>
      <c r="AA32" s="405"/>
      <c r="AB32" s="405"/>
      <c r="AC32" s="405"/>
      <c r="AD32" s="405"/>
      <c r="AE32" s="405"/>
      <c r="AG32" s="407"/>
      <c r="AH32" s="408"/>
      <c r="AI32" s="409"/>
      <c r="AJ32" s="409"/>
      <c r="AK32" s="405"/>
      <c r="AL32" s="405"/>
      <c r="AM32" s="405"/>
      <c r="AN32" s="405"/>
      <c r="AO32" s="405"/>
    </row>
    <row r="33" spans="1:41" s="4" customFormat="1" ht="20" customHeight="1">
      <c r="A33" s="1338"/>
      <c r="B33" s="647" t="s">
        <v>608</v>
      </c>
      <c r="C33" s="648"/>
      <c r="D33" s="648"/>
      <c r="E33" s="648"/>
      <c r="F33" s="648"/>
      <c r="G33" s="648"/>
      <c r="H33" s="648"/>
      <c r="I33" s="648"/>
      <c r="J33" s="648"/>
      <c r="K33" s="649"/>
      <c r="L33" s="425"/>
      <c r="M33" s="407"/>
      <c r="N33" s="408"/>
      <c r="O33" s="409"/>
      <c r="P33" s="409"/>
      <c r="Q33" s="405"/>
      <c r="R33" s="405"/>
      <c r="S33" s="405"/>
      <c r="T33" s="405"/>
      <c r="U33" s="405"/>
      <c r="W33" s="407"/>
      <c r="X33" s="408"/>
      <c r="Y33" s="409"/>
      <c r="Z33" s="409"/>
      <c r="AA33" s="405"/>
      <c r="AB33" s="405"/>
      <c r="AC33" s="405"/>
      <c r="AD33" s="405"/>
      <c r="AE33" s="405"/>
      <c r="AG33" s="407"/>
      <c r="AH33" s="408"/>
      <c r="AI33" s="409"/>
      <c r="AJ33" s="409"/>
      <c r="AK33" s="405"/>
      <c r="AL33" s="405"/>
      <c r="AM33" s="405"/>
      <c r="AN33" s="405"/>
      <c r="AO33" s="405"/>
    </row>
    <row r="34" spans="1:41" s="4" customFormat="1" ht="20" customHeight="1">
      <c r="A34" s="1338"/>
      <c r="B34" s="647" t="s">
        <v>609</v>
      </c>
      <c r="C34" s="648"/>
      <c r="D34" s="648"/>
      <c r="E34" s="648"/>
      <c r="F34" s="648"/>
      <c r="G34" s="648"/>
      <c r="H34" s="648"/>
      <c r="I34" s="648"/>
      <c r="J34" s="648"/>
      <c r="K34" s="649"/>
      <c r="L34" s="425"/>
      <c r="M34" s="407"/>
      <c r="N34" s="408"/>
      <c r="O34" s="409"/>
      <c r="P34" s="409"/>
      <c r="Q34" s="405"/>
      <c r="R34" s="405"/>
      <c r="S34" s="405"/>
      <c r="T34" s="405"/>
      <c r="U34" s="405"/>
      <c r="W34" s="407"/>
      <c r="X34" s="408"/>
      <c r="Y34" s="409"/>
      <c r="Z34" s="409"/>
      <c r="AA34" s="405"/>
      <c r="AB34" s="405"/>
      <c r="AC34" s="405"/>
      <c r="AD34" s="405"/>
      <c r="AE34" s="405"/>
      <c r="AG34" s="407"/>
      <c r="AH34" s="408"/>
      <c r="AI34" s="409"/>
      <c r="AJ34" s="409"/>
      <c r="AK34" s="405"/>
      <c r="AL34" s="405"/>
      <c r="AM34" s="405"/>
      <c r="AN34" s="405"/>
      <c r="AO34" s="405"/>
    </row>
    <row r="35" spans="1:41" s="4" customFormat="1" ht="20" customHeight="1">
      <c r="A35" s="1338"/>
      <c r="B35" s="647" t="s">
        <v>610</v>
      </c>
      <c r="C35" s="648"/>
      <c r="D35" s="648"/>
      <c r="E35" s="648"/>
      <c r="F35" s="648"/>
      <c r="G35" s="648"/>
      <c r="H35" s="648"/>
      <c r="I35" s="648"/>
      <c r="J35" s="648"/>
      <c r="K35" s="649"/>
      <c r="L35" s="425"/>
      <c r="M35" s="407"/>
      <c r="N35" s="408"/>
      <c r="O35" s="409"/>
      <c r="P35" s="409"/>
      <c r="Q35" s="405"/>
      <c r="R35" s="405"/>
      <c r="S35" s="405"/>
      <c r="T35" s="405"/>
      <c r="U35" s="405"/>
      <c r="W35" s="407"/>
      <c r="X35" s="408"/>
      <c r="Y35" s="409"/>
      <c r="Z35" s="409"/>
      <c r="AA35" s="405"/>
      <c r="AB35" s="405"/>
      <c r="AC35" s="405"/>
      <c r="AD35" s="405"/>
      <c r="AE35" s="405"/>
      <c r="AG35" s="407"/>
      <c r="AH35" s="408"/>
      <c r="AI35" s="409"/>
      <c r="AJ35" s="409"/>
      <c r="AK35" s="405"/>
      <c r="AL35" s="405"/>
      <c r="AM35" s="405"/>
      <c r="AN35" s="405"/>
      <c r="AO35" s="405"/>
    </row>
    <row r="36" spans="1:41" s="4" customFormat="1" ht="20" customHeight="1">
      <c r="A36" s="1338"/>
      <c r="B36" s="647" t="s">
        <v>611</v>
      </c>
      <c r="C36" s="648"/>
      <c r="D36" s="648"/>
      <c r="E36" s="648"/>
      <c r="F36" s="648"/>
      <c r="G36" s="648"/>
      <c r="H36" s="648"/>
      <c r="I36" s="648"/>
      <c r="J36" s="648"/>
      <c r="K36" s="649"/>
      <c r="L36" s="425"/>
      <c r="M36" s="407"/>
      <c r="N36" s="408"/>
      <c r="O36" s="409"/>
      <c r="P36" s="409"/>
      <c r="Q36" s="405"/>
      <c r="R36" s="405"/>
      <c r="S36" s="405"/>
      <c r="T36" s="405"/>
      <c r="U36" s="405"/>
      <c r="W36" s="407"/>
      <c r="X36" s="408"/>
      <c r="Y36" s="409"/>
      <c r="Z36" s="409"/>
      <c r="AA36" s="405"/>
      <c r="AB36" s="405"/>
      <c r="AC36" s="405"/>
      <c r="AD36" s="405"/>
      <c r="AE36" s="405"/>
      <c r="AG36" s="407"/>
      <c r="AH36" s="408"/>
      <c r="AI36" s="409"/>
      <c r="AJ36" s="409"/>
      <c r="AK36" s="405"/>
      <c r="AL36" s="405"/>
      <c r="AM36" s="405"/>
      <c r="AN36" s="405"/>
      <c r="AO36" s="405"/>
    </row>
    <row r="37" spans="1:41" s="4" customFormat="1" ht="20" customHeight="1">
      <c r="A37" s="1338"/>
      <c r="B37" s="647"/>
      <c r="C37" s="648"/>
      <c r="D37" s="648"/>
      <c r="E37" s="648"/>
      <c r="F37" s="648"/>
      <c r="G37" s="648"/>
      <c r="H37" s="648"/>
      <c r="I37" s="648"/>
      <c r="J37" s="648"/>
      <c r="K37" s="649"/>
      <c r="L37" s="425"/>
      <c r="M37" s="407"/>
      <c r="N37" s="408"/>
      <c r="O37" s="409"/>
      <c r="P37" s="409"/>
      <c r="Q37" s="405"/>
      <c r="R37" s="405"/>
      <c r="S37" s="405"/>
      <c r="T37" s="405"/>
      <c r="U37" s="405"/>
      <c r="W37" s="407"/>
      <c r="X37" s="408"/>
      <c r="Y37" s="409"/>
      <c r="Z37" s="409"/>
      <c r="AA37" s="405"/>
      <c r="AB37" s="405"/>
      <c r="AC37" s="405"/>
      <c r="AD37" s="405"/>
      <c r="AE37" s="405"/>
      <c r="AG37" s="407"/>
      <c r="AH37" s="408"/>
      <c r="AI37" s="409"/>
      <c r="AJ37" s="409"/>
      <c r="AK37" s="405"/>
      <c r="AL37" s="405"/>
      <c r="AM37" s="405"/>
      <c r="AN37" s="405"/>
      <c r="AO37" s="405"/>
    </row>
    <row r="38" spans="1:41" s="4" customFormat="1" ht="20" customHeight="1">
      <c r="A38" s="1338"/>
      <c r="B38" s="647"/>
      <c r="C38" s="648"/>
      <c r="D38" s="648"/>
      <c r="E38" s="648"/>
      <c r="F38" s="648"/>
      <c r="G38" s="648"/>
      <c r="H38" s="648"/>
      <c r="I38" s="648"/>
      <c r="J38" s="648"/>
      <c r="K38" s="649"/>
      <c r="L38" s="425"/>
      <c r="M38" s="407"/>
      <c r="N38" s="408"/>
      <c r="O38" s="409"/>
      <c r="P38" s="409"/>
      <c r="Q38" s="405"/>
      <c r="R38" s="405"/>
      <c r="S38" s="405"/>
      <c r="T38" s="405"/>
      <c r="U38" s="405"/>
      <c r="W38" s="407"/>
      <c r="X38" s="408"/>
      <c r="Y38" s="409"/>
      <c r="Z38" s="409"/>
      <c r="AA38" s="405"/>
      <c r="AB38" s="405"/>
      <c r="AC38" s="405"/>
      <c r="AD38" s="405"/>
      <c r="AE38" s="405"/>
      <c r="AG38" s="407"/>
      <c r="AH38" s="408"/>
      <c r="AI38" s="409"/>
      <c r="AJ38" s="409"/>
      <c r="AK38" s="405"/>
      <c r="AL38" s="405"/>
      <c r="AM38" s="405"/>
      <c r="AN38" s="405"/>
      <c r="AO38" s="405"/>
    </row>
    <row r="39" spans="1:41" s="4" customFormat="1" ht="20" customHeight="1">
      <c r="A39" s="1338"/>
      <c r="B39" s="647"/>
      <c r="C39" s="648"/>
      <c r="D39" s="648"/>
      <c r="E39" s="648"/>
      <c r="F39" s="648"/>
      <c r="G39" s="648"/>
      <c r="H39" s="648"/>
      <c r="I39" s="648"/>
      <c r="J39" s="648"/>
      <c r="K39" s="649"/>
      <c r="L39" s="425"/>
      <c r="M39" s="407"/>
      <c r="N39" s="408"/>
      <c r="O39" s="409"/>
      <c r="P39" s="409"/>
      <c r="Q39" s="405"/>
      <c r="R39" s="405"/>
      <c r="S39" s="405"/>
      <c r="T39" s="405"/>
      <c r="U39" s="405"/>
      <c r="W39" s="407"/>
      <c r="X39" s="408"/>
      <c r="Y39" s="409"/>
      <c r="Z39" s="409"/>
      <c r="AA39" s="405"/>
      <c r="AB39" s="405"/>
      <c r="AC39" s="405"/>
      <c r="AD39" s="405"/>
      <c r="AE39" s="405"/>
      <c r="AG39" s="407"/>
      <c r="AH39" s="408"/>
      <c r="AI39" s="409"/>
      <c r="AJ39" s="409"/>
      <c r="AK39" s="405"/>
      <c r="AL39" s="405"/>
      <c r="AM39" s="405"/>
      <c r="AN39" s="405"/>
      <c r="AO39" s="405"/>
    </row>
    <row r="40" spans="1:41" s="4" customFormat="1" ht="20" customHeight="1">
      <c r="A40" s="1338"/>
      <c r="B40" s="647"/>
      <c r="C40" s="648"/>
      <c r="D40" s="648"/>
      <c r="E40" s="648"/>
      <c r="F40" s="648"/>
      <c r="G40" s="648"/>
      <c r="H40" s="648"/>
      <c r="I40" s="648"/>
      <c r="J40" s="648"/>
      <c r="K40" s="649"/>
      <c r="L40" s="425"/>
      <c r="M40" s="407"/>
      <c r="N40" s="408"/>
      <c r="O40" s="409"/>
      <c r="P40" s="409"/>
      <c r="Q40" s="405"/>
      <c r="R40" s="405"/>
      <c r="S40" s="405"/>
      <c r="T40" s="405"/>
      <c r="U40" s="405"/>
      <c r="W40" s="407"/>
      <c r="X40" s="408"/>
      <c r="Y40" s="409"/>
      <c r="Z40" s="409"/>
      <c r="AA40" s="405"/>
      <c r="AB40" s="405"/>
      <c r="AC40" s="405"/>
      <c r="AD40" s="405"/>
      <c r="AE40" s="405"/>
      <c r="AG40" s="407"/>
      <c r="AH40" s="408"/>
      <c r="AI40" s="409"/>
      <c r="AJ40" s="409"/>
      <c r="AK40" s="405"/>
      <c r="AL40" s="405"/>
      <c r="AM40" s="405"/>
      <c r="AN40" s="405"/>
      <c r="AO40" s="405"/>
    </row>
    <row r="41" spans="1:41" s="4" customFormat="1" ht="20" customHeight="1">
      <c r="A41" s="1338"/>
      <c r="B41" s="647"/>
      <c r="C41" s="648"/>
      <c r="D41" s="648"/>
      <c r="E41" s="648"/>
      <c r="F41" s="648"/>
      <c r="G41" s="648"/>
      <c r="H41" s="648"/>
      <c r="I41" s="648"/>
      <c r="J41" s="648"/>
      <c r="K41" s="649"/>
      <c r="L41" s="425"/>
      <c r="M41" s="407"/>
      <c r="N41" s="408"/>
      <c r="O41" s="409"/>
      <c r="P41" s="409"/>
      <c r="Q41" s="405"/>
      <c r="R41" s="405"/>
      <c r="S41" s="405"/>
      <c r="T41" s="405"/>
      <c r="U41" s="405"/>
      <c r="W41" s="407"/>
      <c r="X41" s="408"/>
      <c r="Y41" s="409"/>
      <c r="Z41" s="409"/>
      <c r="AA41" s="405"/>
      <c r="AB41" s="405"/>
      <c r="AC41" s="405"/>
      <c r="AD41" s="405"/>
      <c r="AE41" s="405"/>
      <c r="AG41" s="407"/>
      <c r="AH41" s="408"/>
      <c r="AI41" s="409"/>
      <c r="AJ41" s="409"/>
      <c r="AK41" s="405"/>
      <c r="AL41" s="405"/>
      <c r="AM41" s="405"/>
      <c r="AN41" s="405"/>
      <c r="AO41" s="405"/>
    </row>
    <row r="42" spans="1:41" s="4" customFormat="1" ht="20" customHeight="1">
      <c r="A42" s="1338"/>
      <c r="B42" s="647"/>
      <c r="C42" s="648"/>
      <c r="D42" s="648"/>
      <c r="E42" s="648"/>
      <c r="F42" s="648"/>
      <c r="G42" s="648"/>
      <c r="H42" s="648"/>
      <c r="I42" s="648"/>
      <c r="J42" s="648"/>
      <c r="K42" s="649"/>
      <c r="L42" s="425"/>
      <c r="M42" s="407"/>
      <c r="N42" s="408"/>
      <c r="O42" s="409"/>
      <c r="P42" s="409"/>
      <c r="Q42" s="405"/>
      <c r="R42" s="405"/>
      <c r="S42" s="405"/>
      <c r="T42" s="405"/>
      <c r="U42" s="405"/>
      <c r="W42" s="407"/>
      <c r="X42" s="408"/>
      <c r="Y42" s="409"/>
      <c r="Z42" s="409"/>
      <c r="AA42" s="405"/>
      <c r="AB42" s="405"/>
      <c r="AC42" s="405"/>
      <c r="AD42" s="405"/>
      <c r="AE42" s="405"/>
      <c r="AG42" s="407"/>
      <c r="AH42" s="408"/>
      <c r="AI42" s="409"/>
      <c r="AJ42" s="409"/>
      <c r="AK42" s="405"/>
      <c r="AL42" s="405"/>
      <c r="AM42" s="405"/>
      <c r="AN42" s="405"/>
      <c r="AO42" s="405"/>
    </row>
    <row r="43" spans="1:41" s="4" customFormat="1" ht="20" customHeight="1">
      <c r="A43" s="1338"/>
      <c r="B43" s="647"/>
      <c r="C43" s="648"/>
      <c r="D43" s="648"/>
      <c r="E43" s="648"/>
      <c r="F43" s="648"/>
      <c r="G43" s="648"/>
      <c r="H43" s="648"/>
      <c r="I43" s="648"/>
      <c r="J43" s="648"/>
      <c r="K43" s="649"/>
      <c r="L43" s="425"/>
      <c r="M43" s="407"/>
      <c r="N43" s="408"/>
      <c r="O43" s="409"/>
      <c r="P43" s="409"/>
      <c r="Q43" s="405"/>
      <c r="R43" s="405"/>
      <c r="S43" s="405"/>
      <c r="T43" s="405"/>
      <c r="U43" s="405"/>
      <c r="W43" s="407"/>
      <c r="X43" s="408"/>
      <c r="Y43" s="409"/>
      <c r="Z43" s="409"/>
      <c r="AA43" s="405"/>
      <c r="AB43" s="405"/>
      <c r="AC43" s="405"/>
      <c r="AD43" s="405"/>
      <c r="AE43" s="405"/>
      <c r="AG43" s="407"/>
      <c r="AH43" s="408"/>
      <c r="AI43" s="409"/>
      <c r="AJ43" s="409"/>
      <c r="AK43" s="405"/>
      <c r="AL43" s="405"/>
      <c r="AM43" s="405"/>
      <c r="AN43" s="405"/>
      <c r="AO43" s="405"/>
    </row>
    <row r="44" spans="1:41" s="4" customFormat="1" ht="20" customHeight="1">
      <c r="A44" s="1338"/>
      <c r="B44" s="647"/>
      <c r="C44" s="648"/>
      <c r="D44" s="648"/>
      <c r="E44" s="648"/>
      <c r="F44" s="648"/>
      <c r="G44" s="648"/>
      <c r="H44" s="648"/>
      <c r="I44" s="648"/>
      <c r="J44" s="648"/>
      <c r="K44" s="649"/>
      <c r="L44" s="425"/>
      <c r="M44" s="407"/>
      <c r="N44" s="408"/>
      <c r="O44" s="409"/>
      <c r="P44" s="409"/>
      <c r="Q44" s="405"/>
      <c r="R44" s="405"/>
      <c r="S44" s="405"/>
      <c r="T44" s="405"/>
      <c r="U44" s="405"/>
      <c r="W44" s="407"/>
      <c r="X44" s="408"/>
      <c r="Y44" s="409"/>
      <c r="Z44" s="409"/>
      <c r="AA44" s="405"/>
      <c r="AB44" s="405"/>
      <c r="AC44" s="405"/>
      <c r="AD44" s="405"/>
      <c r="AE44" s="405"/>
      <c r="AG44" s="407"/>
      <c r="AH44" s="408"/>
      <c r="AI44" s="409"/>
      <c r="AJ44" s="409"/>
      <c r="AK44" s="405"/>
      <c r="AL44" s="405"/>
      <c r="AM44" s="405"/>
      <c r="AN44" s="405"/>
      <c r="AO44" s="405"/>
    </row>
    <row r="45" spans="1:41" s="4" customFormat="1" ht="20" customHeight="1">
      <c r="A45" s="1338"/>
      <c r="B45" s="647"/>
      <c r="C45" s="648"/>
      <c r="D45" s="648"/>
      <c r="E45" s="648"/>
      <c r="F45" s="648"/>
      <c r="G45" s="648"/>
      <c r="H45" s="648"/>
      <c r="I45" s="648"/>
      <c r="J45" s="648"/>
      <c r="K45" s="649"/>
      <c r="L45" s="425"/>
      <c r="M45" s="407"/>
      <c r="N45" s="408"/>
      <c r="O45" s="409"/>
      <c r="P45" s="409"/>
      <c r="Q45" s="405"/>
      <c r="R45" s="405"/>
      <c r="S45" s="405"/>
      <c r="T45" s="405"/>
      <c r="U45" s="405"/>
      <c r="W45" s="407"/>
      <c r="X45" s="408"/>
      <c r="Y45" s="409"/>
      <c r="Z45" s="409"/>
      <c r="AA45" s="405"/>
      <c r="AB45" s="405"/>
      <c r="AC45" s="405"/>
      <c r="AD45" s="405"/>
      <c r="AE45" s="405"/>
      <c r="AG45" s="407"/>
      <c r="AH45" s="408"/>
      <c r="AI45" s="409"/>
      <c r="AJ45" s="409"/>
      <c r="AK45" s="405"/>
      <c r="AL45" s="405"/>
      <c r="AM45" s="405"/>
      <c r="AN45" s="405"/>
      <c r="AO45" s="405"/>
    </row>
    <row r="46" spans="1:41" s="4" customFormat="1" ht="20" customHeight="1">
      <c r="A46" s="1338"/>
      <c r="B46" s="647"/>
      <c r="C46" s="648"/>
      <c r="D46" s="648"/>
      <c r="E46" s="648"/>
      <c r="F46" s="648"/>
      <c r="G46" s="648"/>
      <c r="H46" s="648"/>
      <c r="I46" s="648"/>
      <c r="J46" s="648"/>
      <c r="K46" s="649"/>
      <c r="L46" s="425"/>
      <c r="M46" s="407"/>
      <c r="N46" s="408"/>
      <c r="O46" s="409"/>
      <c r="P46" s="409"/>
      <c r="Q46" s="405"/>
      <c r="R46" s="405"/>
      <c r="S46" s="405"/>
      <c r="T46" s="405"/>
      <c r="U46" s="405"/>
      <c r="W46" s="407"/>
      <c r="X46" s="408"/>
      <c r="Y46" s="409"/>
      <c r="Z46" s="409"/>
      <c r="AA46" s="405"/>
      <c r="AB46" s="405"/>
      <c r="AC46" s="405"/>
      <c r="AD46" s="405"/>
      <c r="AE46" s="405"/>
      <c r="AG46" s="407"/>
      <c r="AH46" s="408"/>
      <c r="AI46" s="409"/>
      <c r="AJ46" s="409"/>
      <c r="AK46" s="405"/>
      <c r="AL46" s="405"/>
      <c r="AM46" s="405"/>
      <c r="AN46" s="405"/>
      <c r="AO46" s="405"/>
    </row>
    <row r="47" spans="1:41" s="4" customFormat="1" ht="20" customHeight="1" thickBot="1">
      <c r="A47" s="1338"/>
      <c r="B47" s="650"/>
      <c r="C47" s="651"/>
      <c r="D47" s="651"/>
      <c r="E47" s="651"/>
      <c r="F47" s="651"/>
      <c r="G47" s="651"/>
      <c r="H47" s="651"/>
      <c r="I47" s="651"/>
      <c r="J47" s="651"/>
      <c r="K47" s="652"/>
      <c r="L47" s="425"/>
      <c r="M47" s="407"/>
      <c r="N47" s="408"/>
      <c r="O47" s="409"/>
      <c r="P47" s="409"/>
      <c r="Q47" s="405"/>
      <c r="R47" s="405"/>
      <c r="S47" s="405"/>
      <c r="T47" s="405"/>
      <c r="U47" s="405"/>
      <c r="W47" s="407"/>
      <c r="X47" s="408"/>
      <c r="Y47" s="409"/>
      <c r="Z47" s="409"/>
      <c r="AA47" s="405"/>
      <c r="AB47" s="405"/>
      <c r="AC47" s="405"/>
      <c r="AD47" s="405"/>
      <c r="AE47" s="405"/>
      <c r="AG47" s="407"/>
      <c r="AH47" s="408"/>
      <c r="AI47" s="409"/>
      <c r="AJ47" s="409"/>
      <c r="AK47" s="405"/>
      <c r="AL47" s="405"/>
      <c r="AM47" s="405"/>
      <c r="AN47" s="405"/>
      <c r="AO47" s="405"/>
    </row>
    <row r="48" spans="1:41" s="4" customFormat="1" ht="31" customHeight="1" thickBot="1">
      <c r="A48" s="1338"/>
      <c r="B48" s="1317" t="s">
        <v>631</v>
      </c>
      <c r="C48" s="1318"/>
      <c r="D48" s="1318"/>
      <c r="E48" s="1318"/>
      <c r="F48" s="1318"/>
      <c r="G48" s="1318"/>
      <c r="H48" s="1318"/>
      <c r="I48" s="1318"/>
      <c r="J48" s="1318"/>
      <c r="K48" s="729">
        <f>Arbejdstidsoversigt!J30</f>
        <v>152.41666666666669</v>
      </c>
      <c r="L48" s="425"/>
      <c r="M48" s="407"/>
      <c r="N48" s="408"/>
      <c r="O48" s="409"/>
      <c r="P48" s="409"/>
      <c r="Q48" s="405"/>
      <c r="R48" s="405"/>
      <c r="S48" s="405"/>
      <c r="T48" s="405"/>
      <c r="U48" s="405"/>
      <c r="W48" s="407"/>
      <c r="X48" s="408"/>
      <c r="Y48" s="409"/>
      <c r="Z48" s="409"/>
      <c r="AA48" s="405"/>
      <c r="AB48" s="405"/>
      <c r="AC48" s="405"/>
      <c r="AD48" s="405"/>
      <c r="AE48" s="405"/>
      <c r="AG48" s="407"/>
      <c r="AH48" s="408"/>
      <c r="AI48" s="409"/>
      <c r="AJ48" s="409"/>
      <c r="AK48" s="405"/>
      <c r="AL48" s="405"/>
      <c r="AM48" s="405"/>
      <c r="AN48" s="405"/>
      <c r="AO48" s="405"/>
    </row>
    <row r="49" spans="1:41" s="4" customFormat="1" ht="40" customHeight="1">
      <c r="A49" s="1338"/>
      <c r="B49" s="1329" t="s">
        <v>349</v>
      </c>
      <c r="C49" s="1330"/>
      <c r="D49" s="1330"/>
      <c r="E49" s="1330"/>
      <c r="F49" s="1330"/>
      <c r="G49" s="1330"/>
      <c r="H49" s="1330"/>
      <c r="I49" s="1330" t="s">
        <v>422</v>
      </c>
      <c r="J49" s="1330"/>
      <c r="K49" s="639" t="s">
        <v>278</v>
      </c>
      <c r="L49" s="425"/>
      <c r="M49" s="407"/>
      <c r="N49" s="408"/>
      <c r="O49" s="407"/>
      <c r="P49" s="408"/>
      <c r="Q49" s="407"/>
      <c r="R49" s="408"/>
      <c r="S49" s="407"/>
      <c r="T49" s="408"/>
      <c r="U49" s="407"/>
      <c r="V49" s="408"/>
      <c r="W49" s="407"/>
      <c r="X49" s="408"/>
      <c r="Y49" s="407"/>
      <c r="Z49" s="408"/>
      <c r="AA49" s="407"/>
      <c r="AB49" s="405"/>
      <c r="AC49" s="405"/>
      <c r="AD49" s="405"/>
      <c r="AE49" s="405"/>
      <c r="AG49" s="407"/>
      <c r="AH49" s="408"/>
      <c r="AI49" s="409"/>
      <c r="AJ49" s="409"/>
      <c r="AK49" s="405"/>
      <c r="AL49" s="405"/>
      <c r="AM49" s="405"/>
      <c r="AN49" s="405"/>
      <c r="AO49" s="405"/>
    </row>
    <row r="50" spans="1:41" s="4" customFormat="1" ht="20" customHeight="1">
      <c r="A50" s="1338"/>
      <c r="B50" s="1331" t="str">
        <f>Skemaoplysninger!A43</f>
        <v>Planlægge lejrtur</v>
      </c>
      <c r="C50" s="1332"/>
      <c r="D50" s="1332"/>
      <c r="E50" s="1332"/>
      <c r="F50" s="1332"/>
      <c r="G50" s="1332"/>
      <c r="H50" s="1333"/>
      <c r="I50" s="1334" t="str">
        <f>Skemaoplysninger!G43</f>
        <v>August</v>
      </c>
      <c r="J50" s="1333"/>
      <c r="K50" s="727">
        <f>Skemaoplysninger!I43</f>
        <v>10</v>
      </c>
      <c r="L50" s="425"/>
      <c r="M50" s="407"/>
      <c r="N50" s="407"/>
      <c r="O50" s="407"/>
      <c r="P50" s="407"/>
      <c r="Q50" s="407"/>
      <c r="R50" s="407"/>
      <c r="S50" s="407"/>
      <c r="T50" s="407"/>
      <c r="U50" s="407"/>
      <c r="V50" s="407"/>
      <c r="W50" s="407"/>
      <c r="X50" s="407"/>
      <c r="Y50" s="407"/>
      <c r="Z50" s="407"/>
      <c r="AA50" s="407"/>
      <c r="AB50" s="405"/>
      <c r="AC50" s="405"/>
      <c r="AD50" s="405"/>
      <c r="AE50" s="405"/>
      <c r="AG50" s="407"/>
      <c r="AH50" s="408"/>
      <c r="AI50" s="409"/>
      <c r="AJ50" s="409"/>
      <c r="AK50" s="405"/>
      <c r="AL50" s="405"/>
      <c r="AM50" s="405"/>
      <c r="AN50" s="405"/>
      <c r="AO50" s="405"/>
    </row>
    <row r="51" spans="1:41" s="4" customFormat="1" ht="20" customHeight="1">
      <c r="A51" s="1338"/>
      <c r="B51" s="1331" t="str">
        <f>Skemaoplysninger!A44</f>
        <v>Koordinator teateruge</v>
      </c>
      <c r="C51" s="1332"/>
      <c r="D51" s="1332"/>
      <c r="E51" s="1332"/>
      <c r="F51" s="1332"/>
      <c r="G51" s="1332"/>
      <c r="H51" s="1333"/>
      <c r="I51" s="1334" t="str">
        <f>Skemaoplysninger!G44</f>
        <v>Januar</v>
      </c>
      <c r="J51" s="1333"/>
      <c r="K51" s="727">
        <f>Skemaoplysninger!I44</f>
        <v>10</v>
      </c>
      <c r="L51" s="425"/>
      <c r="M51" s="407"/>
      <c r="N51" s="407"/>
      <c r="O51" s="407"/>
      <c r="P51" s="407"/>
      <c r="Q51" s="407"/>
      <c r="R51" s="407"/>
      <c r="S51" s="407"/>
      <c r="T51" s="407"/>
      <c r="U51" s="407"/>
      <c r="V51" s="407"/>
      <c r="W51" s="407"/>
      <c r="X51" s="407"/>
      <c r="Y51" s="407"/>
      <c r="Z51" s="407"/>
      <c r="AA51" s="407"/>
      <c r="AB51" s="405"/>
      <c r="AC51" s="405"/>
      <c r="AD51" s="405"/>
      <c r="AE51" s="405"/>
      <c r="AG51" s="407"/>
      <c r="AH51" s="408"/>
      <c r="AI51" s="409"/>
      <c r="AJ51" s="409"/>
      <c r="AK51" s="405"/>
      <c r="AL51" s="405"/>
      <c r="AM51" s="405"/>
      <c r="AN51" s="405"/>
      <c r="AO51" s="405"/>
    </row>
    <row r="52" spans="1:41" s="4" customFormat="1" ht="20" customHeight="1">
      <c r="A52" s="1338"/>
      <c r="B52" s="1331">
        <f>Skemaoplysninger!A45</f>
        <v>0</v>
      </c>
      <c r="C52" s="1332"/>
      <c r="D52" s="1332"/>
      <c r="E52" s="1332"/>
      <c r="F52" s="1332"/>
      <c r="G52" s="1332"/>
      <c r="H52" s="1333"/>
      <c r="I52" s="1334">
        <f>Skemaoplysninger!G45</f>
        <v>0</v>
      </c>
      <c r="J52" s="1333"/>
      <c r="K52" s="727">
        <f>Skemaoplysninger!I45</f>
        <v>0</v>
      </c>
      <c r="L52" s="425"/>
      <c r="M52" s="407"/>
      <c r="N52" s="407"/>
      <c r="O52" s="407"/>
      <c r="P52" s="407"/>
      <c r="Q52" s="407"/>
      <c r="R52" s="407"/>
      <c r="S52" s="407"/>
      <c r="T52" s="407"/>
      <c r="U52" s="407"/>
      <c r="V52" s="407"/>
      <c r="W52" s="407"/>
      <c r="X52" s="407"/>
      <c r="Y52" s="407"/>
      <c r="Z52" s="407"/>
      <c r="AA52" s="407"/>
      <c r="AB52" s="405"/>
      <c r="AC52" s="405"/>
      <c r="AD52" s="405"/>
      <c r="AE52" s="405"/>
      <c r="AG52" s="407"/>
      <c r="AH52" s="408"/>
      <c r="AI52" s="409"/>
      <c r="AJ52" s="409"/>
      <c r="AK52" s="405"/>
      <c r="AL52" s="405"/>
      <c r="AM52" s="405"/>
      <c r="AN52" s="405"/>
      <c r="AO52" s="405"/>
    </row>
    <row r="53" spans="1:41" s="4" customFormat="1" ht="20" customHeight="1">
      <c r="A53" s="1338"/>
      <c r="B53" s="1331">
        <f>Skemaoplysninger!A46</f>
        <v>0</v>
      </c>
      <c r="C53" s="1332"/>
      <c r="D53" s="1332"/>
      <c r="E53" s="1332"/>
      <c r="F53" s="1332"/>
      <c r="G53" s="1332"/>
      <c r="H53" s="1333"/>
      <c r="I53" s="1334">
        <f>Skemaoplysninger!G46</f>
        <v>0</v>
      </c>
      <c r="J53" s="1333"/>
      <c r="K53" s="727">
        <f>Skemaoplysninger!I46</f>
        <v>0</v>
      </c>
      <c r="L53" s="425"/>
      <c r="M53" s="407"/>
      <c r="N53" s="407"/>
      <c r="O53" s="407"/>
      <c r="P53" s="407"/>
      <c r="Q53" s="407"/>
      <c r="R53" s="407"/>
      <c r="S53" s="407"/>
      <c r="T53" s="407"/>
      <c r="U53" s="407"/>
      <c r="V53" s="407"/>
      <c r="W53" s="407"/>
      <c r="X53" s="407"/>
      <c r="Y53" s="407"/>
      <c r="Z53" s="407"/>
      <c r="AA53" s="407"/>
      <c r="AB53" s="405"/>
      <c r="AC53" s="405"/>
      <c r="AD53" s="405"/>
      <c r="AE53" s="405"/>
      <c r="AG53" s="407"/>
      <c r="AH53" s="408"/>
      <c r="AI53" s="409"/>
      <c r="AJ53" s="409"/>
      <c r="AK53" s="405"/>
      <c r="AL53" s="405"/>
      <c r="AM53" s="405"/>
      <c r="AN53" s="405"/>
      <c r="AO53" s="405"/>
    </row>
    <row r="54" spans="1:41" s="4" customFormat="1" ht="20" customHeight="1">
      <c r="A54" s="1338"/>
      <c r="B54" s="1331">
        <f>Skemaoplysninger!A47</f>
        <v>0</v>
      </c>
      <c r="C54" s="1332"/>
      <c r="D54" s="1332"/>
      <c r="E54" s="1332"/>
      <c r="F54" s="1332"/>
      <c r="G54" s="1332"/>
      <c r="H54" s="1333"/>
      <c r="I54" s="1334">
        <f>Skemaoplysninger!G47</f>
        <v>0</v>
      </c>
      <c r="J54" s="1333"/>
      <c r="K54" s="727">
        <f>Skemaoplysninger!I47</f>
        <v>0</v>
      </c>
      <c r="L54" s="425"/>
      <c r="M54" s="407"/>
      <c r="N54" s="407"/>
      <c r="O54" s="407"/>
      <c r="P54" s="407"/>
      <c r="Q54" s="407"/>
      <c r="R54" s="407"/>
      <c r="S54" s="407"/>
      <c r="T54" s="407"/>
      <c r="U54" s="407"/>
      <c r="V54" s="407"/>
      <c r="W54" s="407"/>
      <c r="X54" s="407"/>
      <c r="Y54" s="407"/>
      <c r="Z54" s="407"/>
      <c r="AA54" s="407"/>
      <c r="AB54" s="405"/>
      <c r="AC54" s="405"/>
      <c r="AD54" s="405"/>
      <c r="AE54" s="405"/>
      <c r="AG54" s="407"/>
      <c r="AH54" s="408"/>
      <c r="AI54" s="409"/>
      <c r="AJ54" s="409"/>
      <c r="AK54" s="405"/>
      <c r="AL54" s="405"/>
      <c r="AM54" s="405"/>
      <c r="AN54" s="405"/>
      <c r="AO54" s="405"/>
    </row>
    <row r="55" spans="1:41" s="4" customFormat="1" ht="20" customHeight="1">
      <c r="A55" s="1338"/>
      <c r="B55" s="1331">
        <f>Skemaoplysninger!A48</f>
        <v>0</v>
      </c>
      <c r="C55" s="1332"/>
      <c r="D55" s="1332"/>
      <c r="E55" s="1332"/>
      <c r="F55" s="1332"/>
      <c r="G55" s="1332"/>
      <c r="H55" s="1333"/>
      <c r="I55" s="1334">
        <f>Skemaoplysninger!G48</f>
        <v>0</v>
      </c>
      <c r="J55" s="1333"/>
      <c r="K55" s="727">
        <f>Skemaoplysninger!I48</f>
        <v>0</v>
      </c>
      <c r="L55" s="425"/>
      <c r="M55" s="407"/>
      <c r="N55" s="407"/>
      <c r="O55" s="407"/>
      <c r="P55" s="407"/>
      <c r="Q55" s="407"/>
      <c r="R55" s="407"/>
      <c r="S55" s="407"/>
      <c r="T55" s="407"/>
      <c r="U55" s="407"/>
      <c r="V55" s="407"/>
      <c r="W55" s="407"/>
      <c r="X55" s="407"/>
      <c r="Y55" s="407"/>
      <c r="Z55" s="407"/>
      <c r="AA55" s="407"/>
      <c r="AB55" s="405"/>
      <c r="AC55" s="405"/>
      <c r="AD55" s="405"/>
      <c r="AE55" s="405"/>
      <c r="AG55" s="407"/>
      <c r="AH55" s="408"/>
      <c r="AI55" s="409"/>
      <c r="AJ55" s="409"/>
      <c r="AK55" s="405"/>
      <c r="AL55" s="405"/>
      <c r="AM55" s="405"/>
      <c r="AN55" s="405"/>
      <c r="AO55" s="405"/>
    </row>
    <row r="56" spans="1:41" s="4" customFormat="1" ht="20" customHeight="1">
      <c r="A56" s="1338"/>
      <c r="B56" s="1331">
        <f>Skemaoplysninger!A49</f>
        <v>0</v>
      </c>
      <c r="C56" s="1332"/>
      <c r="D56" s="1332"/>
      <c r="E56" s="1332"/>
      <c r="F56" s="1332"/>
      <c r="G56" s="1332"/>
      <c r="H56" s="1333"/>
      <c r="I56" s="1334">
        <f>Skemaoplysninger!G49</f>
        <v>0</v>
      </c>
      <c r="J56" s="1333"/>
      <c r="K56" s="727">
        <f>Skemaoplysninger!I49</f>
        <v>0</v>
      </c>
      <c r="L56" s="425"/>
      <c r="M56" s="407"/>
      <c r="N56" s="407"/>
      <c r="O56" s="407"/>
      <c r="P56" s="407"/>
      <c r="Q56" s="407"/>
      <c r="R56" s="407"/>
      <c r="S56" s="407"/>
      <c r="T56" s="407"/>
      <c r="U56" s="407"/>
      <c r="V56" s="407"/>
      <c r="W56" s="407"/>
      <c r="X56" s="407"/>
      <c r="Y56" s="407"/>
      <c r="Z56" s="407"/>
      <c r="AA56" s="407"/>
      <c r="AB56" s="405"/>
      <c r="AC56" s="405"/>
      <c r="AD56" s="405"/>
      <c r="AE56" s="405"/>
      <c r="AG56" s="407"/>
      <c r="AH56" s="408"/>
      <c r="AI56" s="409"/>
      <c r="AJ56" s="409"/>
      <c r="AK56" s="405"/>
      <c r="AL56" s="405"/>
      <c r="AM56" s="405"/>
      <c r="AN56" s="405"/>
      <c r="AO56" s="405"/>
    </row>
    <row r="57" spans="1:41" s="4" customFormat="1" ht="20" customHeight="1">
      <c r="A57" s="1338"/>
      <c r="B57" s="1331">
        <f>Skemaoplysninger!A50</f>
        <v>0</v>
      </c>
      <c r="C57" s="1332"/>
      <c r="D57" s="1332"/>
      <c r="E57" s="1332"/>
      <c r="F57" s="1332"/>
      <c r="G57" s="1332"/>
      <c r="H57" s="1333"/>
      <c r="I57" s="1334">
        <f>Skemaoplysninger!G50</f>
        <v>0</v>
      </c>
      <c r="J57" s="1333"/>
      <c r="K57" s="727">
        <f>Skemaoplysninger!I50</f>
        <v>0</v>
      </c>
      <c r="L57" s="425"/>
      <c r="M57" s="407"/>
      <c r="N57" s="407"/>
      <c r="O57" s="407"/>
      <c r="P57" s="407"/>
      <c r="Q57" s="407"/>
      <c r="R57" s="407"/>
      <c r="S57" s="407"/>
      <c r="T57" s="407"/>
      <c r="U57" s="407"/>
      <c r="V57" s="407"/>
      <c r="W57" s="407"/>
      <c r="X57" s="407"/>
      <c r="Y57" s="407"/>
      <c r="Z57" s="407"/>
      <c r="AA57" s="407"/>
      <c r="AB57" s="405"/>
      <c r="AC57" s="405"/>
      <c r="AD57" s="405"/>
      <c r="AE57" s="405"/>
      <c r="AG57" s="407"/>
      <c r="AH57" s="408"/>
      <c r="AI57" s="409"/>
      <c r="AJ57" s="409"/>
      <c r="AK57" s="405"/>
      <c r="AL57" s="405"/>
      <c r="AM57" s="405"/>
      <c r="AN57" s="405"/>
      <c r="AO57" s="405"/>
    </row>
    <row r="58" spans="1:41" s="4" customFormat="1" ht="20" customHeight="1">
      <c r="A58" s="1338"/>
      <c r="B58" s="1331">
        <f>Skemaoplysninger!A51</f>
        <v>0</v>
      </c>
      <c r="C58" s="1332"/>
      <c r="D58" s="1332"/>
      <c r="E58" s="1332"/>
      <c r="F58" s="1332"/>
      <c r="G58" s="1332"/>
      <c r="H58" s="1333"/>
      <c r="I58" s="1334">
        <f>Skemaoplysninger!G51</f>
        <v>0</v>
      </c>
      <c r="J58" s="1333"/>
      <c r="K58" s="727">
        <f>Skemaoplysninger!I51</f>
        <v>0</v>
      </c>
      <c r="L58" s="425"/>
      <c r="M58" s="407"/>
      <c r="N58" s="407"/>
      <c r="O58" s="407"/>
      <c r="P58" s="407"/>
      <c r="Q58" s="407"/>
      <c r="R58" s="407"/>
      <c r="S58" s="407"/>
      <c r="T58" s="407"/>
      <c r="U58" s="407"/>
      <c r="V58" s="407"/>
      <c r="W58" s="407"/>
      <c r="X58" s="407"/>
      <c r="Y58" s="407"/>
      <c r="Z58" s="407"/>
      <c r="AA58" s="407"/>
      <c r="AB58" s="405"/>
      <c r="AC58" s="405"/>
      <c r="AD58" s="405"/>
      <c r="AE58" s="405"/>
      <c r="AG58" s="407"/>
      <c r="AH58" s="408"/>
      <c r="AI58" s="409"/>
      <c r="AJ58" s="409"/>
      <c r="AK58" s="405"/>
      <c r="AL58" s="405"/>
      <c r="AM58" s="405"/>
      <c r="AN58" s="405"/>
      <c r="AO58" s="405"/>
    </row>
    <row r="59" spans="1:41" s="4" customFormat="1" ht="20" customHeight="1">
      <c r="A59" s="1338"/>
      <c r="B59" s="1331">
        <f>Skemaoplysninger!A52</f>
        <v>0</v>
      </c>
      <c r="C59" s="1332"/>
      <c r="D59" s="1332"/>
      <c r="E59" s="1332"/>
      <c r="F59" s="1332"/>
      <c r="G59" s="1332"/>
      <c r="H59" s="1333"/>
      <c r="I59" s="1334">
        <f>Skemaoplysninger!G52</f>
        <v>0</v>
      </c>
      <c r="J59" s="1333"/>
      <c r="K59" s="727">
        <f>Skemaoplysninger!I52</f>
        <v>0</v>
      </c>
      <c r="L59" s="425"/>
      <c r="M59" s="407"/>
      <c r="N59" s="407"/>
      <c r="O59" s="407"/>
      <c r="P59" s="407"/>
      <c r="Q59" s="407"/>
      <c r="R59" s="407"/>
      <c r="S59" s="407"/>
      <c r="T59" s="407"/>
      <c r="U59" s="407"/>
      <c r="V59" s="407"/>
      <c r="W59" s="407"/>
      <c r="X59" s="407"/>
      <c r="Y59" s="407"/>
      <c r="Z59" s="407"/>
      <c r="AA59" s="407"/>
      <c r="AB59" s="405"/>
      <c r="AC59" s="405"/>
      <c r="AD59" s="405"/>
      <c r="AE59" s="405"/>
      <c r="AG59" s="407"/>
      <c r="AH59" s="408"/>
      <c r="AI59" s="409"/>
      <c r="AJ59" s="409"/>
      <c r="AK59" s="405"/>
      <c r="AL59" s="405"/>
      <c r="AM59" s="405"/>
      <c r="AN59" s="405"/>
      <c r="AO59" s="405"/>
    </row>
    <row r="60" spans="1:41" s="4" customFormat="1" ht="20" customHeight="1">
      <c r="A60" s="1338"/>
      <c r="B60" s="1331">
        <f>Skemaoplysninger!A53</f>
        <v>0</v>
      </c>
      <c r="C60" s="1332"/>
      <c r="D60" s="1332"/>
      <c r="E60" s="1332"/>
      <c r="F60" s="1332"/>
      <c r="G60" s="1332"/>
      <c r="H60" s="1333"/>
      <c r="I60" s="1334">
        <f>Skemaoplysninger!G53</f>
        <v>0</v>
      </c>
      <c r="J60" s="1333"/>
      <c r="K60" s="727">
        <f>Skemaoplysninger!I53</f>
        <v>0</v>
      </c>
      <c r="L60" s="425"/>
      <c r="M60" s="407"/>
      <c r="N60" s="407"/>
      <c r="O60" s="407"/>
      <c r="P60" s="407"/>
      <c r="Q60" s="407"/>
      <c r="R60" s="407"/>
      <c r="S60" s="407"/>
      <c r="T60" s="407"/>
      <c r="U60" s="407"/>
      <c r="V60" s="407"/>
      <c r="W60" s="407"/>
      <c r="X60" s="407"/>
      <c r="Y60" s="407"/>
      <c r="Z60" s="407"/>
      <c r="AA60" s="407"/>
      <c r="AB60" s="405"/>
      <c r="AC60" s="405"/>
      <c r="AD60" s="405"/>
      <c r="AE60" s="405"/>
      <c r="AG60" s="407"/>
      <c r="AH60" s="408"/>
      <c r="AI60" s="409"/>
      <c r="AJ60" s="409"/>
      <c r="AK60" s="405"/>
      <c r="AL60" s="405"/>
      <c r="AM60" s="405"/>
      <c r="AN60" s="405"/>
      <c r="AO60" s="405"/>
    </row>
    <row r="61" spans="1:41" s="4" customFormat="1" ht="20" customHeight="1">
      <c r="A61" s="1338"/>
      <c r="B61" s="1331">
        <f>Skemaoplysninger!A54</f>
        <v>0</v>
      </c>
      <c r="C61" s="1332"/>
      <c r="D61" s="1332"/>
      <c r="E61" s="1332"/>
      <c r="F61" s="1332"/>
      <c r="G61" s="1332"/>
      <c r="H61" s="1333"/>
      <c r="I61" s="1334">
        <f>Skemaoplysninger!G54</f>
        <v>0</v>
      </c>
      <c r="J61" s="1333"/>
      <c r="K61" s="727">
        <f>Skemaoplysninger!I54</f>
        <v>0</v>
      </c>
      <c r="L61" s="425"/>
      <c r="M61" s="407"/>
      <c r="N61" s="407"/>
      <c r="O61" s="407"/>
      <c r="P61" s="407"/>
      <c r="Q61" s="407"/>
      <c r="R61" s="407"/>
      <c r="S61" s="407"/>
      <c r="T61" s="407"/>
      <c r="U61" s="407"/>
      <c r="V61" s="407"/>
      <c r="W61" s="407"/>
      <c r="X61" s="407"/>
      <c r="Y61" s="407"/>
      <c r="Z61" s="407"/>
      <c r="AA61" s="407"/>
      <c r="AB61" s="405"/>
      <c r="AC61" s="405"/>
      <c r="AD61" s="405"/>
      <c r="AE61" s="405"/>
      <c r="AG61" s="407"/>
      <c r="AH61" s="408"/>
      <c r="AI61" s="409"/>
      <c r="AJ61" s="409"/>
      <c r="AK61" s="405"/>
      <c r="AL61" s="405"/>
      <c r="AM61" s="405"/>
      <c r="AN61" s="405"/>
      <c r="AO61" s="405"/>
    </row>
    <row r="62" spans="1:41" s="4" customFormat="1" ht="20" customHeight="1">
      <c r="A62" s="1338"/>
      <c r="B62" s="1331">
        <f>Skemaoplysninger!A55</f>
        <v>0</v>
      </c>
      <c r="C62" s="1332"/>
      <c r="D62" s="1332"/>
      <c r="E62" s="1332"/>
      <c r="F62" s="1332"/>
      <c r="G62" s="1332"/>
      <c r="H62" s="1333"/>
      <c r="I62" s="1334">
        <f>Skemaoplysninger!G55</f>
        <v>0</v>
      </c>
      <c r="J62" s="1333"/>
      <c r="K62" s="727">
        <f>Skemaoplysninger!I55</f>
        <v>0</v>
      </c>
      <c r="L62" s="425"/>
      <c r="M62" s="407"/>
      <c r="N62" s="407"/>
      <c r="O62" s="407"/>
      <c r="P62" s="407"/>
      <c r="Q62" s="407"/>
      <c r="R62" s="407"/>
      <c r="S62" s="407"/>
      <c r="T62" s="407"/>
      <c r="U62" s="407"/>
      <c r="V62" s="407"/>
      <c r="W62" s="407"/>
      <c r="X62" s="407"/>
      <c r="Y62" s="407"/>
      <c r="Z62" s="407"/>
      <c r="AA62" s="407"/>
      <c r="AB62" s="405"/>
      <c r="AC62" s="405"/>
      <c r="AD62" s="405"/>
      <c r="AE62" s="405"/>
      <c r="AG62" s="407"/>
      <c r="AH62" s="408"/>
      <c r="AI62" s="409"/>
      <c r="AJ62" s="409"/>
      <c r="AK62" s="405"/>
      <c r="AL62" s="405"/>
      <c r="AM62" s="405"/>
      <c r="AN62" s="405"/>
      <c r="AO62" s="405"/>
    </row>
    <row r="63" spans="1:41" s="4" customFormat="1" ht="20" customHeight="1">
      <c r="A63" s="1338"/>
      <c r="B63" s="1331">
        <f>Skemaoplysninger!A56</f>
        <v>0</v>
      </c>
      <c r="C63" s="1332"/>
      <c r="D63" s="1332"/>
      <c r="E63" s="1332"/>
      <c r="F63" s="1332"/>
      <c r="G63" s="1332"/>
      <c r="H63" s="1333"/>
      <c r="I63" s="1334">
        <f>Skemaoplysninger!G56</f>
        <v>0</v>
      </c>
      <c r="J63" s="1333"/>
      <c r="K63" s="727">
        <f>Skemaoplysninger!I56</f>
        <v>0</v>
      </c>
      <c r="L63" s="425"/>
      <c r="M63" s="407"/>
      <c r="N63" s="407"/>
      <c r="O63" s="407"/>
      <c r="P63" s="407"/>
      <c r="Q63" s="407"/>
      <c r="R63" s="407"/>
      <c r="S63" s="407"/>
      <c r="T63" s="407"/>
      <c r="U63" s="407"/>
      <c r="V63" s="407"/>
      <c r="W63" s="407"/>
      <c r="X63" s="407"/>
      <c r="Y63" s="407"/>
      <c r="Z63" s="407"/>
      <c r="AA63" s="407"/>
      <c r="AB63" s="405"/>
      <c r="AC63" s="405"/>
      <c r="AD63" s="405"/>
      <c r="AE63" s="405"/>
      <c r="AG63" s="407"/>
      <c r="AH63" s="408"/>
      <c r="AI63" s="409"/>
      <c r="AJ63" s="409"/>
      <c r="AK63" s="405"/>
      <c r="AL63" s="405"/>
      <c r="AM63" s="405"/>
      <c r="AN63" s="405"/>
      <c r="AO63" s="405"/>
    </row>
    <row r="64" spans="1:41" s="4" customFormat="1" ht="20" customHeight="1">
      <c r="A64" s="1338"/>
      <c r="B64" s="1331">
        <f>Skemaoplysninger!A57</f>
        <v>0</v>
      </c>
      <c r="C64" s="1332"/>
      <c r="D64" s="1332"/>
      <c r="E64" s="1332"/>
      <c r="F64" s="1332"/>
      <c r="G64" s="1332"/>
      <c r="H64" s="1333"/>
      <c r="I64" s="1334">
        <f>Skemaoplysninger!G57</f>
        <v>0</v>
      </c>
      <c r="J64" s="1333"/>
      <c r="K64" s="727">
        <f>Skemaoplysninger!I57</f>
        <v>0</v>
      </c>
      <c r="L64" s="425"/>
      <c r="M64" s="407"/>
      <c r="N64" s="407"/>
      <c r="O64" s="407"/>
      <c r="P64" s="407"/>
      <c r="Q64" s="407"/>
      <c r="R64" s="407"/>
      <c r="S64" s="407"/>
      <c r="T64" s="407"/>
      <c r="U64" s="407"/>
      <c r="V64" s="407"/>
      <c r="W64" s="407"/>
      <c r="X64" s="407"/>
      <c r="Y64" s="407"/>
      <c r="Z64" s="407"/>
      <c r="AA64" s="407"/>
      <c r="AB64" s="405"/>
      <c r="AC64" s="405"/>
      <c r="AD64" s="405"/>
      <c r="AE64" s="405"/>
      <c r="AG64" s="407"/>
      <c r="AH64" s="408"/>
      <c r="AI64" s="409"/>
      <c r="AJ64" s="409"/>
      <c r="AK64" s="405"/>
      <c r="AL64" s="405"/>
      <c r="AM64" s="405"/>
      <c r="AN64" s="405"/>
      <c r="AO64" s="405"/>
    </row>
    <row r="65" spans="1:41" s="4" customFormat="1" ht="20" customHeight="1">
      <c r="A65" s="1338"/>
      <c r="B65" s="1331">
        <f>Skemaoplysninger!A58</f>
        <v>0</v>
      </c>
      <c r="C65" s="1332"/>
      <c r="D65" s="1332"/>
      <c r="E65" s="1332"/>
      <c r="F65" s="1332"/>
      <c r="G65" s="1332"/>
      <c r="H65" s="1333"/>
      <c r="I65" s="1334">
        <f>Skemaoplysninger!G58</f>
        <v>0</v>
      </c>
      <c r="J65" s="1333"/>
      <c r="K65" s="727">
        <f>Skemaoplysninger!I58</f>
        <v>0</v>
      </c>
      <c r="L65" s="425"/>
      <c r="M65" s="407"/>
      <c r="N65" s="407"/>
      <c r="O65" s="407"/>
      <c r="P65" s="407"/>
      <c r="Q65" s="407"/>
      <c r="R65" s="407"/>
      <c r="S65" s="407"/>
      <c r="T65" s="407"/>
      <c r="U65" s="407"/>
      <c r="V65" s="407"/>
      <c r="W65" s="407"/>
      <c r="X65" s="407"/>
      <c r="Y65" s="407"/>
      <c r="Z65" s="407"/>
      <c r="AA65" s="407"/>
      <c r="AB65" s="405"/>
      <c r="AC65" s="405"/>
      <c r="AD65" s="405"/>
      <c r="AE65" s="405"/>
      <c r="AG65" s="407"/>
      <c r="AH65" s="408"/>
      <c r="AI65" s="409"/>
      <c r="AJ65" s="409"/>
      <c r="AK65" s="405"/>
      <c r="AL65" s="405"/>
      <c r="AM65" s="405"/>
      <c r="AN65" s="405"/>
      <c r="AO65" s="405"/>
    </row>
    <row r="66" spans="1:41" s="4" customFormat="1" ht="20" customHeight="1">
      <c r="A66" s="1338"/>
      <c r="B66" s="1331">
        <f>Skemaoplysninger!A59</f>
        <v>0</v>
      </c>
      <c r="C66" s="1332"/>
      <c r="D66" s="1332"/>
      <c r="E66" s="1332"/>
      <c r="F66" s="1332"/>
      <c r="G66" s="1332"/>
      <c r="H66" s="1333"/>
      <c r="I66" s="1334">
        <f>Skemaoplysninger!G59</f>
        <v>0</v>
      </c>
      <c r="J66" s="1333"/>
      <c r="K66" s="727">
        <f>Skemaoplysninger!I59</f>
        <v>0</v>
      </c>
      <c r="L66" s="425"/>
      <c r="M66" s="407"/>
      <c r="N66" s="407"/>
      <c r="O66" s="407"/>
      <c r="P66" s="407"/>
      <c r="Q66" s="407"/>
      <c r="R66" s="407"/>
      <c r="S66" s="407"/>
      <c r="T66" s="407"/>
      <c r="U66" s="407"/>
      <c r="V66" s="407"/>
      <c r="W66" s="407"/>
      <c r="X66" s="407"/>
      <c r="Y66" s="407"/>
      <c r="Z66" s="407"/>
      <c r="AA66" s="407"/>
      <c r="AB66" s="405"/>
      <c r="AC66" s="405"/>
      <c r="AD66" s="405"/>
      <c r="AE66" s="405"/>
      <c r="AG66" s="407"/>
      <c r="AH66" s="408"/>
      <c r="AI66" s="409"/>
      <c r="AJ66" s="409"/>
      <c r="AK66" s="405"/>
      <c r="AL66" s="405"/>
      <c r="AM66" s="405"/>
      <c r="AN66" s="405"/>
      <c r="AO66" s="405"/>
    </row>
    <row r="67" spans="1:41" s="4" customFormat="1" ht="20" customHeight="1">
      <c r="A67" s="1338"/>
      <c r="B67" s="1331">
        <f>Skemaoplysninger!A60</f>
        <v>0</v>
      </c>
      <c r="C67" s="1332"/>
      <c r="D67" s="1332"/>
      <c r="E67" s="1332"/>
      <c r="F67" s="1332"/>
      <c r="G67" s="1332"/>
      <c r="H67" s="1333"/>
      <c r="I67" s="1334">
        <f>Skemaoplysninger!G60</f>
        <v>0</v>
      </c>
      <c r="J67" s="1333"/>
      <c r="K67" s="727">
        <f>Skemaoplysninger!I60</f>
        <v>0</v>
      </c>
      <c r="L67" s="425"/>
      <c r="M67" s="407"/>
      <c r="N67" s="407"/>
      <c r="O67" s="407"/>
      <c r="P67" s="407"/>
      <c r="Q67" s="407"/>
      <c r="R67" s="407"/>
      <c r="S67" s="407"/>
      <c r="T67" s="407"/>
      <c r="U67" s="407"/>
      <c r="V67" s="407"/>
      <c r="W67" s="407"/>
      <c r="X67" s="407"/>
      <c r="Y67" s="407"/>
      <c r="Z67" s="407"/>
      <c r="AA67" s="407"/>
      <c r="AB67" s="405"/>
      <c r="AC67" s="405"/>
      <c r="AD67" s="405"/>
      <c r="AE67" s="405"/>
      <c r="AG67" s="407"/>
      <c r="AH67" s="408"/>
      <c r="AI67" s="409"/>
      <c r="AJ67" s="409"/>
      <c r="AK67" s="405"/>
      <c r="AL67" s="405"/>
      <c r="AM67" s="405"/>
      <c r="AN67" s="405"/>
      <c r="AO67" s="405"/>
    </row>
    <row r="68" spans="1:41" s="4" customFormat="1" ht="20" customHeight="1">
      <c r="A68" s="1338"/>
      <c r="B68" s="1331">
        <f>Skemaoplysninger!A61</f>
        <v>0</v>
      </c>
      <c r="C68" s="1332"/>
      <c r="D68" s="1332"/>
      <c r="E68" s="1332"/>
      <c r="F68" s="1332"/>
      <c r="G68" s="1332"/>
      <c r="H68" s="1333"/>
      <c r="I68" s="1334">
        <f>Skemaoplysninger!G61</f>
        <v>0</v>
      </c>
      <c r="J68" s="1333"/>
      <c r="K68" s="727">
        <f>Skemaoplysninger!I61</f>
        <v>0</v>
      </c>
      <c r="L68" s="425"/>
      <c r="M68" s="407"/>
      <c r="N68" s="407"/>
      <c r="O68" s="407"/>
      <c r="P68" s="407"/>
      <c r="Q68" s="407"/>
      <c r="R68" s="407"/>
      <c r="S68" s="407"/>
      <c r="T68" s="407"/>
      <c r="U68" s="407"/>
      <c r="V68" s="407"/>
      <c r="W68" s="407"/>
      <c r="X68" s="407"/>
      <c r="Y68" s="407"/>
      <c r="Z68" s="407"/>
      <c r="AA68" s="407"/>
      <c r="AB68" s="405"/>
      <c r="AC68" s="405"/>
      <c r="AD68" s="405"/>
      <c r="AE68" s="405"/>
      <c r="AG68" s="407"/>
      <c r="AH68" s="408"/>
      <c r="AI68" s="409"/>
      <c r="AJ68" s="409"/>
      <c r="AK68" s="405"/>
      <c r="AL68" s="405"/>
      <c r="AM68" s="405"/>
      <c r="AN68" s="405"/>
      <c r="AO68" s="405"/>
    </row>
    <row r="69" spans="1:41" s="4" customFormat="1" ht="20" customHeight="1">
      <c r="A69" s="1338"/>
      <c r="B69" s="1331">
        <f>Skemaoplysninger!A62</f>
        <v>0</v>
      </c>
      <c r="C69" s="1332"/>
      <c r="D69" s="1332"/>
      <c r="E69" s="1332"/>
      <c r="F69" s="1332"/>
      <c r="G69" s="1332"/>
      <c r="H69" s="1333"/>
      <c r="I69" s="1334">
        <f>Skemaoplysninger!G62</f>
        <v>0</v>
      </c>
      <c r="J69" s="1333"/>
      <c r="K69" s="727">
        <f>Skemaoplysninger!I62</f>
        <v>0</v>
      </c>
      <c r="L69" s="425"/>
      <c r="M69" s="407"/>
      <c r="N69" s="407"/>
      <c r="O69" s="407"/>
      <c r="P69" s="407"/>
      <c r="Q69" s="407"/>
      <c r="R69" s="407"/>
      <c r="S69" s="407"/>
      <c r="T69" s="407"/>
      <c r="U69" s="407"/>
      <c r="V69" s="407"/>
      <c r="W69" s="407"/>
      <c r="X69" s="407"/>
      <c r="Y69" s="407"/>
      <c r="Z69" s="407"/>
      <c r="AA69" s="407"/>
      <c r="AB69" s="405"/>
      <c r="AC69" s="405"/>
      <c r="AD69" s="405"/>
      <c r="AE69" s="405"/>
      <c r="AG69" s="407"/>
      <c r="AH69" s="408"/>
      <c r="AI69" s="409"/>
      <c r="AJ69" s="409"/>
      <c r="AK69" s="405"/>
      <c r="AL69" s="405"/>
      <c r="AM69" s="405"/>
      <c r="AN69" s="405"/>
      <c r="AO69" s="405"/>
    </row>
    <row r="70" spans="1:41" s="4" customFormat="1" ht="20" customHeight="1">
      <c r="A70" s="1338"/>
      <c r="B70" s="1331">
        <f>Skemaoplysninger!A63</f>
        <v>0</v>
      </c>
      <c r="C70" s="1332"/>
      <c r="D70" s="1332"/>
      <c r="E70" s="1332"/>
      <c r="F70" s="1332"/>
      <c r="G70" s="1332"/>
      <c r="H70" s="1333"/>
      <c r="I70" s="1334">
        <f>Skemaoplysninger!G63</f>
        <v>0</v>
      </c>
      <c r="J70" s="1333"/>
      <c r="K70" s="727">
        <f>Skemaoplysninger!I63</f>
        <v>0</v>
      </c>
      <c r="L70" s="425"/>
      <c r="M70" s="407"/>
      <c r="N70" s="407"/>
      <c r="O70" s="407"/>
      <c r="P70" s="407"/>
      <c r="Q70" s="407"/>
      <c r="R70" s="407"/>
      <c r="S70" s="407"/>
      <c r="T70" s="407"/>
      <c r="U70" s="407"/>
      <c r="V70" s="407"/>
      <c r="W70" s="407"/>
      <c r="X70" s="407"/>
      <c r="Y70" s="407"/>
      <c r="Z70" s="407"/>
      <c r="AA70" s="407"/>
      <c r="AB70" s="405"/>
      <c r="AC70" s="405"/>
      <c r="AD70" s="405"/>
      <c r="AE70" s="405"/>
      <c r="AG70" s="407"/>
      <c r="AH70" s="408"/>
      <c r="AI70" s="409"/>
      <c r="AJ70" s="409"/>
      <c r="AK70" s="405"/>
      <c r="AL70" s="405"/>
      <c r="AM70" s="405"/>
      <c r="AN70" s="405"/>
      <c r="AO70" s="405"/>
    </row>
    <row r="71" spans="1:41" s="4" customFormat="1" ht="20" customHeight="1">
      <c r="A71" s="1338"/>
      <c r="B71" s="1331">
        <f>Skemaoplysninger!A64</f>
        <v>0</v>
      </c>
      <c r="C71" s="1332"/>
      <c r="D71" s="1332"/>
      <c r="E71" s="1332"/>
      <c r="F71" s="1332"/>
      <c r="G71" s="1332"/>
      <c r="H71" s="1333"/>
      <c r="I71" s="1334">
        <f>Skemaoplysninger!G64</f>
        <v>0</v>
      </c>
      <c r="J71" s="1333"/>
      <c r="K71" s="727">
        <f>Skemaoplysninger!I64</f>
        <v>0</v>
      </c>
      <c r="L71" s="425"/>
      <c r="M71" s="407"/>
      <c r="N71" s="407"/>
      <c r="O71" s="407"/>
      <c r="P71" s="407"/>
      <c r="Q71" s="407"/>
      <c r="R71" s="407"/>
      <c r="S71" s="407"/>
      <c r="T71" s="407"/>
      <c r="U71" s="407"/>
      <c r="V71" s="407"/>
      <c r="W71" s="407"/>
      <c r="X71" s="407"/>
      <c r="Y71" s="407"/>
      <c r="Z71" s="407"/>
      <c r="AA71" s="407"/>
      <c r="AB71" s="405"/>
      <c r="AC71" s="405"/>
      <c r="AD71" s="405"/>
      <c r="AE71" s="405"/>
      <c r="AG71" s="407"/>
      <c r="AH71" s="408"/>
      <c r="AI71" s="409"/>
      <c r="AJ71" s="409"/>
      <c r="AK71" s="405"/>
      <c r="AL71" s="405"/>
      <c r="AM71" s="405"/>
      <c r="AN71" s="405"/>
      <c r="AO71" s="405"/>
    </row>
    <row r="72" spans="1:41" s="4" customFormat="1" ht="20" customHeight="1">
      <c r="A72" s="1338"/>
      <c r="B72" s="1331">
        <f>Skemaoplysninger!A65</f>
        <v>0</v>
      </c>
      <c r="C72" s="1332"/>
      <c r="D72" s="1332"/>
      <c r="E72" s="1332"/>
      <c r="F72" s="1332"/>
      <c r="G72" s="1332"/>
      <c r="H72" s="1333"/>
      <c r="I72" s="1334">
        <f>Skemaoplysninger!G65</f>
        <v>0</v>
      </c>
      <c r="J72" s="1333"/>
      <c r="K72" s="727">
        <f>Skemaoplysninger!I65</f>
        <v>0</v>
      </c>
      <c r="L72" s="425"/>
      <c r="M72" s="407"/>
      <c r="N72" s="407"/>
      <c r="O72" s="407"/>
      <c r="P72" s="407"/>
      <c r="Q72" s="407"/>
      <c r="R72" s="407"/>
      <c r="S72" s="407"/>
      <c r="T72" s="407"/>
      <c r="U72" s="407"/>
      <c r="V72" s="407"/>
      <c r="W72" s="407"/>
      <c r="X72" s="407"/>
      <c r="Y72" s="407"/>
      <c r="Z72" s="407"/>
      <c r="AA72" s="407"/>
      <c r="AB72" s="405"/>
      <c r="AC72" s="405"/>
      <c r="AD72" s="405"/>
      <c r="AE72" s="405"/>
      <c r="AG72" s="407"/>
      <c r="AH72" s="408"/>
      <c r="AI72" s="409"/>
      <c r="AJ72" s="409"/>
      <c r="AK72" s="405"/>
      <c r="AL72" s="405"/>
      <c r="AM72" s="405"/>
      <c r="AN72" s="405"/>
      <c r="AO72" s="405"/>
    </row>
    <row r="73" spans="1:41" s="4" customFormat="1" ht="20" customHeight="1" thickBot="1">
      <c r="A73" s="1338"/>
      <c r="B73" s="1331">
        <f>Skemaoplysninger!A66</f>
        <v>0</v>
      </c>
      <c r="C73" s="1332"/>
      <c r="D73" s="1332"/>
      <c r="E73" s="1332"/>
      <c r="F73" s="1332"/>
      <c r="G73" s="1332"/>
      <c r="H73" s="1333"/>
      <c r="I73" s="1334">
        <f>Skemaoplysninger!G66</f>
        <v>0</v>
      </c>
      <c r="J73" s="1333"/>
      <c r="K73" s="727">
        <f>Skemaoplysninger!I66</f>
        <v>0</v>
      </c>
      <c r="L73" s="425"/>
      <c r="M73" s="407"/>
      <c r="N73" s="407"/>
      <c r="O73" s="407"/>
      <c r="P73" s="407"/>
      <c r="Q73" s="407"/>
      <c r="R73" s="407"/>
      <c r="S73" s="407"/>
      <c r="T73" s="407"/>
      <c r="U73" s="407"/>
      <c r="V73" s="407"/>
      <c r="W73" s="407"/>
      <c r="X73" s="407"/>
      <c r="Y73" s="407"/>
      <c r="Z73" s="407"/>
      <c r="AA73" s="407"/>
      <c r="AB73" s="405"/>
      <c r="AC73" s="405"/>
      <c r="AD73" s="405"/>
      <c r="AE73" s="405"/>
      <c r="AG73" s="407"/>
      <c r="AH73" s="408"/>
      <c r="AI73" s="409"/>
      <c r="AJ73" s="409"/>
      <c r="AK73" s="405"/>
      <c r="AL73" s="405"/>
      <c r="AM73" s="405"/>
      <c r="AN73" s="405"/>
      <c r="AO73" s="405"/>
    </row>
    <row r="74" spans="1:41" s="4" customFormat="1" ht="30" customHeight="1" thickBot="1">
      <c r="A74" s="1338"/>
      <c r="B74" s="1335" t="s">
        <v>284</v>
      </c>
      <c r="C74" s="1336"/>
      <c r="D74" s="1336"/>
      <c r="E74" s="1336"/>
      <c r="F74" s="1336"/>
      <c r="G74" s="1336"/>
      <c r="H74" s="1336"/>
      <c r="I74" s="1336"/>
      <c r="J74" s="1337"/>
      <c r="K74" s="728">
        <f>SUM(K50:K73)</f>
        <v>20</v>
      </c>
      <c r="L74" s="425"/>
      <c r="M74" s="407"/>
      <c r="N74" s="407"/>
      <c r="O74" s="407"/>
      <c r="P74" s="407"/>
      <c r="Q74" s="407"/>
      <c r="R74" s="407"/>
      <c r="S74" s="407"/>
      <c r="T74" s="407"/>
      <c r="U74" s="407"/>
      <c r="V74" s="407"/>
      <c r="W74" s="407"/>
      <c r="X74" s="407"/>
      <c r="Y74" s="407"/>
      <c r="Z74" s="407"/>
      <c r="AA74" s="407"/>
      <c r="AB74" s="405"/>
      <c r="AC74" s="405"/>
      <c r="AD74" s="405"/>
      <c r="AE74" s="405"/>
      <c r="AG74" s="407"/>
      <c r="AH74" s="408"/>
      <c r="AI74" s="409"/>
      <c r="AJ74" s="409"/>
      <c r="AK74" s="405"/>
      <c r="AL74" s="405"/>
      <c r="AM74" s="405"/>
      <c r="AN74" s="405"/>
      <c r="AO74" s="405"/>
    </row>
    <row r="76" spans="1:41" ht="19">
      <c r="A76" s="998"/>
      <c r="B76" s="998"/>
      <c r="C76" s="640" t="s">
        <v>423</v>
      </c>
    </row>
    <row r="77" spans="1:41" ht="19">
      <c r="A77" s="998"/>
      <c r="B77" s="998"/>
      <c r="C77" s="623" t="s">
        <v>549</v>
      </c>
    </row>
    <row r="78" spans="1:41" ht="19">
      <c r="A78" s="998"/>
      <c r="B78" s="998"/>
      <c r="C78" s="623" t="s">
        <v>427</v>
      </c>
    </row>
    <row r="79" spans="1:41" ht="19">
      <c r="A79" s="998"/>
      <c r="B79" s="998"/>
      <c r="C79" s="623" t="s">
        <v>424</v>
      </c>
    </row>
    <row r="80" spans="1:41" ht="19">
      <c r="A80" s="998"/>
      <c r="B80" s="998"/>
      <c r="C80" s="623"/>
    </row>
    <row r="81" spans="1:3" ht="19">
      <c r="A81" s="998"/>
      <c r="B81" s="998"/>
      <c r="C81" s="640" t="s">
        <v>425</v>
      </c>
    </row>
    <row r="82" spans="1:3" ht="19">
      <c r="A82" s="998"/>
      <c r="B82" s="998"/>
      <c r="C82" s="623" t="s">
        <v>428</v>
      </c>
    </row>
    <row r="83" spans="1:3" ht="19">
      <c r="A83" s="998"/>
      <c r="B83" s="998"/>
      <c r="C83" s="623"/>
    </row>
    <row r="84" spans="1:3" ht="19">
      <c r="A84" s="998"/>
      <c r="B84" s="998"/>
      <c r="C84" s="640" t="s">
        <v>426</v>
      </c>
    </row>
  </sheetData>
  <sheetProtection sheet="1" objects="1" scenarios="1"/>
  <mergeCells count="79">
    <mergeCell ref="C1:K1"/>
    <mergeCell ref="A1:B2"/>
    <mergeCell ref="A76:B84"/>
    <mergeCell ref="B62:H62"/>
    <mergeCell ref="I62:J62"/>
    <mergeCell ref="B63:H63"/>
    <mergeCell ref="I63:J63"/>
    <mergeCell ref="B64:H64"/>
    <mergeCell ref="I64:J64"/>
    <mergeCell ref="B65:H65"/>
    <mergeCell ref="I65:J65"/>
    <mergeCell ref="B66:H66"/>
    <mergeCell ref="I66:J66"/>
    <mergeCell ref="B67:H67"/>
    <mergeCell ref="I67:J67"/>
    <mergeCell ref="B68:H68"/>
    <mergeCell ref="I61:J61"/>
    <mergeCell ref="B74:J74"/>
    <mergeCell ref="A3:A74"/>
    <mergeCell ref="B61:H61"/>
    <mergeCell ref="C2:K2"/>
    <mergeCell ref="I68:J68"/>
    <mergeCell ref="B69:H69"/>
    <mergeCell ref="I69:J69"/>
    <mergeCell ref="B70:H70"/>
    <mergeCell ref="I70:J70"/>
    <mergeCell ref="B71:H71"/>
    <mergeCell ref="I71:J71"/>
    <mergeCell ref="B72:H72"/>
    <mergeCell ref="I72:J72"/>
    <mergeCell ref="B73:H73"/>
    <mergeCell ref="I73:J73"/>
    <mergeCell ref="B58:H58"/>
    <mergeCell ref="I58:J58"/>
    <mergeCell ref="B59:H59"/>
    <mergeCell ref="I59:J59"/>
    <mergeCell ref="B60:H60"/>
    <mergeCell ref="I60:J60"/>
    <mergeCell ref="B55:H55"/>
    <mergeCell ref="I55:J55"/>
    <mergeCell ref="B56:H56"/>
    <mergeCell ref="I56:J56"/>
    <mergeCell ref="B57:H57"/>
    <mergeCell ref="I57:J57"/>
    <mergeCell ref="B52:H52"/>
    <mergeCell ref="I52:J52"/>
    <mergeCell ref="B53:H53"/>
    <mergeCell ref="I53:J53"/>
    <mergeCell ref="B54:H54"/>
    <mergeCell ref="I54:J54"/>
    <mergeCell ref="B49:H49"/>
    <mergeCell ref="I49:J49"/>
    <mergeCell ref="B50:H50"/>
    <mergeCell ref="I50:J50"/>
    <mergeCell ref="B51:H51"/>
    <mergeCell ref="I51:J51"/>
    <mergeCell ref="B48:J48"/>
    <mergeCell ref="B32:K32"/>
    <mergeCell ref="B31:H31"/>
    <mergeCell ref="I31:J31"/>
    <mergeCell ref="B25:J25"/>
    <mergeCell ref="B30:J30"/>
    <mergeCell ref="B26:J26"/>
    <mergeCell ref="B27:J27"/>
    <mergeCell ref="B28:J28"/>
    <mergeCell ref="B3:J3"/>
    <mergeCell ref="K3:K4"/>
    <mergeCell ref="B4:J4"/>
    <mergeCell ref="B5:J5"/>
    <mergeCell ref="B29:J29"/>
    <mergeCell ref="B7:J7"/>
    <mergeCell ref="B8:J8"/>
    <mergeCell ref="B9:J9"/>
    <mergeCell ref="B10:J10"/>
    <mergeCell ref="B12:J12"/>
    <mergeCell ref="B13:J13"/>
    <mergeCell ref="B14:J14"/>
    <mergeCell ref="B11:J11"/>
    <mergeCell ref="B6:K6"/>
  </mergeCells>
  <phoneticPr fontId="5" type="noConversion"/>
  <conditionalFormatting sqref="K20:K29">
    <cfRule type="expression" dxfId="403" priority="5">
      <formula>OR($B20&gt;0,)</formula>
    </cfRule>
  </conditionalFormatting>
  <conditionalFormatting sqref="K7:K14">
    <cfRule type="expression" dxfId="402" priority="4">
      <formula>OR($B7&gt;0,)</formula>
    </cfRule>
  </conditionalFormatting>
  <conditionalFormatting sqref="K15:K19">
    <cfRule type="expression" dxfId="401" priority="3">
      <formula>OR($B15&gt;0,)</formula>
    </cfRule>
  </conditionalFormatting>
  <pageMargins left="0.7" right="0.7" top="0.75" bottom="0.75" header="0.3" footer="0.3"/>
  <pageSetup paperSize="9" scale="51"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D9C96-E6F2-E34A-AEEF-30C5C59E52EB}">
  <sheetPr>
    <tabColor rgb="FFFFFF00"/>
    <pageSetUpPr fitToPage="1"/>
  </sheetPr>
  <dimension ref="A1:T205"/>
  <sheetViews>
    <sheetView topLeftCell="A8" zoomScale="350" workbookViewId="0">
      <selection sqref="A1:P108"/>
    </sheetView>
  </sheetViews>
  <sheetFormatPr baseColWidth="10" defaultRowHeight="16"/>
  <sheetData>
    <row r="1" spans="1:20" hidden="1">
      <c r="A1" s="905"/>
      <c r="B1" s="905"/>
      <c r="C1" s="905"/>
      <c r="D1" s="905"/>
      <c r="E1" s="905"/>
      <c r="F1" s="905"/>
      <c r="G1" s="905"/>
      <c r="H1" s="905"/>
      <c r="I1" s="905"/>
      <c r="J1" s="905"/>
      <c r="K1" s="905"/>
      <c r="L1" s="905"/>
      <c r="M1" s="905"/>
      <c r="N1" s="905"/>
      <c r="O1" s="905"/>
      <c r="P1" s="905"/>
      <c r="Q1" s="720"/>
      <c r="R1" s="720"/>
      <c r="S1" s="720"/>
      <c r="T1" s="720"/>
    </row>
    <row r="2" spans="1:20" hidden="1">
      <c r="A2" s="905"/>
      <c r="B2" s="905"/>
      <c r="C2" s="905"/>
      <c r="D2" s="905"/>
      <c r="E2" s="905"/>
      <c r="F2" s="905"/>
      <c r="G2" s="905"/>
      <c r="H2" s="905"/>
      <c r="I2" s="905"/>
      <c r="J2" s="905"/>
      <c r="K2" s="905"/>
      <c r="L2" s="905"/>
      <c r="M2" s="905"/>
      <c r="N2" s="905"/>
      <c r="O2" s="905"/>
      <c r="P2" s="905"/>
      <c r="Q2" s="720"/>
      <c r="R2" s="720"/>
      <c r="S2" s="720"/>
      <c r="T2" s="720"/>
    </row>
    <row r="3" spans="1:20" hidden="1">
      <c r="A3" s="905"/>
      <c r="B3" s="905"/>
      <c r="C3" s="905"/>
      <c r="D3" s="905"/>
      <c r="E3" s="905"/>
      <c r="F3" s="905"/>
      <c r="G3" s="905"/>
      <c r="H3" s="905"/>
      <c r="I3" s="905"/>
      <c r="J3" s="905"/>
      <c r="K3" s="905"/>
      <c r="L3" s="905"/>
      <c r="M3" s="905"/>
      <c r="N3" s="905"/>
      <c r="O3" s="905"/>
      <c r="P3" s="905"/>
      <c r="Q3" s="720"/>
      <c r="R3" s="720"/>
      <c r="S3" s="720"/>
      <c r="T3" s="720"/>
    </row>
    <row r="4" spans="1:20" hidden="1">
      <c r="A4" s="905"/>
      <c r="B4" s="905"/>
      <c r="C4" s="905"/>
      <c r="D4" s="905"/>
      <c r="E4" s="905"/>
      <c r="F4" s="905"/>
      <c r="G4" s="905"/>
      <c r="H4" s="905"/>
      <c r="I4" s="905"/>
      <c r="J4" s="905"/>
      <c r="K4" s="905"/>
      <c r="L4" s="905"/>
      <c r="M4" s="905"/>
      <c r="N4" s="905"/>
      <c r="O4" s="905"/>
      <c r="P4" s="905"/>
      <c r="Q4" s="720"/>
      <c r="R4" s="720"/>
      <c r="S4" s="720"/>
      <c r="T4" s="720"/>
    </row>
    <row r="5" spans="1:20" hidden="1">
      <c r="A5" s="905"/>
      <c r="B5" s="905"/>
      <c r="C5" s="905"/>
      <c r="D5" s="905"/>
      <c r="E5" s="905"/>
      <c r="F5" s="905"/>
      <c r="G5" s="905"/>
      <c r="H5" s="905"/>
      <c r="I5" s="905"/>
      <c r="J5" s="905"/>
      <c r="K5" s="905"/>
      <c r="L5" s="905"/>
      <c r="M5" s="905"/>
      <c r="N5" s="905"/>
      <c r="O5" s="905"/>
      <c r="P5" s="905"/>
      <c r="Q5" s="720"/>
      <c r="R5" s="720"/>
      <c r="S5" s="720"/>
      <c r="T5" s="720"/>
    </row>
    <row r="6" spans="1:20" hidden="1">
      <c r="A6" s="905"/>
      <c r="B6" s="905"/>
      <c r="C6" s="905"/>
      <c r="D6" s="905"/>
      <c r="E6" s="905"/>
      <c r="F6" s="905"/>
      <c r="G6" s="905"/>
      <c r="H6" s="905"/>
      <c r="I6" s="905"/>
      <c r="J6" s="905"/>
      <c r="K6" s="905"/>
      <c r="L6" s="905"/>
      <c r="M6" s="905"/>
      <c r="N6" s="905"/>
      <c r="O6" s="905"/>
      <c r="P6" s="905"/>
      <c r="Q6" s="720"/>
      <c r="R6" s="720"/>
      <c r="S6" s="720"/>
      <c r="T6" s="720"/>
    </row>
    <row r="7" spans="1:20" hidden="1">
      <c r="A7" s="905"/>
      <c r="B7" s="905"/>
      <c r="C7" s="905"/>
      <c r="D7" s="905"/>
      <c r="E7" s="905"/>
      <c r="F7" s="905"/>
      <c r="G7" s="905"/>
      <c r="H7" s="905"/>
      <c r="I7" s="905"/>
      <c r="J7" s="905"/>
      <c r="K7" s="905"/>
      <c r="L7" s="905"/>
      <c r="M7" s="905"/>
      <c r="N7" s="905"/>
      <c r="O7" s="905"/>
      <c r="P7" s="905"/>
      <c r="Q7" s="720"/>
      <c r="R7" s="720"/>
      <c r="S7" s="720"/>
      <c r="T7" s="720"/>
    </row>
    <row r="8" spans="1:20">
      <c r="A8" s="905"/>
      <c r="B8" s="905"/>
      <c r="C8" s="905"/>
      <c r="D8" s="905"/>
      <c r="E8" s="905"/>
      <c r="F8" s="905"/>
      <c r="G8" s="905"/>
      <c r="H8" s="905"/>
      <c r="I8" s="905"/>
      <c r="J8" s="905"/>
      <c r="K8" s="905"/>
      <c r="L8" s="905"/>
      <c r="M8" s="905"/>
      <c r="N8" s="905"/>
      <c r="O8" s="905"/>
      <c r="P8" s="905"/>
      <c r="Q8" s="720"/>
      <c r="R8" s="720"/>
      <c r="S8" s="720"/>
      <c r="T8" s="720"/>
    </row>
    <row r="9" spans="1:20">
      <c r="A9" s="905"/>
      <c r="B9" s="905"/>
      <c r="C9" s="905"/>
      <c r="D9" s="905"/>
      <c r="E9" s="905"/>
      <c r="F9" s="905"/>
      <c r="G9" s="905"/>
      <c r="H9" s="905"/>
      <c r="I9" s="905"/>
      <c r="J9" s="905"/>
      <c r="K9" s="905"/>
      <c r="L9" s="905"/>
      <c r="M9" s="905"/>
      <c r="N9" s="905"/>
      <c r="O9" s="905"/>
      <c r="P9" s="905"/>
      <c r="Q9" s="720"/>
      <c r="R9" s="720"/>
      <c r="S9" s="720"/>
      <c r="T9" s="720"/>
    </row>
    <row r="10" spans="1:20">
      <c r="A10" s="905"/>
      <c r="B10" s="905"/>
      <c r="C10" s="905"/>
      <c r="D10" s="905"/>
      <c r="E10" s="905"/>
      <c r="F10" s="905"/>
      <c r="G10" s="905"/>
      <c r="H10" s="905"/>
      <c r="I10" s="905"/>
      <c r="J10" s="905"/>
      <c r="K10" s="905"/>
      <c r="L10" s="905"/>
      <c r="M10" s="905"/>
      <c r="N10" s="905"/>
      <c r="O10" s="905"/>
      <c r="P10" s="905"/>
      <c r="Q10" s="720"/>
      <c r="R10" s="720"/>
      <c r="S10" s="720"/>
      <c r="T10" s="720"/>
    </row>
    <row r="11" spans="1:20">
      <c r="A11" s="905"/>
      <c r="B11" s="905"/>
      <c r="C11" s="905"/>
      <c r="D11" s="905"/>
      <c r="E11" s="905"/>
      <c r="F11" s="905"/>
      <c r="G11" s="905"/>
      <c r="H11" s="905"/>
      <c r="I11" s="905"/>
      <c r="J11" s="905"/>
      <c r="K11" s="905"/>
      <c r="L11" s="905"/>
      <c r="M11" s="905"/>
      <c r="N11" s="905"/>
      <c r="O11" s="905"/>
      <c r="P11" s="905"/>
      <c r="Q11" s="720"/>
      <c r="R11" s="720"/>
      <c r="S11" s="720"/>
      <c r="T11" s="720"/>
    </row>
    <row r="12" spans="1:20">
      <c r="A12" s="905"/>
      <c r="B12" s="905"/>
      <c r="C12" s="905"/>
      <c r="D12" s="905"/>
      <c r="E12" s="905"/>
      <c r="F12" s="905"/>
      <c r="G12" s="905"/>
      <c r="H12" s="905"/>
      <c r="I12" s="905"/>
      <c r="J12" s="905"/>
      <c r="K12" s="905"/>
      <c r="L12" s="905"/>
      <c r="M12" s="905"/>
      <c r="N12" s="905"/>
      <c r="O12" s="905"/>
      <c r="P12" s="905"/>
      <c r="Q12" s="720"/>
      <c r="R12" s="720"/>
      <c r="S12" s="720"/>
      <c r="T12" s="720"/>
    </row>
    <row r="13" spans="1:20">
      <c r="A13" s="905"/>
      <c r="B13" s="905"/>
      <c r="C13" s="905"/>
      <c r="D13" s="905"/>
      <c r="E13" s="905"/>
      <c r="F13" s="905"/>
      <c r="G13" s="905"/>
      <c r="H13" s="905"/>
      <c r="I13" s="905"/>
      <c r="J13" s="905"/>
      <c r="K13" s="905"/>
      <c r="L13" s="905"/>
      <c r="M13" s="905"/>
      <c r="N13" s="905"/>
      <c r="O13" s="905"/>
      <c r="P13" s="905"/>
      <c r="Q13" s="720"/>
      <c r="R13" s="720"/>
      <c r="S13" s="720"/>
      <c r="T13" s="720"/>
    </row>
    <row r="14" spans="1:20">
      <c r="A14" s="905"/>
      <c r="B14" s="905"/>
      <c r="C14" s="905"/>
      <c r="D14" s="905"/>
      <c r="E14" s="905"/>
      <c r="F14" s="905"/>
      <c r="G14" s="905"/>
      <c r="H14" s="905"/>
      <c r="I14" s="905"/>
      <c r="J14" s="905"/>
      <c r="K14" s="905"/>
      <c r="L14" s="905"/>
      <c r="M14" s="905"/>
      <c r="N14" s="905"/>
      <c r="O14" s="905"/>
      <c r="P14" s="905"/>
      <c r="Q14" s="720"/>
      <c r="R14" s="720"/>
      <c r="S14" s="720"/>
      <c r="T14" s="720"/>
    </row>
    <row r="15" spans="1:20">
      <c r="A15" s="905"/>
      <c r="B15" s="905"/>
      <c r="C15" s="905"/>
      <c r="D15" s="905"/>
      <c r="E15" s="905"/>
      <c r="F15" s="905"/>
      <c r="G15" s="905"/>
      <c r="H15" s="905"/>
      <c r="I15" s="905"/>
      <c r="J15" s="905"/>
      <c r="K15" s="905"/>
      <c r="L15" s="905"/>
      <c r="M15" s="905"/>
      <c r="N15" s="905"/>
      <c r="O15" s="905"/>
      <c r="P15" s="905"/>
      <c r="Q15" s="720"/>
      <c r="R15" s="720"/>
      <c r="S15" s="720"/>
      <c r="T15" s="720"/>
    </row>
    <row r="16" spans="1:20">
      <c r="A16" s="905"/>
      <c r="B16" s="905"/>
      <c r="C16" s="905"/>
      <c r="D16" s="905"/>
      <c r="E16" s="905"/>
      <c r="F16" s="905"/>
      <c r="G16" s="905"/>
      <c r="H16" s="905"/>
      <c r="I16" s="905"/>
      <c r="J16" s="905"/>
      <c r="K16" s="905"/>
      <c r="L16" s="905"/>
      <c r="M16" s="905"/>
      <c r="N16" s="905"/>
      <c r="O16" s="905"/>
      <c r="P16" s="905"/>
      <c r="Q16" s="720"/>
      <c r="R16" s="720"/>
      <c r="S16" s="720"/>
      <c r="T16" s="720"/>
    </row>
    <row r="17" spans="1:20">
      <c r="A17" s="905"/>
      <c r="B17" s="905"/>
      <c r="C17" s="905"/>
      <c r="D17" s="905"/>
      <c r="E17" s="905"/>
      <c r="F17" s="905"/>
      <c r="G17" s="905"/>
      <c r="H17" s="905"/>
      <c r="I17" s="905"/>
      <c r="J17" s="905"/>
      <c r="K17" s="905"/>
      <c r="L17" s="905"/>
      <c r="M17" s="905"/>
      <c r="N17" s="905"/>
      <c r="O17" s="905"/>
      <c r="P17" s="905"/>
      <c r="Q17" s="720"/>
      <c r="R17" s="720"/>
      <c r="S17" s="720"/>
      <c r="T17" s="720"/>
    </row>
    <row r="18" spans="1:20">
      <c r="A18" s="905"/>
      <c r="B18" s="905"/>
      <c r="C18" s="905"/>
      <c r="D18" s="905"/>
      <c r="E18" s="905"/>
      <c r="F18" s="905"/>
      <c r="G18" s="905"/>
      <c r="H18" s="905"/>
      <c r="I18" s="905"/>
      <c r="J18" s="905"/>
      <c r="K18" s="905"/>
      <c r="L18" s="905"/>
      <c r="M18" s="905"/>
      <c r="N18" s="905"/>
      <c r="O18" s="905"/>
      <c r="P18" s="905"/>
      <c r="Q18" s="720"/>
      <c r="R18" s="720"/>
      <c r="S18" s="720"/>
      <c r="T18" s="720"/>
    </row>
    <row r="19" spans="1:20">
      <c r="A19" s="905"/>
      <c r="B19" s="905"/>
      <c r="C19" s="905"/>
      <c r="D19" s="905"/>
      <c r="E19" s="905"/>
      <c r="F19" s="905"/>
      <c r="G19" s="905"/>
      <c r="H19" s="905"/>
      <c r="I19" s="905"/>
      <c r="J19" s="905"/>
      <c r="K19" s="905"/>
      <c r="L19" s="905"/>
      <c r="M19" s="905"/>
      <c r="N19" s="905"/>
      <c r="O19" s="905"/>
      <c r="P19" s="905"/>
      <c r="Q19" s="720"/>
      <c r="R19" s="720"/>
      <c r="S19" s="720"/>
      <c r="T19" s="720"/>
    </row>
    <row r="20" spans="1:20">
      <c r="A20" s="905"/>
      <c r="B20" s="905"/>
      <c r="C20" s="905"/>
      <c r="D20" s="905"/>
      <c r="E20" s="905"/>
      <c r="F20" s="905"/>
      <c r="G20" s="905"/>
      <c r="H20" s="905"/>
      <c r="I20" s="905"/>
      <c r="J20" s="905"/>
      <c r="K20" s="905"/>
      <c r="L20" s="905"/>
      <c r="M20" s="905"/>
      <c r="N20" s="905"/>
      <c r="O20" s="905"/>
      <c r="P20" s="905"/>
      <c r="Q20" s="720"/>
      <c r="R20" s="720"/>
      <c r="S20" s="720"/>
      <c r="T20" s="720"/>
    </row>
    <row r="21" spans="1:20">
      <c r="A21" s="905"/>
      <c r="B21" s="905"/>
      <c r="C21" s="905"/>
      <c r="D21" s="905"/>
      <c r="E21" s="905"/>
      <c r="F21" s="905"/>
      <c r="G21" s="905"/>
      <c r="H21" s="905"/>
      <c r="I21" s="905"/>
      <c r="J21" s="905"/>
      <c r="K21" s="905"/>
      <c r="L21" s="905"/>
      <c r="M21" s="905"/>
      <c r="N21" s="905"/>
      <c r="O21" s="905"/>
      <c r="P21" s="905"/>
      <c r="Q21" s="720"/>
      <c r="R21" s="720"/>
      <c r="S21" s="720"/>
      <c r="T21" s="720"/>
    </row>
    <row r="22" spans="1:20">
      <c r="A22" s="905"/>
      <c r="B22" s="905"/>
      <c r="C22" s="905"/>
      <c r="D22" s="905"/>
      <c r="E22" s="905"/>
      <c r="F22" s="905"/>
      <c r="G22" s="905"/>
      <c r="H22" s="905"/>
      <c r="I22" s="905"/>
      <c r="J22" s="905"/>
      <c r="K22" s="905"/>
      <c r="L22" s="905"/>
      <c r="M22" s="905"/>
      <c r="N22" s="905"/>
      <c r="O22" s="905"/>
      <c r="P22" s="905"/>
      <c r="Q22" s="720"/>
      <c r="R22" s="720"/>
      <c r="S22" s="720"/>
      <c r="T22" s="720"/>
    </row>
    <row r="23" spans="1:20">
      <c r="A23" s="905"/>
      <c r="B23" s="905"/>
      <c r="C23" s="905"/>
      <c r="D23" s="905"/>
      <c r="E23" s="905"/>
      <c r="F23" s="905"/>
      <c r="G23" s="905"/>
      <c r="H23" s="905"/>
      <c r="I23" s="905"/>
      <c r="J23" s="905"/>
      <c r="K23" s="905"/>
      <c r="L23" s="905"/>
      <c r="M23" s="905"/>
      <c r="N23" s="905"/>
      <c r="O23" s="905"/>
      <c r="P23" s="905"/>
      <c r="Q23" s="720"/>
      <c r="R23" s="720"/>
      <c r="S23" s="720"/>
      <c r="T23" s="720"/>
    </row>
    <row r="24" spans="1:20">
      <c r="A24" s="905"/>
      <c r="B24" s="905"/>
      <c r="C24" s="905"/>
      <c r="D24" s="905"/>
      <c r="E24" s="905"/>
      <c r="F24" s="905"/>
      <c r="G24" s="905"/>
      <c r="H24" s="905"/>
      <c r="I24" s="905"/>
      <c r="J24" s="905"/>
      <c r="K24" s="905"/>
      <c r="L24" s="905"/>
      <c r="M24" s="905"/>
      <c r="N24" s="905"/>
      <c r="O24" s="905"/>
      <c r="P24" s="905"/>
      <c r="Q24" s="720"/>
      <c r="R24" s="720"/>
      <c r="S24" s="720"/>
      <c r="T24" s="720"/>
    </row>
    <row r="25" spans="1:20">
      <c r="A25" s="905"/>
      <c r="B25" s="905"/>
      <c r="C25" s="905"/>
      <c r="D25" s="905"/>
      <c r="E25" s="905"/>
      <c r="F25" s="905"/>
      <c r="G25" s="905"/>
      <c r="H25" s="905"/>
      <c r="I25" s="905"/>
      <c r="J25" s="905"/>
      <c r="K25" s="905"/>
      <c r="L25" s="905"/>
      <c r="M25" s="905"/>
      <c r="N25" s="905"/>
      <c r="O25" s="905"/>
      <c r="P25" s="905"/>
      <c r="Q25" s="720"/>
      <c r="R25" s="720"/>
      <c r="S25" s="720"/>
      <c r="T25" s="720"/>
    </row>
    <row r="26" spans="1:20">
      <c r="A26" s="905"/>
      <c r="B26" s="905"/>
      <c r="C26" s="905"/>
      <c r="D26" s="905"/>
      <c r="E26" s="905"/>
      <c r="F26" s="905"/>
      <c r="G26" s="905"/>
      <c r="H26" s="905"/>
      <c r="I26" s="905"/>
      <c r="J26" s="905"/>
      <c r="K26" s="905"/>
      <c r="L26" s="905"/>
      <c r="M26" s="905"/>
      <c r="N26" s="905"/>
      <c r="O26" s="905"/>
      <c r="P26" s="905"/>
      <c r="Q26" s="720"/>
      <c r="R26" s="720"/>
      <c r="S26" s="720"/>
      <c r="T26" s="720"/>
    </row>
    <row r="27" spans="1:20">
      <c r="A27" s="905"/>
      <c r="B27" s="905"/>
      <c r="C27" s="905"/>
      <c r="D27" s="905"/>
      <c r="E27" s="905"/>
      <c r="F27" s="905"/>
      <c r="G27" s="905"/>
      <c r="H27" s="905"/>
      <c r="I27" s="905"/>
      <c r="J27" s="905"/>
      <c r="K27" s="905"/>
      <c r="L27" s="905"/>
      <c r="M27" s="905"/>
      <c r="N27" s="905"/>
      <c r="O27" s="905"/>
      <c r="P27" s="905"/>
      <c r="Q27" s="720"/>
      <c r="R27" s="720"/>
      <c r="S27" s="720"/>
      <c r="T27" s="720"/>
    </row>
    <row r="28" spans="1:20">
      <c r="A28" s="905"/>
      <c r="B28" s="905"/>
      <c r="C28" s="905"/>
      <c r="D28" s="905"/>
      <c r="E28" s="905"/>
      <c r="F28" s="905"/>
      <c r="G28" s="905"/>
      <c r="H28" s="905"/>
      <c r="I28" s="905"/>
      <c r="J28" s="905"/>
      <c r="K28" s="905"/>
      <c r="L28" s="905"/>
      <c r="M28" s="905"/>
      <c r="N28" s="905"/>
      <c r="O28" s="905"/>
      <c r="P28" s="905"/>
      <c r="Q28" s="720"/>
      <c r="R28" s="720"/>
      <c r="S28" s="720"/>
      <c r="T28" s="720"/>
    </row>
    <row r="29" spans="1:20">
      <c r="A29" s="905"/>
      <c r="B29" s="905"/>
      <c r="C29" s="905"/>
      <c r="D29" s="905"/>
      <c r="E29" s="905"/>
      <c r="F29" s="905"/>
      <c r="G29" s="905"/>
      <c r="H29" s="905"/>
      <c r="I29" s="905"/>
      <c r="J29" s="905"/>
      <c r="K29" s="905"/>
      <c r="L29" s="905"/>
      <c r="M29" s="905"/>
      <c r="N29" s="905"/>
      <c r="O29" s="905"/>
      <c r="P29" s="905"/>
      <c r="Q29" s="720"/>
      <c r="R29" s="720"/>
      <c r="S29" s="720"/>
      <c r="T29" s="720"/>
    </row>
    <row r="30" spans="1:20">
      <c r="A30" s="905"/>
      <c r="B30" s="905"/>
      <c r="C30" s="905"/>
      <c r="D30" s="905"/>
      <c r="E30" s="905"/>
      <c r="F30" s="905"/>
      <c r="G30" s="905"/>
      <c r="H30" s="905"/>
      <c r="I30" s="905"/>
      <c r="J30" s="905"/>
      <c r="K30" s="905"/>
      <c r="L30" s="905"/>
      <c r="M30" s="905"/>
      <c r="N30" s="905"/>
      <c r="O30" s="905"/>
      <c r="P30" s="905"/>
      <c r="Q30" s="720"/>
      <c r="R30" s="720"/>
      <c r="S30" s="720"/>
      <c r="T30" s="720"/>
    </row>
    <row r="31" spans="1:20">
      <c r="A31" s="905"/>
      <c r="B31" s="905"/>
      <c r="C31" s="905"/>
      <c r="D31" s="905"/>
      <c r="E31" s="905"/>
      <c r="F31" s="905"/>
      <c r="G31" s="905"/>
      <c r="H31" s="905"/>
      <c r="I31" s="905"/>
      <c r="J31" s="905"/>
      <c r="K31" s="905"/>
      <c r="L31" s="905"/>
      <c r="M31" s="905"/>
      <c r="N31" s="905"/>
      <c r="O31" s="905"/>
      <c r="P31" s="905"/>
      <c r="Q31" s="720"/>
      <c r="R31" s="720"/>
      <c r="S31" s="720"/>
      <c r="T31" s="720"/>
    </row>
    <row r="32" spans="1:20">
      <c r="A32" s="905"/>
      <c r="B32" s="905"/>
      <c r="C32" s="905"/>
      <c r="D32" s="905"/>
      <c r="E32" s="905"/>
      <c r="F32" s="905"/>
      <c r="G32" s="905"/>
      <c r="H32" s="905"/>
      <c r="I32" s="905"/>
      <c r="J32" s="905"/>
      <c r="K32" s="905"/>
      <c r="L32" s="905"/>
      <c r="M32" s="905"/>
      <c r="N32" s="905"/>
      <c r="O32" s="905"/>
      <c r="P32" s="905"/>
      <c r="Q32" s="720"/>
      <c r="R32" s="720"/>
      <c r="S32" s="720"/>
      <c r="T32" s="720"/>
    </row>
    <row r="33" spans="1:20">
      <c r="A33" s="905"/>
      <c r="B33" s="905"/>
      <c r="C33" s="905"/>
      <c r="D33" s="905"/>
      <c r="E33" s="905"/>
      <c r="F33" s="905"/>
      <c r="G33" s="905"/>
      <c r="H33" s="905"/>
      <c r="I33" s="905"/>
      <c r="J33" s="905"/>
      <c r="K33" s="905"/>
      <c r="L33" s="905"/>
      <c r="M33" s="905"/>
      <c r="N33" s="905"/>
      <c r="O33" s="905"/>
      <c r="P33" s="905"/>
      <c r="Q33" s="720"/>
      <c r="R33" s="720"/>
      <c r="S33" s="720"/>
      <c r="T33" s="720"/>
    </row>
    <row r="34" spans="1:20">
      <c r="A34" s="905"/>
      <c r="B34" s="905"/>
      <c r="C34" s="905"/>
      <c r="D34" s="905"/>
      <c r="E34" s="905"/>
      <c r="F34" s="905"/>
      <c r="G34" s="905"/>
      <c r="H34" s="905"/>
      <c r="I34" s="905"/>
      <c r="J34" s="905"/>
      <c r="K34" s="905"/>
      <c r="L34" s="905"/>
      <c r="M34" s="905"/>
      <c r="N34" s="905"/>
      <c r="O34" s="905"/>
      <c r="P34" s="905"/>
      <c r="Q34" s="720"/>
      <c r="R34" s="720"/>
      <c r="S34" s="720"/>
      <c r="T34" s="720"/>
    </row>
    <row r="35" spans="1:20">
      <c r="A35" s="905"/>
      <c r="B35" s="905"/>
      <c r="C35" s="905"/>
      <c r="D35" s="905"/>
      <c r="E35" s="905"/>
      <c r="F35" s="905"/>
      <c r="G35" s="905"/>
      <c r="H35" s="905"/>
      <c r="I35" s="905"/>
      <c r="J35" s="905"/>
      <c r="K35" s="905"/>
      <c r="L35" s="905"/>
      <c r="M35" s="905"/>
      <c r="N35" s="905"/>
      <c r="O35" s="905"/>
      <c r="P35" s="905"/>
      <c r="Q35" s="720"/>
      <c r="R35" s="720"/>
      <c r="S35" s="720"/>
      <c r="T35" s="720"/>
    </row>
    <row r="36" spans="1:20">
      <c r="A36" s="905"/>
      <c r="B36" s="905"/>
      <c r="C36" s="905"/>
      <c r="D36" s="905"/>
      <c r="E36" s="905"/>
      <c r="F36" s="905"/>
      <c r="G36" s="905"/>
      <c r="H36" s="905"/>
      <c r="I36" s="905"/>
      <c r="J36" s="905"/>
      <c r="K36" s="905"/>
      <c r="L36" s="905"/>
      <c r="M36" s="905"/>
      <c r="N36" s="905"/>
      <c r="O36" s="905"/>
      <c r="P36" s="905"/>
      <c r="Q36" s="720"/>
      <c r="R36" s="720"/>
      <c r="S36" s="720"/>
      <c r="T36" s="720"/>
    </row>
    <row r="37" spans="1:20">
      <c r="A37" s="905"/>
      <c r="B37" s="905"/>
      <c r="C37" s="905"/>
      <c r="D37" s="905"/>
      <c r="E37" s="905"/>
      <c r="F37" s="905"/>
      <c r="G37" s="905"/>
      <c r="H37" s="905"/>
      <c r="I37" s="905"/>
      <c r="J37" s="905"/>
      <c r="K37" s="905"/>
      <c r="L37" s="905"/>
      <c r="M37" s="905"/>
      <c r="N37" s="905"/>
      <c r="O37" s="905"/>
      <c r="P37" s="905"/>
      <c r="Q37" s="720"/>
      <c r="R37" s="720"/>
      <c r="S37" s="720"/>
      <c r="T37" s="720"/>
    </row>
    <row r="38" spans="1:20">
      <c r="A38" s="905"/>
      <c r="B38" s="905"/>
      <c r="C38" s="905"/>
      <c r="D38" s="905"/>
      <c r="E38" s="905"/>
      <c r="F38" s="905"/>
      <c r="G38" s="905"/>
      <c r="H38" s="905"/>
      <c r="I38" s="905"/>
      <c r="J38" s="905"/>
      <c r="K38" s="905"/>
      <c r="L38" s="905"/>
      <c r="M38" s="905"/>
      <c r="N38" s="905"/>
      <c r="O38" s="905"/>
      <c r="P38" s="905"/>
      <c r="Q38" s="720"/>
      <c r="R38" s="720"/>
      <c r="S38" s="720"/>
      <c r="T38" s="720"/>
    </row>
    <row r="39" spans="1:20">
      <c r="A39" s="905"/>
      <c r="B39" s="905"/>
      <c r="C39" s="905"/>
      <c r="D39" s="905"/>
      <c r="E39" s="905"/>
      <c r="F39" s="905"/>
      <c r="G39" s="905"/>
      <c r="H39" s="905"/>
      <c r="I39" s="905"/>
      <c r="J39" s="905"/>
      <c r="K39" s="905"/>
      <c r="L39" s="905"/>
      <c r="M39" s="905"/>
      <c r="N39" s="905"/>
      <c r="O39" s="905"/>
      <c r="P39" s="905"/>
      <c r="Q39" s="720"/>
      <c r="R39" s="720"/>
      <c r="S39" s="720"/>
      <c r="T39" s="720"/>
    </row>
    <row r="40" spans="1:20">
      <c r="A40" s="905"/>
      <c r="B40" s="905"/>
      <c r="C40" s="905"/>
      <c r="D40" s="905"/>
      <c r="E40" s="905"/>
      <c r="F40" s="905"/>
      <c r="G40" s="905"/>
      <c r="H40" s="905"/>
      <c r="I40" s="905"/>
      <c r="J40" s="905"/>
      <c r="K40" s="905"/>
      <c r="L40" s="905"/>
      <c r="M40" s="905"/>
      <c r="N40" s="905"/>
      <c r="O40" s="905"/>
      <c r="P40" s="905"/>
      <c r="Q40" s="720"/>
      <c r="R40" s="720"/>
      <c r="S40" s="720"/>
      <c r="T40" s="720"/>
    </row>
    <row r="41" spans="1:20">
      <c r="A41" s="905"/>
      <c r="B41" s="905"/>
      <c r="C41" s="905"/>
      <c r="D41" s="905"/>
      <c r="E41" s="905"/>
      <c r="F41" s="905"/>
      <c r="G41" s="905"/>
      <c r="H41" s="905"/>
      <c r="I41" s="905"/>
      <c r="J41" s="905"/>
      <c r="K41" s="905"/>
      <c r="L41" s="905"/>
      <c r="M41" s="905"/>
      <c r="N41" s="905"/>
      <c r="O41" s="905"/>
      <c r="P41" s="905"/>
      <c r="Q41" s="720"/>
      <c r="R41" s="720"/>
      <c r="S41" s="720"/>
      <c r="T41" s="720"/>
    </row>
    <row r="42" spans="1:20">
      <c r="A42" s="905"/>
      <c r="B42" s="905"/>
      <c r="C42" s="905"/>
      <c r="D42" s="905"/>
      <c r="E42" s="905"/>
      <c r="F42" s="905"/>
      <c r="G42" s="905"/>
      <c r="H42" s="905"/>
      <c r="I42" s="905"/>
      <c r="J42" s="905"/>
      <c r="K42" s="905"/>
      <c r="L42" s="905"/>
      <c r="M42" s="905"/>
      <c r="N42" s="905"/>
      <c r="O42" s="905"/>
      <c r="P42" s="905"/>
      <c r="Q42" s="720"/>
      <c r="R42" s="720"/>
      <c r="S42" s="720"/>
      <c r="T42" s="720"/>
    </row>
    <row r="43" spans="1:20">
      <c r="A43" s="905"/>
      <c r="B43" s="905"/>
      <c r="C43" s="905"/>
      <c r="D43" s="905"/>
      <c r="E43" s="905"/>
      <c r="F43" s="905"/>
      <c r="G43" s="905"/>
      <c r="H43" s="905"/>
      <c r="I43" s="905"/>
      <c r="J43" s="905"/>
      <c r="K43" s="905"/>
      <c r="L43" s="905"/>
      <c r="M43" s="905"/>
      <c r="N43" s="905"/>
      <c r="O43" s="905"/>
      <c r="P43" s="905"/>
      <c r="Q43" s="720"/>
      <c r="R43" s="720"/>
      <c r="S43" s="720"/>
      <c r="T43" s="720"/>
    </row>
    <row r="44" spans="1:20">
      <c r="A44" s="905"/>
      <c r="B44" s="905"/>
      <c r="C44" s="905"/>
      <c r="D44" s="905"/>
      <c r="E44" s="905"/>
      <c r="F44" s="905"/>
      <c r="G44" s="905"/>
      <c r="H44" s="905"/>
      <c r="I44" s="905"/>
      <c r="J44" s="905"/>
      <c r="K44" s="905"/>
      <c r="L44" s="905"/>
      <c r="M44" s="905"/>
      <c r="N44" s="905"/>
      <c r="O44" s="905"/>
      <c r="P44" s="905"/>
      <c r="Q44" s="720"/>
      <c r="R44" s="720"/>
      <c r="S44" s="720"/>
      <c r="T44" s="720"/>
    </row>
    <row r="45" spans="1:20">
      <c r="A45" s="905"/>
      <c r="B45" s="905"/>
      <c r="C45" s="905"/>
      <c r="D45" s="905"/>
      <c r="E45" s="905"/>
      <c r="F45" s="905"/>
      <c r="G45" s="905"/>
      <c r="H45" s="905"/>
      <c r="I45" s="905"/>
      <c r="J45" s="905"/>
      <c r="K45" s="905"/>
      <c r="L45" s="905"/>
      <c r="M45" s="905"/>
      <c r="N45" s="905"/>
      <c r="O45" s="905"/>
      <c r="P45" s="905"/>
      <c r="Q45" s="720"/>
      <c r="R45" s="720"/>
      <c r="S45" s="720"/>
      <c r="T45" s="720"/>
    </row>
    <row r="46" spans="1:20">
      <c r="A46" s="905"/>
      <c r="B46" s="905"/>
      <c r="C46" s="905"/>
      <c r="D46" s="905"/>
      <c r="E46" s="905"/>
      <c r="F46" s="905"/>
      <c r="G46" s="905"/>
      <c r="H46" s="905"/>
      <c r="I46" s="905"/>
      <c r="J46" s="905"/>
      <c r="K46" s="905"/>
      <c r="L46" s="905"/>
      <c r="M46" s="905"/>
      <c r="N46" s="905"/>
      <c r="O46" s="905"/>
      <c r="P46" s="905"/>
      <c r="Q46" s="720"/>
      <c r="R46" s="720"/>
      <c r="S46" s="720"/>
      <c r="T46" s="720"/>
    </row>
    <row r="47" spans="1:20">
      <c r="A47" s="905"/>
      <c r="B47" s="905"/>
      <c r="C47" s="905"/>
      <c r="D47" s="905"/>
      <c r="E47" s="905"/>
      <c r="F47" s="905"/>
      <c r="G47" s="905"/>
      <c r="H47" s="905"/>
      <c r="I47" s="905"/>
      <c r="J47" s="905"/>
      <c r="K47" s="905"/>
      <c r="L47" s="905"/>
      <c r="M47" s="905"/>
      <c r="N47" s="905"/>
      <c r="O47" s="905"/>
      <c r="P47" s="905"/>
      <c r="Q47" s="720"/>
      <c r="R47" s="720"/>
      <c r="S47" s="720"/>
      <c r="T47" s="720"/>
    </row>
    <row r="48" spans="1:20">
      <c r="A48" s="905"/>
      <c r="B48" s="905"/>
      <c r="C48" s="905"/>
      <c r="D48" s="905"/>
      <c r="E48" s="905"/>
      <c r="F48" s="905"/>
      <c r="G48" s="905"/>
      <c r="H48" s="905"/>
      <c r="I48" s="905"/>
      <c r="J48" s="905"/>
      <c r="K48" s="905"/>
      <c r="L48" s="905"/>
      <c r="M48" s="905"/>
      <c r="N48" s="905"/>
      <c r="O48" s="905"/>
      <c r="P48" s="905"/>
      <c r="Q48" s="720"/>
      <c r="R48" s="720"/>
      <c r="S48" s="720"/>
      <c r="T48" s="720"/>
    </row>
    <row r="49" spans="1:20">
      <c r="A49" s="905"/>
      <c r="B49" s="905"/>
      <c r="C49" s="905"/>
      <c r="D49" s="905"/>
      <c r="E49" s="905"/>
      <c r="F49" s="905"/>
      <c r="G49" s="905"/>
      <c r="H49" s="905"/>
      <c r="I49" s="905"/>
      <c r="J49" s="905"/>
      <c r="K49" s="905"/>
      <c r="L49" s="905"/>
      <c r="M49" s="905"/>
      <c r="N49" s="905"/>
      <c r="O49" s="905"/>
      <c r="P49" s="905"/>
      <c r="Q49" s="720"/>
      <c r="R49" s="720"/>
      <c r="S49" s="720"/>
      <c r="T49" s="720"/>
    </row>
    <row r="50" spans="1:20">
      <c r="A50" s="905"/>
      <c r="B50" s="905"/>
      <c r="C50" s="905"/>
      <c r="D50" s="905"/>
      <c r="E50" s="905"/>
      <c r="F50" s="905"/>
      <c r="G50" s="905"/>
      <c r="H50" s="905"/>
      <c r="I50" s="905"/>
      <c r="J50" s="905"/>
      <c r="K50" s="905"/>
      <c r="L50" s="905"/>
      <c r="M50" s="905"/>
      <c r="N50" s="905"/>
      <c r="O50" s="905"/>
      <c r="P50" s="905"/>
      <c r="Q50" s="720"/>
      <c r="R50" s="720"/>
      <c r="S50" s="720"/>
      <c r="T50" s="720"/>
    </row>
    <row r="51" spans="1:20">
      <c r="A51" s="905"/>
      <c r="B51" s="905"/>
      <c r="C51" s="905"/>
      <c r="D51" s="905"/>
      <c r="E51" s="905"/>
      <c r="F51" s="905"/>
      <c r="G51" s="905"/>
      <c r="H51" s="905"/>
      <c r="I51" s="905"/>
      <c r="J51" s="905"/>
      <c r="K51" s="905"/>
      <c r="L51" s="905"/>
      <c r="M51" s="905"/>
      <c r="N51" s="905"/>
      <c r="O51" s="905"/>
      <c r="P51" s="905"/>
      <c r="Q51" s="720"/>
      <c r="R51" s="720"/>
      <c r="S51" s="720"/>
      <c r="T51" s="720"/>
    </row>
    <row r="52" spans="1:20">
      <c r="A52" s="905"/>
      <c r="B52" s="905"/>
      <c r="C52" s="905"/>
      <c r="D52" s="905"/>
      <c r="E52" s="905"/>
      <c r="F52" s="905"/>
      <c r="G52" s="905"/>
      <c r="H52" s="905"/>
      <c r="I52" s="905"/>
      <c r="J52" s="905"/>
      <c r="K52" s="905"/>
      <c r="L52" s="905"/>
      <c r="M52" s="905"/>
      <c r="N52" s="905"/>
      <c r="O52" s="905"/>
      <c r="P52" s="905"/>
      <c r="Q52" s="720"/>
      <c r="R52" s="720"/>
      <c r="S52" s="720"/>
      <c r="T52" s="720"/>
    </row>
    <row r="53" spans="1:20">
      <c r="A53" s="905"/>
      <c r="B53" s="905"/>
      <c r="C53" s="905"/>
      <c r="D53" s="905"/>
      <c r="E53" s="905"/>
      <c r="F53" s="905"/>
      <c r="G53" s="905"/>
      <c r="H53" s="905"/>
      <c r="I53" s="905"/>
      <c r="J53" s="905"/>
      <c r="K53" s="905"/>
      <c r="L53" s="905"/>
      <c r="M53" s="905"/>
      <c r="N53" s="905"/>
      <c r="O53" s="905"/>
      <c r="P53" s="905"/>
      <c r="Q53" s="720"/>
      <c r="R53" s="720"/>
      <c r="S53" s="720"/>
      <c r="T53" s="720"/>
    </row>
    <row r="54" spans="1:20">
      <c r="A54" s="905"/>
      <c r="B54" s="905"/>
      <c r="C54" s="905"/>
      <c r="D54" s="905"/>
      <c r="E54" s="905"/>
      <c r="F54" s="905"/>
      <c r="G54" s="905"/>
      <c r="H54" s="905"/>
      <c r="I54" s="905"/>
      <c r="J54" s="905"/>
      <c r="K54" s="905"/>
      <c r="L54" s="905"/>
      <c r="M54" s="905"/>
      <c r="N54" s="905"/>
      <c r="O54" s="905"/>
      <c r="P54" s="905"/>
      <c r="Q54" s="720"/>
      <c r="R54" s="720"/>
      <c r="S54" s="720"/>
      <c r="T54" s="720"/>
    </row>
    <row r="55" spans="1:20">
      <c r="A55" s="905"/>
      <c r="B55" s="905"/>
      <c r="C55" s="905"/>
      <c r="D55" s="905"/>
      <c r="E55" s="905"/>
      <c r="F55" s="905"/>
      <c r="G55" s="905"/>
      <c r="H55" s="905"/>
      <c r="I55" s="905"/>
      <c r="J55" s="905"/>
      <c r="K55" s="905"/>
      <c r="L55" s="905"/>
      <c r="M55" s="905"/>
      <c r="N55" s="905"/>
      <c r="O55" s="905"/>
      <c r="P55" s="905"/>
      <c r="Q55" s="720"/>
      <c r="R55" s="720"/>
      <c r="S55" s="720"/>
      <c r="T55" s="720"/>
    </row>
    <row r="56" spans="1:20">
      <c r="A56" s="905"/>
      <c r="B56" s="905"/>
      <c r="C56" s="905"/>
      <c r="D56" s="905"/>
      <c r="E56" s="905"/>
      <c r="F56" s="905"/>
      <c r="G56" s="905"/>
      <c r="H56" s="905"/>
      <c r="I56" s="905"/>
      <c r="J56" s="905"/>
      <c r="K56" s="905"/>
      <c r="L56" s="905"/>
      <c r="M56" s="905"/>
      <c r="N56" s="905"/>
      <c r="O56" s="905"/>
      <c r="P56" s="905"/>
      <c r="Q56" s="720"/>
      <c r="R56" s="720"/>
      <c r="S56" s="720"/>
      <c r="T56" s="720"/>
    </row>
    <row r="57" spans="1:20">
      <c r="A57" s="905"/>
      <c r="B57" s="905"/>
      <c r="C57" s="905"/>
      <c r="D57" s="905"/>
      <c r="E57" s="905"/>
      <c r="F57" s="905"/>
      <c r="G57" s="905"/>
      <c r="H57" s="905"/>
      <c r="I57" s="905"/>
      <c r="J57" s="905"/>
      <c r="K57" s="905"/>
      <c r="L57" s="905"/>
      <c r="M57" s="905"/>
      <c r="N57" s="905"/>
      <c r="O57" s="905"/>
      <c r="P57" s="905"/>
      <c r="Q57" s="720"/>
      <c r="R57" s="720"/>
      <c r="S57" s="720"/>
      <c r="T57" s="720"/>
    </row>
    <row r="58" spans="1:20">
      <c r="A58" s="905"/>
      <c r="B58" s="905"/>
      <c r="C58" s="905"/>
      <c r="D58" s="905"/>
      <c r="E58" s="905"/>
      <c r="F58" s="905"/>
      <c r="G58" s="905"/>
      <c r="H58" s="905"/>
      <c r="I58" s="905"/>
      <c r="J58" s="905"/>
      <c r="K58" s="905"/>
      <c r="L58" s="905"/>
      <c r="M58" s="905"/>
      <c r="N58" s="905"/>
      <c r="O58" s="905"/>
      <c r="P58" s="905"/>
      <c r="Q58" s="720"/>
      <c r="R58" s="720"/>
      <c r="S58" s="720"/>
      <c r="T58" s="720"/>
    </row>
    <row r="59" spans="1:20">
      <c r="A59" s="905"/>
      <c r="B59" s="905"/>
      <c r="C59" s="905"/>
      <c r="D59" s="905"/>
      <c r="E59" s="905"/>
      <c r="F59" s="905"/>
      <c r="G59" s="905"/>
      <c r="H59" s="905"/>
      <c r="I59" s="905"/>
      <c r="J59" s="905"/>
      <c r="K59" s="905"/>
      <c r="L59" s="905"/>
      <c r="M59" s="905"/>
      <c r="N59" s="905"/>
      <c r="O59" s="905"/>
      <c r="P59" s="905"/>
      <c r="Q59" s="720"/>
      <c r="R59" s="720"/>
      <c r="S59" s="720"/>
      <c r="T59" s="720"/>
    </row>
    <row r="60" spans="1:20">
      <c r="A60" s="905"/>
      <c r="B60" s="905"/>
      <c r="C60" s="905"/>
      <c r="D60" s="905"/>
      <c r="E60" s="905"/>
      <c r="F60" s="905"/>
      <c r="G60" s="905"/>
      <c r="H60" s="905"/>
      <c r="I60" s="905"/>
      <c r="J60" s="905"/>
      <c r="K60" s="905"/>
      <c r="L60" s="905"/>
      <c r="M60" s="905"/>
      <c r="N60" s="905"/>
      <c r="O60" s="905"/>
      <c r="P60" s="905"/>
      <c r="Q60" s="720"/>
      <c r="R60" s="720"/>
      <c r="S60" s="720"/>
      <c r="T60" s="720"/>
    </row>
    <row r="61" spans="1:20">
      <c r="A61" s="905"/>
      <c r="B61" s="905"/>
      <c r="C61" s="905"/>
      <c r="D61" s="905"/>
      <c r="E61" s="905"/>
      <c r="F61" s="905"/>
      <c r="G61" s="905"/>
      <c r="H61" s="905"/>
      <c r="I61" s="905"/>
      <c r="J61" s="905"/>
      <c r="K61" s="905"/>
      <c r="L61" s="905"/>
      <c r="M61" s="905"/>
      <c r="N61" s="905"/>
      <c r="O61" s="905"/>
      <c r="P61" s="905"/>
      <c r="Q61" s="720"/>
      <c r="R61" s="720"/>
      <c r="S61" s="720"/>
      <c r="T61" s="720"/>
    </row>
    <row r="62" spans="1:20">
      <c r="A62" s="905"/>
      <c r="B62" s="905"/>
      <c r="C62" s="905"/>
      <c r="D62" s="905"/>
      <c r="E62" s="905"/>
      <c r="F62" s="905"/>
      <c r="G62" s="905"/>
      <c r="H62" s="905"/>
      <c r="I62" s="905"/>
      <c r="J62" s="905"/>
      <c r="K62" s="905"/>
      <c r="L62" s="905"/>
      <c r="M62" s="905"/>
      <c r="N62" s="905"/>
      <c r="O62" s="905"/>
      <c r="P62" s="905"/>
      <c r="Q62" s="720"/>
      <c r="R62" s="720"/>
      <c r="S62" s="720"/>
      <c r="T62" s="720"/>
    </row>
    <row r="63" spans="1:20">
      <c r="A63" s="905"/>
      <c r="B63" s="905"/>
      <c r="C63" s="905"/>
      <c r="D63" s="905"/>
      <c r="E63" s="905"/>
      <c r="F63" s="905"/>
      <c r="G63" s="905"/>
      <c r="H63" s="905"/>
      <c r="I63" s="905"/>
      <c r="J63" s="905"/>
      <c r="K63" s="905"/>
      <c r="L63" s="905"/>
      <c r="M63" s="905"/>
      <c r="N63" s="905"/>
      <c r="O63" s="905"/>
      <c r="P63" s="905"/>
      <c r="Q63" s="720"/>
      <c r="R63" s="720"/>
      <c r="S63" s="720"/>
      <c r="T63" s="720"/>
    </row>
    <row r="64" spans="1:20">
      <c r="A64" s="905"/>
      <c r="B64" s="905"/>
      <c r="C64" s="905"/>
      <c r="D64" s="905"/>
      <c r="E64" s="905"/>
      <c r="F64" s="905"/>
      <c r="G64" s="905"/>
      <c r="H64" s="905"/>
      <c r="I64" s="905"/>
      <c r="J64" s="905"/>
      <c r="K64" s="905"/>
      <c r="L64" s="905"/>
      <c r="M64" s="905"/>
      <c r="N64" s="905"/>
      <c r="O64" s="905"/>
      <c r="P64" s="905"/>
      <c r="Q64" s="720"/>
      <c r="R64" s="720"/>
      <c r="S64" s="720"/>
      <c r="T64" s="720"/>
    </row>
    <row r="65" spans="1:20">
      <c r="A65" s="905"/>
      <c r="B65" s="905"/>
      <c r="C65" s="905"/>
      <c r="D65" s="905"/>
      <c r="E65" s="905"/>
      <c r="F65" s="905"/>
      <c r="G65" s="905"/>
      <c r="H65" s="905"/>
      <c r="I65" s="905"/>
      <c r="J65" s="905"/>
      <c r="K65" s="905"/>
      <c r="L65" s="905"/>
      <c r="M65" s="905"/>
      <c r="N65" s="905"/>
      <c r="O65" s="905"/>
      <c r="P65" s="905"/>
      <c r="Q65" s="720"/>
      <c r="R65" s="720"/>
      <c r="S65" s="720"/>
      <c r="T65" s="720"/>
    </row>
    <row r="66" spans="1:20">
      <c r="A66" s="905"/>
      <c r="B66" s="905"/>
      <c r="C66" s="905"/>
      <c r="D66" s="905"/>
      <c r="E66" s="905"/>
      <c r="F66" s="905"/>
      <c r="G66" s="905"/>
      <c r="H66" s="905"/>
      <c r="I66" s="905"/>
      <c r="J66" s="905"/>
      <c r="K66" s="905"/>
      <c r="L66" s="905"/>
      <c r="M66" s="905"/>
      <c r="N66" s="905"/>
      <c r="O66" s="905"/>
      <c r="P66" s="905"/>
      <c r="Q66" s="720"/>
      <c r="R66" s="720"/>
      <c r="S66" s="720"/>
      <c r="T66" s="720"/>
    </row>
    <row r="67" spans="1:20">
      <c r="A67" s="905"/>
      <c r="B67" s="905"/>
      <c r="C67" s="905"/>
      <c r="D67" s="905"/>
      <c r="E67" s="905"/>
      <c r="F67" s="905"/>
      <c r="G67" s="905"/>
      <c r="H67" s="905"/>
      <c r="I67" s="905"/>
      <c r="J67" s="905"/>
      <c r="K67" s="905"/>
      <c r="L67" s="905"/>
      <c r="M67" s="905"/>
      <c r="N67" s="905"/>
      <c r="O67" s="905"/>
      <c r="P67" s="905"/>
      <c r="Q67" s="720"/>
      <c r="R67" s="720"/>
      <c r="S67" s="720"/>
      <c r="T67" s="720"/>
    </row>
    <row r="68" spans="1:20">
      <c r="A68" s="905"/>
      <c r="B68" s="905"/>
      <c r="C68" s="905"/>
      <c r="D68" s="905"/>
      <c r="E68" s="905"/>
      <c r="F68" s="905"/>
      <c r="G68" s="905"/>
      <c r="H68" s="905"/>
      <c r="I68" s="905"/>
      <c r="J68" s="905"/>
      <c r="K68" s="905"/>
      <c r="L68" s="905"/>
      <c r="M68" s="905"/>
      <c r="N68" s="905"/>
      <c r="O68" s="905"/>
      <c r="P68" s="905"/>
      <c r="Q68" s="720"/>
      <c r="R68" s="720"/>
      <c r="S68" s="720"/>
      <c r="T68" s="720"/>
    </row>
    <row r="69" spans="1:20">
      <c r="A69" s="905"/>
      <c r="B69" s="905"/>
      <c r="C69" s="905"/>
      <c r="D69" s="905"/>
      <c r="E69" s="905"/>
      <c r="F69" s="905"/>
      <c r="G69" s="905"/>
      <c r="H69" s="905"/>
      <c r="I69" s="905"/>
      <c r="J69" s="905"/>
      <c r="K69" s="905"/>
      <c r="L69" s="905"/>
      <c r="M69" s="905"/>
      <c r="N69" s="905"/>
      <c r="O69" s="905"/>
      <c r="P69" s="905"/>
      <c r="Q69" s="720"/>
      <c r="R69" s="720"/>
      <c r="S69" s="720"/>
      <c r="T69" s="720"/>
    </row>
    <row r="70" spans="1:20">
      <c r="A70" s="905"/>
      <c r="B70" s="905"/>
      <c r="C70" s="905"/>
      <c r="D70" s="905"/>
      <c r="E70" s="905"/>
      <c r="F70" s="905"/>
      <c r="G70" s="905"/>
      <c r="H70" s="905"/>
      <c r="I70" s="905"/>
      <c r="J70" s="905"/>
      <c r="K70" s="905"/>
      <c r="L70" s="905"/>
      <c r="M70" s="905"/>
      <c r="N70" s="905"/>
      <c r="O70" s="905"/>
      <c r="P70" s="905"/>
      <c r="Q70" s="720"/>
      <c r="R70" s="720"/>
      <c r="S70" s="720"/>
      <c r="T70" s="720"/>
    </row>
    <row r="71" spans="1:20">
      <c r="A71" s="905"/>
      <c r="B71" s="905"/>
      <c r="C71" s="905"/>
      <c r="D71" s="905"/>
      <c r="E71" s="905"/>
      <c r="F71" s="905"/>
      <c r="G71" s="905"/>
      <c r="H71" s="905"/>
      <c r="I71" s="905"/>
      <c r="J71" s="905"/>
      <c r="K71" s="905"/>
      <c r="L71" s="905"/>
      <c r="M71" s="905"/>
      <c r="N71" s="905"/>
      <c r="O71" s="905"/>
      <c r="P71" s="905"/>
      <c r="Q71" s="720"/>
      <c r="R71" s="720"/>
      <c r="S71" s="720"/>
      <c r="T71" s="720"/>
    </row>
    <row r="72" spans="1:20">
      <c r="A72" s="905"/>
      <c r="B72" s="905"/>
      <c r="C72" s="905"/>
      <c r="D72" s="905"/>
      <c r="E72" s="905"/>
      <c r="F72" s="905"/>
      <c r="G72" s="905"/>
      <c r="H72" s="905"/>
      <c r="I72" s="905"/>
      <c r="J72" s="905"/>
      <c r="K72" s="905"/>
      <c r="L72" s="905"/>
      <c r="M72" s="905"/>
      <c r="N72" s="905"/>
      <c r="O72" s="905"/>
      <c r="P72" s="905"/>
      <c r="Q72" s="720"/>
      <c r="R72" s="720"/>
      <c r="S72" s="720"/>
      <c r="T72" s="720"/>
    </row>
    <row r="73" spans="1:20">
      <c r="A73" s="905"/>
      <c r="B73" s="905"/>
      <c r="C73" s="905"/>
      <c r="D73" s="905"/>
      <c r="E73" s="905"/>
      <c r="F73" s="905"/>
      <c r="G73" s="905"/>
      <c r="H73" s="905"/>
      <c r="I73" s="905"/>
      <c r="J73" s="905"/>
      <c r="K73" s="905"/>
      <c r="L73" s="905"/>
      <c r="M73" s="905"/>
      <c r="N73" s="905"/>
      <c r="O73" s="905"/>
      <c r="P73" s="905"/>
      <c r="Q73" s="720"/>
      <c r="R73" s="720"/>
      <c r="S73" s="720"/>
      <c r="T73" s="720"/>
    </row>
    <row r="74" spans="1:20">
      <c r="A74" s="905"/>
      <c r="B74" s="905"/>
      <c r="C74" s="905"/>
      <c r="D74" s="905"/>
      <c r="E74" s="905"/>
      <c r="F74" s="905"/>
      <c r="G74" s="905"/>
      <c r="H74" s="905"/>
      <c r="I74" s="905"/>
      <c r="J74" s="905"/>
      <c r="K74" s="905"/>
      <c r="L74" s="905"/>
      <c r="M74" s="905"/>
      <c r="N74" s="905"/>
      <c r="O74" s="905"/>
      <c r="P74" s="905"/>
      <c r="Q74" s="720"/>
      <c r="R74" s="720"/>
      <c r="S74" s="720"/>
      <c r="T74" s="720"/>
    </row>
    <row r="75" spans="1:20">
      <c r="A75" s="905"/>
      <c r="B75" s="905"/>
      <c r="C75" s="905"/>
      <c r="D75" s="905"/>
      <c r="E75" s="905"/>
      <c r="F75" s="905"/>
      <c r="G75" s="905"/>
      <c r="H75" s="905"/>
      <c r="I75" s="905"/>
      <c r="J75" s="905"/>
      <c r="K75" s="905"/>
      <c r="L75" s="905"/>
      <c r="M75" s="905"/>
      <c r="N75" s="905"/>
      <c r="O75" s="905"/>
      <c r="P75" s="905"/>
      <c r="Q75" s="720"/>
      <c r="R75" s="720"/>
      <c r="S75" s="720"/>
      <c r="T75" s="720"/>
    </row>
    <row r="76" spans="1:20">
      <c r="A76" s="905"/>
      <c r="B76" s="905"/>
      <c r="C76" s="905"/>
      <c r="D76" s="905"/>
      <c r="E76" s="905"/>
      <c r="F76" s="905"/>
      <c r="G76" s="905"/>
      <c r="H76" s="905"/>
      <c r="I76" s="905"/>
      <c r="J76" s="905"/>
      <c r="K76" s="905"/>
      <c r="L76" s="905"/>
      <c r="M76" s="905"/>
      <c r="N76" s="905"/>
      <c r="O76" s="905"/>
      <c r="P76" s="905"/>
      <c r="Q76" s="720"/>
      <c r="R76" s="720"/>
      <c r="S76" s="720"/>
      <c r="T76" s="720"/>
    </row>
    <row r="77" spans="1:20">
      <c r="A77" s="905"/>
      <c r="B77" s="905"/>
      <c r="C77" s="905"/>
      <c r="D77" s="905"/>
      <c r="E77" s="905"/>
      <c r="F77" s="905"/>
      <c r="G77" s="905"/>
      <c r="H77" s="905"/>
      <c r="I77" s="905"/>
      <c r="J77" s="905"/>
      <c r="K77" s="905"/>
      <c r="L77" s="905"/>
      <c r="M77" s="905"/>
      <c r="N77" s="905"/>
      <c r="O77" s="905"/>
      <c r="P77" s="905"/>
      <c r="Q77" s="720"/>
      <c r="R77" s="720"/>
      <c r="S77" s="720"/>
      <c r="T77" s="720"/>
    </row>
    <row r="78" spans="1:20">
      <c r="A78" s="905"/>
      <c r="B78" s="905"/>
      <c r="C78" s="905"/>
      <c r="D78" s="905"/>
      <c r="E78" s="905"/>
      <c r="F78" s="905"/>
      <c r="G78" s="905"/>
      <c r="H78" s="905"/>
      <c r="I78" s="905"/>
      <c r="J78" s="905"/>
      <c r="K78" s="905"/>
      <c r="L78" s="905"/>
      <c r="M78" s="905"/>
      <c r="N78" s="905"/>
      <c r="O78" s="905"/>
      <c r="P78" s="905"/>
      <c r="Q78" s="720"/>
      <c r="R78" s="720"/>
      <c r="S78" s="720"/>
      <c r="T78" s="720"/>
    </row>
    <row r="79" spans="1:20">
      <c r="A79" s="905"/>
      <c r="B79" s="905"/>
      <c r="C79" s="905"/>
      <c r="D79" s="905"/>
      <c r="E79" s="905"/>
      <c r="F79" s="905"/>
      <c r="G79" s="905"/>
      <c r="H79" s="905"/>
      <c r="I79" s="905"/>
      <c r="J79" s="905"/>
      <c r="K79" s="905"/>
      <c r="L79" s="905"/>
      <c r="M79" s="905"/>
      <c r="N79" s="905"/>
      <c r="O79" s="905"/>
      <c r="P79" s="905"/>
      <c r="Q79" s="720"/>
      <c r="R79" s="720"/>
      <c r="S79" s="720"/>
      <c r="T79" s="720"/>
    </row>
    <row r="80" spans="1:20">
      <c r="A80" s="905"/>
      <c r="B80" s="905"/>
      <c r="C80" s="905"/>
      <c r="D80" s="905"/>
      <c r="E80" s="905"/>
      <c r="F80" s="905"/>
      <c r="G80" s="905"/>
      <c r="H80" s="905"/>
      <c r="I80" s="905"/>
      <c r="J80" s="905"/>
      <c r="K80" s="905"/>
      <c r="L80" s="905"/>
      <c r="M80" s="905"/>
      <c r="N80" s="905"/>
      <c r="O80" s="905"/>
      <c r="P80" s="905"/>
      <c r="Q80" s="720"/>
      <c r="R80" s="720"/>
      <c r="S80" s="720"/>
      <c r="T80" s="720"/>
    </row>
    <row r="81" spans="1:20">
      <c r="A81" s="905"/>
      <c r="B81" s="905"/>
      <c r="C81" s="905"/>
      <c r="D81" s="905"/>
      <c r="E81" s="905"/>
      <c r="F81" s="905"/>
      <c r="G81" s="905"/>
      <c r="H81" s="905"/>
      <c r="I81" s="905"/>
      <c r="J81" s="905"/>
      <c r="K81" s="905"/>
      <c r="L81" s="905"/>
      <c r="M81" s="905"/>
      <c r="N81" s="905"/>
      <c r="O81" s="905"/>
      <c r="P81" s="905"/>
      <c r="Q81" s="720"/>
      <c r="R81" s="720"/>
      <c r="S81" s="720"/>
      <c r="T81" s="720"/>
    </row>
    <row r="82" spans="1:20">
      <c r="A82" s="905"/>
      <c r="B82" s="905"/>
      <c r="C82" s="905"/>
      <c r="D82" s="905"/>
      <c r="E82" s="905"/>
      <c r="F82" s="905"/>
      <c r="G82" s="905"/>
      <c r="H82" s="905"/>
      <c r="I82" s="905"/>
      <c r="J82" s="905"/>
      <c r="K82" s="905"/>
      <c r="L82" s="905"/>
      <c r="M82" s="905"/>
      <c r="N82" s="905"/>
      <c r="O82" s="905"/>
      <c r="P82" s="905"/>
      <c r="Q82" s="720"/>
      <c r="R82" s="720"/>
      <c r="S82" s="720"/>
      <c r="T82" s="720"/>
    </row>
    <row r="83" spans="1:20">
      <c r="A83" s="905"/>
      <c r="B83" s="905"/>
      <c r="C83" s="905"/>
      <c r="D83" s="905"/>
      <c r="E83" s="905"/>
      <c r="F83" s="905"/>
      <c r="G83" s="905"/>
      <c r="H83" s="905"/>
      <c r="I83" s="905"/>
      <c r="J83" s="905"/>
      <c r="K83" s="905"/>
      <c r="L83" s="905"/>
      <c r="M83" s="905"/>
      <c r="N83" s="905"/>
      <c r="O83" s="905"/>
      <c r="P83" s="905"/>
      <c r="Q83" s="720"/>
      <c r="R83" s="720"/>
      <c r="S83" s="720"/>
      <c r="T83" s="720"/>
    </row>
    <row r="84" spans="1:20">
      <c r="A84" s="905"/>
      <c r="B84" s="905"/>
      <c r="C84" s="905"/>
      <c r="D84" s="905"/>
      <c r="E84" s="905"/>
      <c r="F84" s="905"/>
      <c r="G84" s="905"/>
      <c r="H84" s="905"/>
      <c r="I84" s="905"/>
      <c r="J84" s="905"/>
      <c r="K84" s="905"/>
      <c r="L84" s="905"/>
      <c r="M84" s="905"/>
      <c r="N84" s="905"/>
      <c r="O84" s="905"/>
      <c r="P84" s="905"/>
      <c r="Q84" s="720"/>
      <c r="R84" s="720"/>
      <c r="S84" s="720"/>
      <c r="T84" s="720"/>
    </row>
    <row r="85" spans="1:20">
      <c r="A85" s="905"/>
      <c r="B85" s="905"/>
      <c r="C85" s="905"/>
      <c r="D85" s="905"/>
      <c r="E85" s="905"/>
      <c r="F85" s="905"/>
      <c r="G85" s="905"/>
      <c r="H85" s="905"/>
      <c r="I85" s="905"/>
      <c r="J85" s="905"/>
      <c r="K85" s="905"/>
      <c r="L85" s="905"/>
      <c r="M85" s="905"/>
      <c r="N85" s="905"/>
      <c r="O85" s="905"/>
      <c r="P85" s="905"/>
      <c r="Q85" s="720"/>
      <c r="R85" s="720"/>
      <c r="S85" s="720"/>
      <c r="T85" s="720"/>
    </row>
    <row r="86" spans="1:20">
      <c r="A86" s="905"/>
      <c r="B86" s="905"/>
      <c r="C86" s="905"/>
      <c r="D86" s="905"/>
      <c r="E86" s="905"/>
      <c r="F86" s="905"/>
      <c r="G86" s="905"/>
      <c r="H86" s="905"/>
      <c r="I86" s="905"/>
      <c r="J86" s="905"/>
      <c r="K86" s="905"/>
      <c r="L86" s="905"/>
      <c r="M86" s="905"/>
      <c r="N86" s="905"/>
      <c r="O86" s="905"/>
      <c r="P86" s="905"/>
      <c r="Q86" s="720"/>
      <c r="R86" s="720"/>
      <c r="S86" s="720"/>
      <c r="T86" s="720"/>
    </row>
    <row r="87" spans="1:20">
      <c r="A87" s="905"/>
      <c r="B87" s="905"/>
      <c r="C87" s="905"/>
      <c r="D87" s="905"/>
      <c r="E87" s="905"/>
      <c r="F87" s="905"/>
      <c r="G87" s="905"/>
      <c r="H87" s="905"/>
      <c r="I87" s="905"/>
      <c r="J87" s="905"/>
      <c r="K87" s="905"/>
      <c r="L87" s="905"/>
      <c r="M87" s="905"/>
      <c r="N87" s="905"/>
      <c r="O87" s="905"/>
      <c r="P87" s="905"/>
      <c r="Q87" s="720"/>
      <c r="R87" s="720"/>
      <c r="S87" s="720"/>
      <c r="T87" s="720"/>
    </row>
    <row r="88" spans="1:20">
      <c r="A88" s="905"/>
      <c r="B88" s="905"/>
      <c r="C88" s="905"/>
      <c r="D88" s="905"/>
      <c r="E88" s="905"/>
      <c r="F88" s="905"/>
      <c r="G88" s="905"/>
      <c r="H88" s="905"/>
      <c r="I88" s="905"/>
      <c r="J88" s="905"/>
      <c r="K88" s="905"/>
      <c r="L88" s="905"/>
      <c r="M88" s="905"/>
      <c r="N88" s="905"/>
      <c r="O88" s="905"/>
      <c r="P88" s="905"/>
      <c r="Q88" s="720"/>
      <c r="R88" s="720"/>
      <c r="S88" s="720"/>
      <c r="T88" s="720"/>
    </row>
    <row r="89" spans="1:20">
      <c r="A89" s="905"/>
      <c r="B89" s="905"/>
      <c r="C89" s="905"/>
      <c r="D89" s="905"/>
      <c r="E89" s="905"/>
      <c r="F89" s="905"/>
      <c r="G89" s="905"/>
      <c r="H89" s="905"/>
      <c r="I89" s="905"/>
      <c r="J89" s="905"/>
      <c r="K89" s="905"/>
      <c r="L89" s="905"/>
      <c r="M89" s="905"/>
      <c r="N89" s="905"/>
      <c r="O89" s="905"/>
      <c r="P89" s="905"/>
      <c r="Q89" s="720"/>
      <c r="R89" s="720"/>
      <c r="S89" s="720"/>
      <c r="T89" s="720"/>
    </row>
    <row r="90" spans="1:20">
      <c r="A90" s="905"/>
      <c r="B90" s="905"/>
      <c r="C90" s="905"/>
      <c r="D90" s="905"/>
      <c r="E90" s="905"/>
      <c r="F90" s="905"/>
      <c r="G90" s="905"/>
      <c r="H90" s="905"/>
      <c r="I90" s="905"/>
      <c r="J90" s="905"/>
      <c r="K90" s="905"/>
      <c r="L90" s="905"/>
      <c r="M90" s="905"/>
      <c r="N90" s="905"/>
      <c r="O90" s="905"/>
      <c r="P90" s="905"/>
      <c r="Q90" s="720"/>
      <c r="R90" s="720"/>
      <c r="S90" s="720"/>
      <c r="T90" s="720"/>
    </row>
    <row r="91" spans="1:20">
      <c r="A91" s="905"/>
      <c r="B91" s="905"/>
      <c r="C91" s="905"/>
      <c r="D91" s="905"/>
      <c r="E91" s="905"/>
      <c r="F91" s="905"/>
      <c r="G91" s="905"/>
      <c r="H91" s="905"/>
      <c r="I91" s="905"/>
      <c r="J91" s="905"/>
      <c r="K91" s="905"/>
      <c r="L91" s="905"/>
      <c r="M91" s="905"/>
      <c r="N91" s="905"/>
      <c r="O91" s="905"/>
      <c r="P91" s="905"/>
      <c r="Q91" s="720"/>
      <c r="R91" s="720"/>
      <c r="S91" s="720"/>
      <c r="T91" s="720"/>
    </row>
    <row r="92" spans="1:20">
      <c r="A92" s="905"/>
      <c r="B92" s="905"/>
      <c r="C92" s="905"/>
      <c r="D92" s="905"/>
      <c r="E92" s="905"/>
      <c r="F92" s="905"/>
      <c r="G92" s="905"/>
      <c r="H92" s="905"/>
      <c r="I92" s="905"/>
      <c r="J92" s="905"/>
      <c r="K92" s="905"/>
      <c r="L92" s="905"/>
      <c r="M92" s="905"/>
      <c r="N92" s="905"/>
      <c r="O92" s="905"/>
      <c r="P92" s="905"/>
      <c r="Q92" s="720"/>
      <c r="R92" s="720"/>
      <c r="S92" s="720"/>
      <c r="T92" s="720"/>
    </row>
    <row r="93" spans="1:20">
      <c r="A93" s="905"/>
      <c r="B93" s="905"/>
      <c r="C93" s="905"/>
      <c r="D93" s="905"/>
      <c r="E93" s="905"/>
      <c r="F93" s="905"/>
      <c r="G93" s="905"/>
      <c r="H93" s="905"/>
      <c r="I93" s="905"/>
      <c r="J93" s="905"/>
      <c r="K93" s="905"/>
      <c r="L93" s="905"/>
      <c r="M93" s="905"/>
      <c r="N93" s="905"/>
      <c r="O93" s="905"/>
      <c r="P93" s="905"/>
      <c r="Q93" s="720"/>
      <c r="R93" s="720"/>
      <c r="S93" s="720"/>
      <c r="T93" s="720"/>
    </row>
    <row r="94" spans="1:20">
      <c r="A94" s="905"/>
      <c r="B94" s="905"/>
      <c r="C94" s="905"/>
      <c r="D94" s="905"/>
      <c r="E94" s="905"/>
      <c r="F94" s="905"/>
      <c r="G94" s="905"/>
      <c r="H94" s="905"/>
      <c r="I94" s="905"/>
      <c r="J94" s="905"/>
      <c r="K94" s="905"/>
      <c r="L94" s="905"/>
      <c r="M94" s="905"/>
      <c r="N94" s="905"/>
      <c r="O94" s="905"/>
      <c r="P94" s="905"/>
      <c r="Q94" s="720"/>
      <c r="R94" s="720"/>
      <c r="S94" s="720"/>
      <c r="T94" s="720"/>
    </row>
    <row r="95" spans="1:20">
      <c r="A95" s="905"/>
      <c r="B95" s="905"/>
      <c r="C95" s="905"/>
      <c r="D95" s="905"/>
      <c r="E95" s="905"/>
      <c r="F95" s="905"/>
      <c r="G95" s="905"/>
      <c r="H95" s="905"/>
      <c r="I95" s="905"/>
      <c r="J95" s="905"/>
      <c r="K95" s="905"/>
      <c r="L95" s="905"/>
      <c r="M95" s="905"/>
      <c r="N95" s="905"/>
      <c r="O95" s="905"/>
      <c r="P95" s="905"/>
      <c r="Q95" s="720"/>
      <c r="R95" s="720"/>
      <c r="S95" s="720"/>
      <c r="T95" s="720"/>
    </row>
    <row r="96" spans="1:20">
      <c r="A96" s="905"/>
      <c r="B96" s="905"/>
      <c r="C96" s="905"/>
      <c r="D96" s="905"/>
      <c r="E96" s="905"/>
      <c r="F96" s="905"/>
      <c r="G96" s="905"/>
      <c r="H96" s="905"/>
      <c r="I96" s="905"/>
      <c r="J96" s="905"/>
      <c r="K96" s="905"/>
      <c r="L96" s="905"/>
      <c r="M96" s="905"/>
      <c r="N96" s="905"/>
      <c r="O96" s="905"/>
      <c r="P96" s="905"/>
      <c r="Q96" s="720"/>
      <c r="R96" s="720"/>
      <c r="S96" s="720"/>
      <c r="T96" s="720"/>
    </row>
    <row r="97" spans="1:20">
      <c r="A97" s="905"/>
      <c r="B97" s="905"/>
      <c r="C97" s="905"/>
      <c r="D97" s="905"/>
      <c r="E97" s="905"/>
      <c r="F97" s="905"/>
      <c r="G97" s="905"/>
      <c r="H97" s="905"/>
      <c r="I97" s="905"/>
      <c r="J97" s="905"/>
      <c r="K97" s="905"/>
      <c r="L97" s="905"/>
      <c r="M97" s="905"/>
      <c r="N97" s="905"/>
      <c r="O97" s="905"/>
      <c r="P97" s="905"/>
      <c r="Q97" s="720"/>
      <c r="R97" s="720"/>
      <c r="S97" s="720"/>
      <c r="T97" s="720"/>
    </row>
    <row r="98" spans="1:20">
      <c r="A98" s="905"/>
      <c r="B98" s="905"/>
      <c r="C98" s="905"/>
      <c r="D98" s="905"/>
      <c r="E98" s="905"/>
      <c r="F98" s="905"/>
      <c r="G98" s="905"/>
      <c r="H98" s="905"/>
      <c r="I98" s="905"/>
      <c r="J98" s="905"/>
      <c r="K98" s="905"/>
      <c r="L98" s="905"/>
      <c r="M98" s="905"/>
      <c r="N98" s="905"/>
      <c r="O98" s="905"/>
      <c r="P98" s="905"/>
      <c r="Q98" s="720"/>
      <c r="R98" s="720"/>
      <c r="S98" s="720"/>
      <c r="T98" s="720"/>
    </row>
    <row r="99" spans="1:20">
      <c r="A99" s="905"/>
      <c r="B99" s="905"/>
      <c r="C99" s="905"/>
      <c r="D99" s="905"/>
      <c r="E99" s="905"/>
      <c r="F99" s="905"/>
      <c r="G99" s="905"/>
      <c r="H99" s="905"/>
      <c r="I99" s="905"/>
      <c r="J99" s="905"/>
      <c r="K99" s="905"/>
      <c r="L99" s="905"/>
      <c r="M99" s="905"/>
      <c r="N99" s="905"/>
      <c r="O99" s="905"/>
      <c r="P99" s="905"/>
      <c r="Q99" s="720"/>
      <c r="R99" s="720"/>
      <c r="S99" s="720"/>
      <c r="T99" s="720"/>
    </row>
    <row r="100" spans="1:20">
      <c r="A100" s="905"/>
      <c r="B100" s="905"/>
      <c r="C100" s="905"/>
      <c r="D100" s="905"/>
      <c r="E100" s="905"/>
      <c r="F100" s="905"/>
      <c r="G100" s="905"/>
      <c r="H100" s="905"/>
      <c r="I100" s="905"/>
      <c r="J100" s="905"/>
      <c r="K100" s="905"/>
      <c r="L100" s="905"/>
      <c r="M100" s="905"/>
      <c r="N100" s="905"/>
      <c r="O100" s="905"/>
      <c r="P100" s="905"/>
      <c r="Q100" s="720"/>
      <c r="R100" s="720"/>
      <c r="S100" s="720"/>
      <c r="T100" s="720"/>
    </row>
    <row r="101" spans="1:20">
      <c r="A101" s="905"/>
      <c r="B101" s="905"/>
      <c r="C101" s="905"/>
      <c r="D101" s="905"/>
      <c r="E101" s="905"/>
      <c r="F101" s="905"/>
      <c r="G101" s="905"/>
      <c r="H101" s="905"/>
      <c r="I101" s="905"/>
      <c r="J101" s="905"/>
      <c r="K101" s="905"/>
      <c r="L101" s="905"/>
      <c r="M101" s="905"/>
      <c r="N101" s="905"/>
      <c r="O101" s="905"/>
      <c r="P101" s="905"/>
      <c r="Q101" s="720"/>
      <c r="R101" s="720"/>
      <c r="S101" s="720"/>
      <c r="T101" s="720"/>
    </row>
    <row r="102" spans="1:20">
      <c r="A102" s="905"/>
      <c r="B102" s="905"/>
      <c r="C102" s="905"/>
      <c r="D102" s="905"/>
      <c r="E102" s="905"/>
      <c r="F102" s="905"/>
      <c r="G102" s="905"/>
      <c r="H102" s="905"/>
      <c r="I102" s="905"/>
      <c r="J102" s="905"/>
      <c r="K102" s="905"/>
      <c r="L102" s="905"/>
      <c r="M102" s="905"/>
      <c r="N102" s="905"/>
      <c r="O102" s="905"/>
      <c r="P102" s="905"/>
      <c r="Q102" s="720"/>
      <c r="R102" s="720"/>
      <c r="S102" s="720"/>
      <c r="T102" s="720"/>
    </row>
    <row r="103" spans="1:20">
      <c r="A103" s="905"/>
      <c r="B103" s="905"/>
      <c r="C103" s="905"/>
      <c r="D103" s="905"/>
      <c r="E103" s="905"/>
      <c r="F103" s="905"/>
      <c r="G103" s="905"/>
      <c r="H103" s="905"/>
      <c r="I103" s="905"/>
      <c r="J103" s="905"/>
      <c r="K103" s="905"/>
      <c r="L103" s="905"/>
      <c r="M103" s="905"/>
      <c r="N103" s="905"/>
      <c r="O103" s="905"/>
      <c r="P103" s="905"/>
      <c r="Q103" s="720"/>
      <c r="R103" s="720"/>
      <c r="S103" s="720"/>
      <c r="T103" s="720"/>
    </row>
    <row r="104" spans="1:20">
      <c r="A104" s="905"/>
      <c r="B104" s="905"/>
      <c r="C104" s="905"/>
      <c r="D104" s="905"/>
      <c r="E104" s="905"/>
      <c r="F104" s="905"/>
      <c r="G104" s="905"/>
      <c r="H104" s="905"/>
      <c r="I104" s="905"/>
      <c r="J104" s="905"/>
      <c r="K104" s="905"/>
      <c r="L104" s="905"/>
      <c r="M104" s="905"/>
      <c r="N104" s="905"/>
      <c r="O104" s="905"/>
      <c r="P104" s="905"/>
      <c r="Q104" s="720"/>
      <c r="R104" s="720"/>
      <c r="S104" s="720"/>
      <c r="T104" s="720"/>
    </row>
    <row r="105" spans="1:20">
      <c r="A105" s="905"/>
      <c r="B105" s="905"/>
      <c r="C105" s="905"/>
      <c r="D105" s="905"/>
      <c r="E105" s="905"/>
      <c r="F105" s="905"/>
      <c r="G105" s="905"/>
      <c r="H105" s="905"/>
      <c r="I105" s="905"/>
      <c r="J105" s="905"/>
      <c r="K105" s="905"/>
      <c r="L105" s="905"/>
      <c r="M105" s="905"/>
      <c r="N105" s="905"/>
      <c r="O105" s="905"/>
      <c r="P105" s="905"/>
      <c r="Q105" s="720"/>
      <c r="R105" s="720"/>
      <c r="S105" s="720"/>
      <c r="T105" s="720"/>
    </row>
    <row r="106" spans="1:20">
      <c r="A106" s="905"/>
      <c r="B106" s="905"/>
      <c r="C106" s="905"/>
      <c r="D106" s="905"/>
      <c r="E106" s="905"/>
      <c r="F106" s="905"/>
      <c r="G106" s="905"/>
      <c r="H106" s="905"/>
      <c r="I106" s="905"/>
      <c r="J106" s="905"/>
      <c r="K106" s="905"/>
      <c r="L106" s="905"/>
      <c r="M106" s="905"/>
      <c r="N106" s="905"/>
      <c r="O106" s="905"/>
      <c r="P106" s="905"/>
      <c r="Q106" s="720"/>
      <c r="R106" s="720"/>
      <c r="S106" s="720"/>
      <c r="T106" s="720"/>
    </row>
    <row r="107" spans="1:20">
      <c r="A107" s="905"/>
      <c r="B107" s="905"/>
      <c r="C107" s="905"/>
      <c r="D107" s="905"/>
      <c r="E107" s="905"/>
      <c r="F107" s="905"/>
      <c r="G107" s="905"/>
      <c r="H107" s="905"/>
      <c r="I107" s="905"/>
      <c r="J107" s="905"/>
      <c r="K107" s="905"/>
      <c r="L107" s="905"/>
      <c r="M107" s="905"/>
      <c r="N107" s="905"/>
      <c r="O107" s="905"/>
      <c r="P107" s="905"/>
      <c r="Q107" s="720"/>
      <c r="R107" s="720"/>
      <c r="S107" s="720"/>
      <c r="T107" s="720"/>
    </row>
    <row r="108" spans="1:20">
      <c r="A108" s="905"/>
      <c r="B108" s="905"/>
      <c r="C108" s="905"/>
      <c r="D108" s="905"/>
      <c r="E108" s="905"/>
      <c r="F108" s="905"/>
      <c r="G108" s="905"/>
      <c r="H108" s="905"/>
      <c r="I108" s="905"/>
      <c r="J108" s="905"/>
      <c r="K108" s="905"/>
      <c r="L108" s="905"/>
      <c r="M108" s="905"/>
      <c r="N108" s="905"/>
      <c r="O108" s="905"/>
      <c r="P108" s="905"/>
      <c r="Q108" s="720"/>
      <c r="R108" s="720"/>
      <c r="S108" s="720"/>
      <c r="T108" s="720"/>
    </row>
    <row r="109" spans="1:20">
      <c r="A109" s="720"/>
      <c r="B109" s="720"/>
      <c r="C109" s="720"/>
      <c r="D109" s="720"/>
      <c r="E109" s="720"/>
      <c r="F109" s="720"/>
      <c r="G109" s="720"/>
      <c r="H109" s="720"/>
      <c r="I109" s="720"/>
      <c r="J109" s="720"/>
      <c r="K109" s="720"/>
      <c r="L109" s="720"/>
      <c r="M109" s="720"/>
      <c r="N109" s="720"/>
      <c r="O109" s="720"/>
      <c r="P109" s="720"/>
      <c r="Q109" s="720"/>
      <c r="R109" s="720"/>
      <c r="S109" s="720"/>
      <c r="T109" s="720"/>
    </row>
    <row r="110" spans="1:20">
      <c r="A110" s="720"/>
      <c r="B110" s="720"/>
      <c r="C110" s="720"/>
      <c r="D110" s="720"/>
      <c r="E110" s="720"/>
      <c r="F110" s="720"/>
      <c r="G110" s="720"/>
      <c r="H110" s="720"/>
      <c r="I110" s="720"/>
      <c r="J110" s="720"/>
      <c r="K110" s="720"/>
      <c r="L110" s="720"/>
      <c r="M110" s="720"/>
      <c r="N110" s="720"/>
      <c r="O110" s="720"/>
      <c r="P110" s="720"/>
      <c r="Q110" s="720"/>
      <c r="R110" s="720"/>
      <c r="S110" s="720"/>
      <c r="T110" s="720"/>
    </row>
    <row r="111" spans="1:20">
      <c r="A111" s="720"/>
      <c r="B111" s="720"/>
      <c r="C111" s="720"/>
      <c r="D111" s="720"/>
      <c r="E111" s="720"/>
      <c r="F111" s="720"/>
      <c r="G111" s="720"/>
      <c r="H111" s="720"/>
      <c r="I111" s="720"/>
      <c r="J111" s="720"/>
      <c r="K111" s="720"/>
      <c r="L111" s="720"/>
      <c r="M111" s="720"/>
      <c r="N111" s="720"/>
      <c r="O111" s="720"/>
      <c r="P111" s="720"/>
      <c r="Q111" s="720"/>
      <c r="R111" s="720"/>
      <c r="S111" s="720"/>
      <c r="T111" s="720"/>
    </row>
    <row r="112" spans="1:20">
      <c r="A112" s="720"/>
      <c r="B112" s="720"/>
      <c r="C112" s="720"/>
      <c r="D112" s="720"/>
      <c r="E112" s="720"/>
      <c r="F112" s="720"/>
      <c r="G112" s="720"/>
      <c r="H112" s="720"/>
      <c r="I112" s="720"/>
      <c r="J112" s="720"/>
      <c r="K112" s="720"/>
      <c r="L112" s="720"/>
      <c r="M112" s="720"/>
      <c r="N112" s="720"/>
      <c r="O112" s="720"/>
      <c r="P112" s="720"/>
      <c r="Q112" s="720"/>
      <c r="R112" s="720"/>
      <c r="S112" s="720"/>
      <c r="T112" s="720"/>
    </row>
    <row r="113" spans="1:20">
      <c r="A113" s="720"/>
      <c r="B113" s="720"/>
      <c r="C113" s="720"/>
      <c r="D113" s="720"/>
      <c r="E113" s="720"/>
      <c r="F113" s="720"/>
      <c r="G113" s="720"/>
      <c r="H113" s="720"/>
      <c r="I113" s="720"/>
      <c r="J113" s="720"/>
      <c r="K113" s="720"/>
      <c r="L113" s="720"/>
      <c r="M113" s="720"/>
      <c r="N113" s="720"/>
      <c r="O113" s="720"/>
      <c r="P113" s="720"/>
      <c r="Q113" s="720"/>
      <c r="R113" s="720"/>
      <c r="S113" s="720"/>
      <c r="T113" s="720"/>
    </row>
    <row r="114" spans="1:20">
      <c r="A114" s="720"/>
      <c r="B114" s="720"/>
      <c r="C114" s="720"/>
      <c r="D114" s="720"/>
      <c r="E114" s="720"/>
      <c r="F114" s="720"/>
      <c r="G114" s="720"/>
      <c r="H114" s="720"/>
      <c r="I114" s="720"/>
      <c r="J114" s="720"/>
      <c r="K114" s="720"/>
      <c r="L114" s="720"/>
      <c r="M114" s="720"/>
      <c r="N114" s="720"/>
      <c r="O114" s="720"/>
      <c r="P114" s="720"/>
      <c r="Q114" s="720"/>
      <c r="R114" s="720"/>
      <c r="S114" s="720"/>
      <c r="T114" s="720"/>
    </row>
    <row r="115" spans="1:20">
      <c r="A115" s="720"/>
      <c r="B115" s="720"/>
      <c r="C115" s="720"/>
      <c r="D115" s="720"/>
      <c r="E115" s="720"/>
      <c r="F115" s="720"/>
      <c r="G115" s="720"/>
      <c r="H115" s="720"/>
      <c r="I115" s="720"/>
      <c r="J115" s="720"/>
      <c r="K115" s="720"/>
      <c r="L115" s="720"/>
      <c r="M115" s="720"/>
      <c r="N115" s="720"/>
      <c r="O115" s="720"/>
      <c r="P115" s="720"/>
      <c r="Q115" s="720"/>
      <c r="R115" s="720"/>
      <c r="S115" s="720"/>
      <c r="T115" s="720"/>
    </row>
    <row r="116" spans="1:20">
      <c r="A116" s="720"/>
      <c r="B116" s="720"/>
      <c r="C116" s="720"/>
      <c r="D116" s="720"/>
      <c r="E116" s="720"/>
      <c r="F116" s="720"/>
      <c r="G116" s="720"/>
      <c r="H116" s="720"/>
      <c r="I116" s="720"/>
      <c r="J116" s="720"/>
      <c r="K116" s="720"/>
      <c r="L116" s="720"/>
      <c r="M116" s="720"/>
      <c r="N116" s="720"/>
      <c r="O116" s="720"/>
      <c r="P116" s="720"/>
      <c r="Q116" s="720"/>
      <c r="R116" s="720"/>
      <c r="S116" s="720"/>
      <c r="T116" s="720"/>
    </row>
    <row r="117" spans="1:20">
      <c r="A117" s="720"/>
      <c r="B117" s="720"/>
      <c r="C117" s="720"/>
      <c r="D117" s="720"/>
      <c r="E117" s="720"/>
      <c r="F117" s="720"/>
      <c r="G117" s="720"/>
      <c r="H117" s="720"/>
      <c r="I117" s="720"/>
      <c r="J117" s="720"/>
      <c r="K117" s="720"/>
      <c r="L117" s="720"/>
      <c r="M117" s="720"/>
      <c r="N117" s="720"/>
      <c r="O117" s="720"/>
      <c r="P117" s="720"/>
      <c r="Q117" s="720"/>
      <c r="R117" s="720"/>
      <c r="S117" s="720"/>
      <c r="T117" s="720"/>
    </row>
    <row r="118" spans="1:20">
      <c r="A118" s="720"/>
      <c r="B118" s="720"/>
      <c r="C118" s="720"/>
      <c r="D118" s="720"/>
      <c r="E118" s="720"/>
      <c r="F118" s="720"/>
      <c r="G118" s="720"/>
      <c r="H118" s="720"/>
      <c r="I118" s="720"/>
      <c r="J118" s="720"/>
      <c r="K118" s="720"/>
      <c r="L118" s="720"/>
      <c r="M118" s="720"/>
      <c r="N118" s="720"/>
      <c r="O118" s="720"/>
      <c r="P118" s="720"/>
      <c r="Q118" s="720"/>
      <c r="R118" s="720"/>
      <c r="S118" s="720"/>
      <c r="T118" s="720"/>
    </row>
    <row r="119" spans="1:20">
      <c r="A119" s="720"/>
      <c r="B119" s="720"/>
      <c r="C119" s="720"/>
      <c r="D119" s="720"/>
      <c r="E119" s="720"/>
      <c r="F119" s="720"/>
      <c r="G119" s="720"/>
      <c r="H119" s="720"/>
      <c r="I119" s="720"/>
      <c r="J119" s="720"/>
      <c r="K119" s="720"/>
      <c r="L119" s="720"/>
      <c r="M119" s="720"/>
      <c r="N119" s="720"/>
      <c r="O119" s="720"/>
      <c r="P119" s="720"/>
      <c r="Q119" s="720"/>
      <c r="R119" s="720"/>
      <c r="S119" s="720"/>
      <c r="T119" s="720"/>
    </row>
    <row r="120" spans="1:20">
      <c r="A120" s="720"/>
      <c r="B120" s="720"/>
      <c r="C120" s="720"/>
      <c r="D120" s="720"/>
      <c r="E120" s="720"/>
      <c r="F120" s="720"/>
      <c r="G120" s="720"/>
      <c r="H120" s="720"/>
      <c r="I120" s="720"/>
      <c r="J120" s="720"/>
      <c r="K120" s="720"/>
      <c r="L120" s="720"/>
      <c r="M120" s="720"/>
      <c r="N120" s="720"/>
      <c r="O120" s="720"/>
      <c r="P120" s="720"/>
      <c r="Q120" s="720"/>
      <c r="R120" s="720"/>
      <c r="S120" s="720"/>
      <c r="T120" s="720"/>
    </row>
    <row r="121" spans="1:20">
      <c r="A121" s="720"/>
      <c r="B121" s="720"/>
      <c r="C121" s="720"/>
      <c r="D121" s="720"/>
      <c r="E121" s="720"/>
      <c r="F121" s="720"/>
      <c r="G121" s="720"/>
      <c r="H121" s="720"/>
      <c r="I121" s="720"/>
      <c r="J121" s="720"/>
      <c r="K121" s="720"/>
      <c r="L121" s="720"/>
      <c r="M121" s="720"/>
      <c r="N121" s="720"/>
      <c r="O121" s="720"/>
      <c r="P121" s="720"/>
      <c r="Q121" s="720"/>
      <c r="R121" s="720"/>
      <c r="S121" s="720"/>
      <c r="T121" s="720"/>
    </row>
    <row r="122" spans="1:20">
      <c r="A122" s="720"/>
      <c r="B122" s="720"/>
      <c r="C122" s="720"/>
      <c r="D122" s="720"/>
      <c r="E122" s="720"/>
      <c r="F122" s="720"/>
      <c r="G122" s="720"/>
      <c r="H122" s="720"/>
      <c r="I122" s="720"/>
      <c r="J122" s="720"/>
      <c r="K122" s="720"/>
      <c r="L122" s="720"/>
      <c r="M122" s="720"/>
      <c r="N122" s="720"/>
      <c r="O122" s="720"/>
      <c r="P122" s="720"/>
      <c r="Q122" s="720"/>
      <c r="R122" s="720"/>
      <c r="S122" s="720"/>
      <c r="T122" s="720"/>
    </row>
    <row r="123" spans="1:20">
      <c r="A123" s="720"/>
      <c r="B123" s="720"/>
      <c r="C123" s="720"/>
      <c r="D123" s="720"/>
      <c r="E123" s="720"/>
      <c r="F123" s="720"/>
      <c r="G123" s="720"/>
      <c r="H123" s="720"/>
      <c r="I123" s="720"/>
      <c r="J123" s="720"/>
      <c r="K123" s="720"/>
      <c r="L123" s="720"/>
      <c r="M123" s="720"/>
      <c r="N123" s="720"/>
      <c r="O123" s="720"/>
      <c r="P123" s="720"/>
      <c r="Q123" s="720"/>
      <c r="R123" s="720"/>
      <c r="S123" s="720"/>
      <c r="T123" s="720"/>
    </row>
    <row r="124" spans="1:20">
      <c r="A124" s="720"/>
      <c r="B124" s="720"/>
      <c r="C124" s="720"/>
      <c r="D124" s="720"/>
      <c r="E124" s="720"/>
      <c r="F124" s="720"/>
      <c r="G124" s="720"/>
      <c r="H124" s="720"/>
      <c r="I124" s="720"/>
      <c r="J124" s="720"/>
      <c r="K124" s="720"/>
      <c r="L124" s="720"/>
      <c r="M124" s="720"/>
      <c r="N124" s="720"/>
      <c r="O124" s="720"/>
      <c r="P124" s="720"/>
      <c r="Q124" s="720"/>
      <c r="R124" s="720"/>
      <c r="S124" s="720"/>
      <c r="T124" s="720"/>
    </row>
    <row r="125" spans="1:20">
      <c r="A125" s="720"/>
      <c r="B125" s="720"/>
      <c r="C125" s="720"/>
      <c r="D125" s="720"/>
      <c r="E125" s="720"/>
      <c r="F125" s="720"/>
      <c r="G125" s="720"/>
      <c r="H125" s="720"/>
      <c r="I125" s="720"/>
      <c r="J125" s="720"/>
      <c r="K125" s="720"/>
      <c r="L125" s="720"/>
      <c r="M125" s="720"/>
      <c r="N125" s="720"/>
      <c r="O125" s="720"/>
      <c r="P125" s="720"/>
      <c r="Q125" s="720"/>
      <c r="R125" s="720"/>
      <c r="S125" s="720"/>
      <c r="T125" s="720"/>
    </row>
    <row r="126" spans="1:20">
      <c r="A126" s="720"/>
      <c r="B126" s="720"/>
      <c r="C126" s="720"/>
      <c r="D126" s="720"/>
      <c r="E126" s="720"/>
      <c r="F126" s="720"/>
      <c r="G126" s="720"/>
      <c r="H126" s="720"/>
      <c r="I126" s="720"/>
      <c r="J126" s="720"/>
      <c r="K126" s="720"/>
      <c r="L126" s="720"/>
      <c r="M126" s="720"/>
      <c r="N126" s="720"/>
      <c r="O126" s="720"/>
      <c r="P126" s="720"/>
      <c r="Q126" s="720"/>
      <c r="R126" s="720"/>
      <c r="S126" s="720"/>
      <c r="T126" s="720"/>
    </row>
    <row r="127" spans="1:20">
      <c r="A127" s="720"/>
      <c r="B127" s="720"/>
      <c r="C127" s="720"/>
      <c r="D127" s="720"/>
      <c r="E127" s="720"/>
      <c r="F127" s="720"/>
      <c r="G127" s="720"/>
      <c r="H127" s="720"/>
      <c r="I127" s="720"/>
      <c r="J127" s="720"/>
      <c r="K127" s="720"/>
      <c r="L127" s="720"/>
      <c r="M127" s="720"/>
      <c r="N127" s="720"/>
      <c r="O127" s="720"/>
      <c r="P127" s="720"/>
      <c r="Q127" s="720"/>
      <c r="R127" s="720"/>
      <c r="S127" s="720"/>
      <c r="T127" s="720"/>
    </row>
    <row r="128" spans="1:20">
      <c r="A128" s="720"/>
      <c r="B128" s="720"/>
      <c r="C128" s="720"/>
      <c r="D128" s="720"/>
      <c r="E128" s="720"/>
      <c r="F128" s="720"/>
      <c r="G128" s="720"/>
      <c r="H128" s="720"/>
      <c r="I128" s="720"/>
      <c r="J128" s="720"/>
      <c r="K128" s="720"/>
      <c r="L128" s="720"/>
      <c r="M128" s="720"/>
      <c r="N128" s="720"/>
      <c r="O128" s="720"/>
      <c r="P128" s="720"/>
      <c r="Q128" s="720"/>
      <c r="R128" s="720"/>
      <c r="S128" s="720"/>
      <c r="T128" s="720"/>
    </row>
    <row r="129" spans="1:20">
      <c r="A129" s="720"/>
      <c r="B129" s="720"/>
      <c r="C129" s="720"/>
      <c r="D129" s="720"/>
      <c r="E129" s="720"/>
      <c r="F129" s="720"/>
      <c r="G129" s="720"/>
      <c r="H129" s="720"/>
      <c r="I129" s="720"/>
      <c r="J129" s="720"/>
      <c r="K129" s="720"/>
      <c r="L129" s="720"/>
      <c r="M129" s="720"/>
      <c r="N129" s="720"/>
      <c r="O129" s="720"/>
      <c r="P129" s="720"/>
      <c r="Q129" s="720"/>
      <c r="R129" s="720"/>
      <c r="S129" s="720"/>
      <c r="T129" s="720"/>
    </row>
    <row r="130" spans="1:20">
      <c r="A130" s="720"/>
      <c r="B130" s="720"/>
      <c r="C130" s="720"/>
      <c r="D130" s="720"/>
      <c r="E130" s="720"/>
      <c r="F130" s="720"/>
      <c r="G130" s="720"/>
      <c r="H130" s="720"/>
      <c r="I130" s="720"/>
      <c r="J130" s="720"/>
      <c r="K130" s="720"/>
      <c r="L130" s="720"/>
      <c r="M130" s="720"/>
      <c r="N130" s="720"/>
      <c r="O130" s="720"/>
      <c r="P130" s="720"/>
      <c r="Q130" s="720"/>
      <c r="R130" s="720"/>
      <c r="S130" s="720"/>
      <c r="T130" s="720"/>
    </row>
    <row r="131" spans="1:20">
      <c r="A131" s="720"/>
      <c r="B131" s="720"/>
      <c r="C131" s="720"/>
      <c r="D131" s="720"/>
      <c r="E131" s="720"/>
      <c r="F131" s="720"/>
      <c r="G131" s="720"/>
      <c r="H131" s="720"/>
      <c r="I131" s="720"/>
      <c r="J131" s="720"/>
      <c r="K131" s="720"/>
      <c r="L131" s="720"/>
      <c r="M131" s="720"/>
      <c r="N131" s="720"/>
      <c r="O131" s="720"/>
      <c r="P131" s="720"/>
      <c r="Q131" s="720"/>
      <c r="R131" s="720"/>
      <c r="S131" s="720"/>
      <c r="T131" s="720"/>
    </row>
    <row r="132" spans="1:20">
      <c r="A132" s="720"/>
      <c r="B132" s="720"/>
      <c r="C132" s="720"/>
      <c r="D132" s="720"/>
      <c r="E132" s="720"/>
      <c r="F132" s="720"/>
      <c r="G132" s="720"/>
      <c r="H132" s="720"/>
      <c r="I132" s="720"/>
      <c r="J132" s="720"/>
      <c r="K132" s="720"/>
      <c r="L132" s="720"/>
      <c r="M132" s="720"/>
      <c r="N132" s="720"/>
      <c r="O132" s="720"/>
      <c r="P132" s="720"/>
      <c r="Q132" s="720"/>
      <c r="R132" s="720"/>
      <c r="S132" s="720"/>
      <c r="T132" s="720"/>
    </row>
    <row r="133" spans="1:20">
      <c r="A133" s="720"/>
      <c r="B133" s="720"/>
      <c r="C133" s="720"/>
      <c r="D133" s="720"/>
      <c r="E133" s="720"/>
      <c r="F133" s="720"/>
      <c r="G133" s="720"/>
      <c r="H133" s="720"/>
      <c r="I133" s="720"/>
      <c r="J133" s="720"/>
      <c r="K133" s="720"/>
      <c r="L133" s="720"/>
      <c r="M133" s="720"/>
      <c r="N133" s="720"/>
      <c r="O133" s="720"/>
      <c r="P133" s="720"/>
      <c r="Q133" s="720"/>
      <c r="R133" s="720"/>
      <c r="S133" s="720"/>
      <c r="T133" s="720"/>
    </row>
    <row r="134" spans="1:20">
      <c r="A134" s="720"/>
      <c r="B134" s="720"/>
      <c r="C134" s="720"/>
      <c r="D134" s="720"/>
      <c r="E134" s="720"/>
      <c r="F134" s="720"/>
      <c r="G134" s="720"/>
      <c r="H134" s="720"/>
      <c r="I134" s="720"/>
      <c r="J134" s="720"/>
      <c r="K134" s="720"/>
      <c r="L134" s="720"/>
      <c r="M134" s="720"/>
      <c r="N134" s="720"/>
      <c r="O134" s="720"/>
      <c r="P134" s="720"/>
      <c r="Q134" s="720"/>
      <c r="R134" s="720"/>
      <c r="S134" s="720"/>
      <c r="T134" s="720"/>
    </row>
    <row r="135" spans="1:20">
      <c r="A135" s="720"/>
      <c r="B135" s="720"/>
      <c r="C135" s="720"/>
      <c r="D135" s="720"/>
      <c r="E135" s="720"/>
      <c r="F135" s="720"/>
      <c r="G135" s="720"/>
      <c r="H135" s="720"/>
      <c r="I135" s="720"/>
      <c r="J135" s="720"/>
      <c r="K135" s="720"/>
      <c r="L135" s="720"/>
      <c r="M135" s="720"/>
      <c r="N135" s="720"/>
      <c r="O135" s="720"/>
      <c r="P135" s="720"/>
      <c r="Q135" s="720"/>
      <c r="R135" s="720"/>
      <c r="S135" s="720"/>
      <c r="T135" s="720"/>
    </row>
    <row r="136" spans="1:20">
      <c r="A136" s="720"/>
      <c r="B136" s="720"/>
      <c r="C136" s="720"/>
      <c r="D136" s="720"/>
      <c r="E136" s="720"/>
      <c r="F136" s="720"/>
      <c r="G136" s="720"/>
      <c r="H136" s="720"/>
      <c r="I136" s="720"/>
      <c r="J136" s="720"/>
      <c r="K136" s="720"/>
      <c r="L136" s="720"/>
      <c r="M136" s="720"/>
      <c r="N136" s="720"/>
      <c r="O136" s="720"/>
      <c r="P136" s="720"/>
      <c r="Q136" s="720"/>
      <c r="R136" s="720"/>
      <c r="S136" s="720"/>
      <c r="T136" s="720"/>
    </row>
    <row r="137" spans="1:20">
      <c r="A137" s="720"/>
      <c r="B137" s="720"/>
      <c r="C137" s="720"/>
      <c r="D137" s="720"/>
      <c r="E137" s="720"/>
      <c r="F137" s="720"/>
      <c r="G137" s="720"/>
      <c r="H137" s="720"/>
      <c r="I137" s="720"/>
      <c r="J137" s="720"/>
      <c r="K137" s="720"/>
      <c r="L137" s="720"/>
      <c r="M137" s="720"/>
      <c r="N137" s="720"/>
      <c r="O137" s="720"/>
      <c r="P137" s="720"/>
      <c r="Q137" s="720"/>
      <c r="R137" s="720"/>
      <c r="S137" s="720"/>
      <c r="T137" s="720"/>
    </row>
    <row r="138" spans="1:20">
      <c r="A138" s="720"/>
      <c r="B138" s="720"/>
      <c r="C138" s="720"/>
      <c r="D138" s="720"/>
      <c r="E138" s="720"/>
      <c r="F138" s="720"/>
      <c r="G138" s="720"/>
      <c r="H138" s="720"/>
      <c r="I138" s="720"/>
      <c r="J138" s="720"/>
      <c r="K138" s="720"/>
      <c r="L138" s="720"/>
      <c r="M138" s="720"/>
      <c r="N138" s="720"/>
      <c r="O138" s="720"/>
      <c r="P138" s="720"/>
      <c r="Q138" s="720"/>
      <c r="R138" s="720"/>
      <c r="S138" s="720"/>
      <c r="T138" s="720"/>
    </row>
    <row r="139" spans="1:20">
      <c r="A139" s="720"/>
      <c r="B139" s="720"/>
      <c r="C139" s="720"/>
      <c r="D139" s="720"/>
      <c r="E139" s="720"/>
      <c r="F139" s="720"/>
      <c r="G139" s="720"/>
      <c r="H139" s="720"/>
      <c r="I139" s="720"/>
      <c r="J139" s="720"/>
      <c r="K139" s="720"/>
      <c r="L139" s="720"/>
      <c r="M139" s="720"/>
      <c r="N139" s="720"/>
      <c r="O139" s="720"/>
      <c r="P139" s="720"/>
      <c r="Q139" s="720"/>
      <c r="R139" s="720"/>
      <c r="S139" s="720"/>
      <c r="T139" s="720"/>
    </row>
    <row r="140" spans="1:20">
      <c r="A140" s="720"/>
      <c r="B140" s="720"/>
      <c r="C140" s="720"/>
      <c r="D140" s="720"/>
      <c r="E140" s="720"/>
      <c r="F140" s="720"/>
      <c r="G140" s="720"/>
      <c r="H140" s="720"/>
      <c r="I140" s="720"/>
      <c r="J140" s="720"/>
      <c r="K140" s="720"/>
      <c r="L140" s="720"/>
      <c r="M140" s="720"/>
      <c r="N140" s="720"/>
      <c r="O140" s="720"/>
      <c r="P140" s="720"/>
      <c r="Q140" s="720"/>
      <c r="R140" s="720"/>
      <c r="S140" s="720"/>
      <c r="T140" s="720"/>
    </row>
    <row r="141" spans="1:20">
      <c r="A141" s="720"/>
      <c r="B141" s="720"/>
      <c r="C141" s="720"/>
      <c r="D141" s="720"/>
      <c r="E141" s="720"/>
      <c r="F141" s="720"/>
      <c r="G141" s="720"/>
      <c r="H141" s="720"/>
      <c r="I141" s="720"/>
      <c r="J141" s="720"/>
      <c r="K141" s="720"/>
      <c r="L141" s="720"/>
      <c r="M141" s="720"/>
      <c r="N141" s="720"/>
      <c r="O141" s="720"/>
      <c r="P141" s="720"/>
      <c r="Q141" s="720"/>
      <c r="R141" s="720"/>
      <c r="S141" s="720"/>
      <c r="T141" s="720"/>
    </row>
    <row r="142" spans="1:20">
      <c r="A142" s="720"/>
      <c r="B142" s="720"/>
      <c r="C142" s="720"/>
      <c r="D142" s="720"/>
      <c r="E142" s="720"/>
      <c r="F142" s="720"/>
      <c r="G142" s="720"/>
      <c r="H142" s="720"/>
      <c r="I142" s="720"/>
      <c r="J142" s="720"/>
      <c r="K142" s="720"/>
      <c r="L142" s="720"/>
      <c r="M142" s="720"/>
      <c r="N142" s="720"/>
      <c r="O142" s="720"/>
      <c r="P142" s="720"/>
      <c r="Q142" s="720"/>
      <c r="R142" s="720"/>
      <c r="S142" s="720"/>
      <c r="T142" s="720"/>
    </row>
    <row r="143" spans="1:20">
      <c r="A143" s="720"/>
      <c r="B143" s="720"/>
      <c r="C143" s="720"/>
      <c r="D143" s="720"/>
      <c r="E143" s="720"/>
      <c r="F143" s="720"/>
      <c r="G143" s="720"/>
      <c r="H143" s="720"/>
      <c r="I143" s="720"/>
      <c r="J143" s="720"/>
      <c r="K143" s="720"/>
      <c r="L143" s="720"/>
      <c r="M143" s="720"/>
      <c r="N143" s="720"/>
      <c r="O143" s="720"/>
      <c r="P143" s="720"/>
      <c r="Q143" s="720"/>
      <c r="R143" s="720"/>
      <c r="S143" s="720"/>
      <c r="T143" s="720"/>
    </row>
    <row r="144" spans="1:20">
      <c r="A144" s="720"/>
      <c r="B144" s="720"/>
      <c r="C144" s="720"/>
      <c r="D144" s="720"/>
      <c r="E144" s="720"/>
      <c r="F144" s="720"/>
      <c r="G144" s="720"/>
      <c r="H144" s="720"/>
      <c r="I144" s="720"/>
      <c r="J144" s="720"/>
      <c r="K144" s="720"/>
      <c r="L144" s="720"/>
      <c r="M144" s="720"/>
      <c r="N144" s="720"/>
      <c r="O144" s="720"/>
      <c r="P144" s="720"/>
      <c r="Q144" s="720"/>
      <c r="R144" s="720"/>
      <c r="S144" s="720"/>
      <c r="T144" s="720"/>
    </row>
    <row r="145" spans="1:20">
      <c r="A145" s="720"/>
      <c r="B145" s="720"/>
      <c r="C145" s="720"/>
      <c r="D145" s="720"/>
      <c r="E145" s="720"/>
      <c r="F145" s="720"/>
      <c r="G145" s="720"/>
      <c r="H145" s="720"/>
      <c r="I145" s="720"/>
      <c r="J145" s="720"/>
      <c r="K145" s="720"/>
      <c r="L145" s="720"/>
      <c r="M145" s="720"/>
      <c r="N145" s="720"/>
      <c r="O145" s="720"/>
      <c r="P145" s="720"/>
      <c r="Q145" s="720"/>
      <c r="R145" s="720"/>
      <c r="S145" s="720"/>
      <c r="T145" s="720"/>
    </row>
    <row r="146" spans="1:20">
      <c r="A146" s="720"/>
      <c r="B146" s="720"/>
      <c r="C146" s="720"/>
      <c r="D146" s="720"/>
      <c r="E146" s="720"/>
      <c r="F146" s="720"/>
      <c r="G146" s="720"/>
      <c r="H146" s="720"/>
      <c r="I146" s="720"/>
      <c r="J146" s="720"/>
      <c r="K146" s="720"/>
      <c r="L146" s="720"/>
      <c r="M146" s="720"/>
      <c r="N146" s="720"/>
      <c r="O146" s="720"/>
      <c r="P146" s="720"/>
      <c r="Q146" s="720"/>
      <c r="R146" s="720"/>
      <c r="S146" s="720"/>
      <c r="T146" s="720"/>
    </row>
    <row r="147" spans="1:20">
      <c r="A147" s="720"/>
      <c r="B147" s="720"/>
      <c r="C147" s="720"/>
      <c r="D147" s="720"/>
      <c r="E147" s="720"/>
      <c r="F147" s="720"/>
      <c r="G147" s="720"/>
      <c r="H147" s="720"/>
      <c r="I147" s="720"/>
      <c r="J147" s="720"/>
      <c r="K147" s="720"/>
      <c r="L147" s="720"/>
      <c r="M147" s="720"/>
      <c r="N147" s="720"/>
      <c r="O147" s="720"/>
      <c r="P147" s="720"/>
      <c r="Q147" s="720"/>
      <c r="R147" s="720"/>
      <c r="S147" s="720"/>
      <c r="T147" s="720"/>
    </row>
    <row r="148" spans="1:20">
      <c r="A148" s="720"/>
      <c r="B148" s="720"/>
      <c r="C148" s="720"/>
      <c r="D148" s="720"/>
      <c r="E148" s="720"/>
      <c r="F148" s="720"/>
      <c r="G148" s="720"/>
      <c r="H148" s="720"/>
      <c r="I148" s="720"/>
      <c r="J148" s="720"/>
      <c r="K148" s="720"/>
      <c r="L148" s="720"/>
      <c r="M148" s="720"/>
      <c r="N148" s="720"/>
      <c r="O148" s="720"/>
      <c r="P148" s="720"/>
      <c r="Q148" s="720"/>
      <c r="R148" s="720"/>
      <c r="S148" s="720"/>
      <c r="T148" s="720"/>
    </row>
    <row r="149" spans="1:20">
      <c r="A149" s="720"/>
      <c r="B149" s="720"/>
      <c r="C149" s="720"/>
      <c r="D149" s="720"/>
      <c r="E149" s="720"/>
      <c r="F149" s="720"/>
      <c r="G149" s="720"/>
      <c r="H149" s="720"/>
      <c r="I149" s="720"/>
      <c r="J149" s="720"/>
      <c r="K149" s="720"/>
      <c r="L149" s="720"/>
      <c r="M149" s="720"/>
      <c r="N149" s="720"/>
      <c r="O149" s="720"/>
      <c r="P149" s="720"/>
      <c r="Q149" s="720"/>
      <c r="R149" s="720"/>
      <c r="S149" s="720"/>
      <c r="T149" s="720"/>
    </row>
    <row r="150" spans="1:20">
      <c r="A150" s="720"/>
      <c r="B150" s="720"/>
      <c r="C150" s="720"/>
      <c r="D150" s="720"/>
      <c r="E150" s="720"/>
      <c r="F150" s="720"/>
      <c r="G150" s="720"/>
      <c r="H150" s="720"/>
      <c r="I150" s="720"/>
      <c r="J150" s="720"/>
      <c r="K150" s="720"/>
      <c r="L150" s="720"/>
      <c r="M150" s="720"/>
      <c r="N150" s="720"/>
      <c r="O150" s="720"/>
      <c r="P150" s="720"/>
      <c r="Q150" s="720"/>
      <c r="R150" s="720"/>
      <c r="S150" s="720"/>
      <c r="T150" s="720"/>
    </row>
    <row r="151" spans="1:20">
      <c r="A151" s="720"/>
      <c r="B151" s="720"/>
      <c r="C151" s="720"/>
      <c r="D151" s="720"/>
      <c r="E151" s="720"/>
      <c r="F151" s="720"/>
      <c r="G151" s="720"/>
      <c r="H151" s="720"/>
      <c r="I151" s="720"/>
      <c r="J151" s="720"/>
      <c r="K151" s="720"/>
      <c r="L151" s="720"/>
      <c r="M151" s="720"/>
      <c r="N151" s="720"/>
      <c r="O151" s="720"/>
      <c r="P151" s="720"/>
      <c r="Q151" s="720"/>
      <c r="R151" s="720"/>
      <c r="S151" s="720"/>
      <c r="T151" s="720"/>
    </row>
    <row r="152" spans="1:20">
      <c r="A152" s="720"/>
      <c r="B152" s="720"/>
      <c r="C152" s="720"/>
      <c r="D152" s="720"/>
      <c r="E152" s="720"/>
      <c r="F152" s="720"/>
      <c r="G152" s="720"/>
      <c r="H152" s="720"/>
      <c r="I152" s="720"/>
      <c r="J152" s="720"/>
      <c r="K152" s="720"/>
      <c r="L152" s="720"/>
      <c r="M152" s="720"/>
      <c r="N152" s="720"/>
      <c r="O152" s="720"/>
      <c r="P152" s="720"/>
      <c r="Q152" s="720"/>
      <c r="R152" s="720"/>
      <c r="S152" s="720"/>
      <c r="T152" s="720"/>
    </row>
    <row r="153" spans="1:20">
      <c r="A153" s="720"/>
      <c r="B153" s="720"/>
      <c r="C153" s="720"/>
      <c r="D153" s="720"/>
      <c r="E153" s="720"/>
      <c r="F153" s="720"/>
      <c r="G153" s="720"/>
      <c r="H153" s="720"/>
      <c r="I153" s="720"/>
      <c r="J153" s="720"/>
      <c r="K153" s="720"/>
      <c r="L153" s="720"/>
      <c r="M153" s="720"/>
      <c r="N153" s="720"/>
      <c r="O153" s="720"/>
      <c r="P153" s="720"/>
      <c r="Q153" s="720"/>
      <c r="R153" s="720"/>
      <c r="S153" s="720"/>
      <c r="T153" s="720"/>
    </row>
    <row r="154" spans="1:20">
      <c r="A154" s="720"/>
      <c r="B154" s="720"/>
      <c r="C154" s="720"/>
      <c r="D154" s="720"/>
      <c r="E154" s="720"/>
      <c r="F154" s="720"/>
      <c r="G154" s="720"/>
      <c r="H154" s="720"/>
      <c r="I154" s="720"/>
      <c r="J154" s="720"/>
      <c r="K154" s="720"/>
      <c r="L154" s="720"/>
      <c r="M154" s="720"/>
      <c r="N154" s="720"/>
      <c r="O154" s="720"/>
      <c r="P154" s="720"/>
      <c r="Q154" s="720"/>
      <c r="R154" s="720"/>
      <c r="S154" s="720"/>
      <c r="T154" s="720"/>
    </row>
    <row r="155" spans="1:20">
      <c r="A155" s="720"/>
      <c r="B155" s="720"/>
      <c r="C155" s="720"/>
      <c r="D155" s="720"/>
      <c r="E155" s="720"/>
      <c r="F155" s="720"/>
      <c r="G155" s="720"/>
      <c r="H155" s="720"/>
      <c r="I155" s="720"/>
      <c r="J155" s="720"/>
      <c r="K155" s="720"/>
      <c r="L155" s="720"/>
      <c r="M155" s="720"/>
      <c r="N155" s="720"/>
      <c r="O155" s="720"/>
      <c r="P155" s="720"/>
      <c r="Q155" s="720"/>
      <c r="R155" s="720"/>
      <c r="S155" s="720"/>
      <c r="T155" s="720"/>
    </row>
    <row r="156" spans="1:20">
      <c r="A156" s="720"/>
      <c r="B156" s="720"/>
      <c r="C156" s="720"/>
      <c r="D156" s="720"/>
      <c r="E156" s="720"/>
      <c r="F156" s="720"/>
      <c r="G156" s="720"/>
      <c r="H156" s="720"/>
      <c r="I156" s="720"/>
      <c r="J156" s="720"/>
      <c r="K156" s="720"/>
      <c r="L156" s="720"/>
      <c r="M156" s="720"/>
      <c r="N156" s="720"/>
      <c r="O156" s="720"/>
      <c r="P156" s="720"/>
      <c r="Q156" s="720"/>
      <c r="R156" s="720"/>
      <c r="S156" s="720"/>
      <c r="T156" s="720"/>
    </row>
    <row r="157" spans="1:20">
      <c r="A157" s="720"/>
      <c r="B157" s="720"/>
      <c r="C157" s="720"/>
      <c r="D157" s="720"/>
      <c r="E157" s="720"/>
      <c r="F157" s="720"/>
      <c r="G157" s="720"/>
      <c r="H157" s="720"/>
      <c r="I157" s="720"/>
      <c r="J157" s="720"/>
      <c r="K157" s="720"/>
      <c r="L157" s="720"/>
      <c r="M157" s="720"/>
      <c r="N157" s="720"/>
      <c r="O157" s="720"/>
      <c r="P157" s="720"/>
      <c r="Q157" s="720"/>
      <c r="R157" s="720"/>
      <c r="S157" s="720"/>
      <c r="T157" s="720"/>
    </row>
    <row r="158" spans="1:20">
      <c r="A158" s="720"/>
      <c r="B158" s="720"/>
      <c r="C158" s="720"/>
      <c r="D158" s="720"/>
      <c r="E158" s="720"/>
      <c r="F158" s="720"/>
      <c r="G158" s="720"/>
      <c r="H158" s="720"/>
      <c r="I158" s="720"/>
      <c r="J158" s="720"/>
      <c r="K158" s="720"/>
      <c r="L158" s="720"/>
      <c r="M158" s="720"/>
      <c r="N158" s="720"/>
      <c r="O158" s="720"/>
      <c r="P158" s="720"/>
      <c r="Q158" s="720"/>
      <c r="R158" s="720"/>
      <c r="S158" s="720"/>
      <c r="T158" s="720"/>
    </row>
    <row r="159" spans="1:20">
      <c r="A159" s="720"/>
      <c r="B159" s="720"/>
      <c r="C159" s="720"/>
      <c r="D159" s="720"/>
      <c r="E159" s="720"/>
      <c r="F159" s="720"/>
      <c r="G159" s="720"/>
      <c r="H159" s="720"/>
      <c r="I159" s="720"/>
      <c r="J159" s="720"/>
      <c r="K159" s="720"/>
      <c r="L159" s="720"/>
      <c r="M159" s="720"/>
      <c r="N159" s="720"/>
      <c r="O159" s="720"/>
      <c r="P159" s="720"/>
      <c r="Q159" s="720"/>
      <c r="R159" s="720"/>
      <c r="S159" s="720"/>
      <c r="T159" s="720"/>
    </row>
    <row r="160" spans="1:20">
      <c r="A160" s="720"/>
      <c r="B160" s="720"/>
      <c r="C160" s="720"/>
      <c r="D160" s="720"/>
      <c r="E160" s="720"/>
      <c r="F160" s="720"/>
      <c r="G160" s="720"/>
      <c r="H160" s="720"/>
      <c r="I160" s="720"/>
      <c r="J160" s="720"/>
      <c r="K160" s="720"/>
      <c r="L160" s="720"/>
      <c r="M160" s="720"/>
      <c r="N160" s="720"/>
      <c r="O160" s="720"/>
      <c r="P160" s="720"/>
      <c r="Q160" s="720"/>
      <c r="R160" s="720"/>
      <c r="S160" s="720"/>
      <c r="T160" s="720"/>
    </row>
    <row r="161" spans="1:20">
      <c r="A161" s="720"/>
      <c r="B161" s="720"/>
      <c r="C161" s="720"/>
      <c r="D161" s="720"/>
      <c r="E161" s="720"/>
      <c r="F161" s="720"/>
      <c r="G161" s="720"/>
      <c r="H161" s="720"/>
      <c r="I161" s="720"/>
      <c r="J161" s="720"/>
      <c r="K161" s="720"/>
      <c r="L161" s="720"/>
      <c r="M161" s="720"/>
      <c r="N161" s="720"/>
      <c r="O161" s="720"/>
      <c r="P161" s="720"/>
      <c r="Q161" s="720"/>
      <c r="R161" s="720"/>
      <c r="S161" s="720"/>
      <c r="T161" s="720"/>
    </row>
    <row r="162" spans="1:20">
      <c r="A162" s="720"/>
      <c r="B162" s="720"/>
      <c r="C162" s="720"/>
      <c r="D162" s="720"/>
      <c r="E162" s="720"/>
      <c r="F162" s="720"/>
      <c r="G162" s="720"/>
      <c r="H162" s="720"/>
      <c r="I162" s="720"/>
      <c r="J162" s="720"/>
      <c r="K162" s="720"/>
      <c r="L162" s="720"/>
      <c r="M162" s="720"/>
      <c r="N162" s="720"/>
      <c r="O162" s="720"/>
      <c r="P162" s="720"/>
      <c r="Q162" s="720"/>
      <c r="R162" s="720"/>
      <c r="S162" s="720"/>
      <c r="T162" s="720"/>
    </row>
    <row r="163" spans="1:20">
      <c r="A163" s="720"/>
      <c r="B163" s="720"/>
      <c r="C163" s="720"/>
      <c r="D163" s="720"/>
      <c r="E163" s="720"/>
      <c r="F163" s="720"/>
      <c r="G163" s="720"/>
      <c r="H163" s="720"/>
      <c r="I163" s="720"/>
      <c r="J163" s="720"/>
      <c r="K163" s="720"/>
      <c r="L163" s="720"/>
      <c r="M163" s="720"/>
      <c r="N163" s="720"/>
      <c r="O163" s="720"/>
      <c r="P163" s="720"/>
      <c r="Q163" s="720"/>
      <c r="R163" s="720"/>
      <c r="S163" s="720"/>
      <c r="T163" s="720"/>
    </row>
    <row r="164" spans="1:20">
      <c r="A164" s="720"/>
      <c r="B164" s="720"/>
      <c r="C164" s="720"/>
      <c r="D164" s="720"/>
      <c r="E164" s="720"/>
      <c r="F164" s="720"/>
      <c r="G164" s="720"/>
      <c r="H164" s="720"/>
      <c r="I164" s="720"/>
      <c r="J164" s="720"/>
      <c r="K164" s="720"/>
      <c r="L164" s="720"/>
      <c r="M164" s="720"/>
      <c r="N164" s="720"/>
      <c r="O164" s="720"/>
      <c r="P164" s="720"/>
      <c r="Q164" s="720"/>
      <c r="R164" s="720"/>
      <c r="S164" s="720"/>
      <c r="T164" s="720"/>
    </row>
    <row r="165" spans="1:20">
      <c r="A165" s="720"/>
      <c r="B165" s="720"/>
      <c r="C165" s="720"/>
      <c r="D165" s="720"/>
      <c r="E165" s="720"/>
      <c r="F165" s="720"/>
      <c r="G165" s="720"/>
      <c r="H165" s="720"/>
      <c r="I165" s="720"/>
      <c r="J165" s="720"/>
      <c r="K165" s="720"/>
      <c r="L165" s="720"/>
      <c r="M165" s="720"/>
      <c r="N165" s="720"/>
      <c r="O165" s="720"/>
      <c r="P165" s="720"/>
      <c r="Q165" s="720"/>
      <c r="R165" s="720"/>
      <c r="S165" s="720"/>
      <c r="T165" s="720"/>
    </row>
    <row r="166" spans="1:20">
      <c r="A166" s="720"/>
      <c r="B166" s="720"/>
      <c r="C166" s="720"/>
      <c r="D166" s="720"/>
      <c r="E166" s="720"/>
      <c r="F166" s="720"/>
      <c r="G166" s="720"/>
      <c r="H166" s="720"/>
      <c r="I166" s="720"/>
      <c r="J166" s="720"/>
      <c r="K166" s="720"/>
      <c r="L166" s="720"/>
      <c r="M166" s="720"/>
      <c r="N166" s="720"/>
      <c r="O166" s="720"/>
      <c r="P166" s="720"/>
      <c r="Q166" s="720"/>
      <c r="R166" s="720"/>
      <c r="S166" s="720"/>
      <c r="T166" s="720"/>
    </row>
    <row r="167" spans="1:20">
      <c r="A167" s="720"/>
      <c r="B167" s="720"/>
      <c r="C167" s="720"/>
      <c r="D167" s="720"/>
      <c r="E167" s="720"/>
      <c r="F167" s="720"/>
      <c r="G167" s="720"/>
      <c r="H167" s="720"/>
      <c r="I167" s="720"/>
      <c r="J167" s="720"/>
      <c r="K167" s="720"/>
      <c r="L167" s="720"/>
      <c r="M167" s="720"/>
      <c r="N167" s="720"/>
      <c r="O167" s="720"/>
      <c r="P167" s="720"/>
      <c r="Q167" s="720"/>
      <c r="R167" s="720"/>
      <c r="S167" s="720"/>
      <c r="T167" s="720"/>
    </row>
    <row r="168" spans="1:20">
      <c r="A168" s="720"/>
      <c r="B168" s="720"/>
      <c r="C168" s="720"/>
      <c r="D168" s="720"/>
      <c r="E168" s="720"/>
      <c r="F168" s="720"/>
      <c r="G168" s="720"/>
      <c r="H168" s="720"/>
      <c r="I168" s="720"/>
      <c r="J168" s="720"/>
      <c r="K168" s="720"/>
      <c r="L168" s="720"/>
      <c r="M168" s="720"/>
      <c r="N168" s="720"/>
      <c r="O168" s="720"/>
      <c r="P168" s="720"/>
      <c r="Q168" s="720"/>
      <c r="R168" s="720"/>
      <c r="S168" s="720"/>
      <c r="T168" s="720"/>
    </row>
    <row r="169" spans="1:20">
      <c r="A169" s="720"/>
      <c r="B169" s="720"/>
      <c r="C169" s="720"/>
      <c r="D169" s="720"/>
      <c r="E169" s="720"/>
      <c r="F169" s="720"/>
      <c r="G169" s="720"/>
      <c r="H169" s="720"/>
      <c r="I169" s="720"/>
      <c r="J169" s="720"/>
      <c r="K169" s="720"/>
      <c r="L169" s="720"/>
      <c r="M169" s="720"/>
      <c r="N169" s="720"/>
      <c r="O169" s="720"/>
      <c r="P169" s="720"/>
      <c r="Q169" s="720"/>
      <c r="R169" s="720"/>
      <c r="S169" s="720"/>
      <c r="T169" s="720"/>
    </row>
    <row r="170" spans="1:20">
      <c r="A170" s="720"/>
      <c r="B170" s="720"/>
      <c r="C170" s="720"/>
      <c r="D170" s="720"/>
      <c r="E170" s="720"/>
      <c r="F170" s="720"/>
      <c r="G170" s="720"/>
      <c r="H170" s="720"/>
      <c r="I170" s="720"/>
      <c r="J170" s="720"/>
      <c r="K170" s="720"/>
      <c r="L170" s="720"/>
      <c r="M170" s="720"/>
      <c r="N170" s="720"/>
      <c r="O170" s="720"/>
      <c r="P170" s="720"/>
      <c r="Q170" s="720"/>
      <c r="R170" s="720"/>
      <c r="S170" s="720"/>
      <c r="T170" s="720"/>
    </row>
    <row r="171" spans="1:20">
      <c r="A171" s="720"/>
      <c r="B171" s="720"/>
      <c r="C171" s="720"/>
      <c r="D171" s="720"/>
      <c r="E171" s="720"/>
      <c r="F171" s="720"/>
      <c r="G171" s="720"/>
      <c r="H171" s="720"/>
      <c r="I171" s="720"/>
      <c r="J171" s="720"/>
      <c r="K171" s="720"/>
      <c r="L171" s="720"/>
      <c r="M171" s="720"/>
      <c r="N171" s="720"/>
      <c r="O171" s="720"/>
      <c r="P171" s="720"/>
      <c r="Q171" s="720"/>
      <c r="R171" s="720"/>
      <c r="S171" s="720"/>
      <c r="T171" s="720"/>
    </row>
    <row r="172" spans="1:20">
      <c r="A172" s="720"/>
      <c r="B172" s="720"/>
      <c r="C172" s="720"/>
      <c r="D172" s="720"/>
      <c r="E172" s="720"/>
      <c r="F172" s="720"/>
      <c r="G172" s="720"/>
      <c r="H172" s="720"/>
      <c r="I172" s="720"/>
      <c r="J172" s="720"/>
      <c r="K172" s="720"/>
      <c r="L172" s="720"/>
      <c r="M172" s="720"/>
      <c r="N172" s="720"/>
      <c r="O172" s="720"/>
      <c r="P172" s="720"/>
      <c r="Q172" s="720"/>
      <c r="R172" s="720"/>
      <c r="S172" s="720"/>
      <c r="T172" s="720"/>
    </row>
    <row r="173" spans="1:20">
      <c r="A173" s="720"/>
      <c r="B173" s="720"/>
      <c r="C173" s="720"/>
      <c r="D173" s="720"/>
      <c r="E173" s="720"/>
      <c r="F173" s="720"/>
      <c r="G173" s="720"/>
      <c r="H173" s="720"/>
      <c r="I173" s="720"/>
      <c r="J173" s="720"/>
      <c r="K173" s="720"/>
      <c r="L173" s="720"/>
      <c r="M173" s="720"/>
      <c r="N173" s="720"/>
      <c r="O173" s="720"/>
      <c r="P173" s="720"/>
      <c r="Q173" s="720"/>
      <c r="R173" s="720"/>
      <c r="S173" s="720"/>
      <c r="T173" s="720"/>
    </row>
    <row r="174" spans="1:20">
      <c r="A174" s="720"/>
      <c r="B174" s="720"/>
      <c r="C174" s="720"/>
      <c r="D174" s="720"/>
      <c r="E174" s="720"/>
      <c r="F174" s="720"/>
      <c r="G174" s="720"/>
      <c r="H174" s="720"/>
      <c r="I174" s="720"/>
      <c r="J174" s="720"/>
      <c r="K174" s="720"/>
      <c r="L174" s="720"/>
      <c r="M174" s="720"/>
      <c r="N174" s="720"/>
      <c r="O174" s="720"/>
      <c r="P174" s="720"/>
      <c r="Q174" s="720"/>
      <c r="R174" s="720"/>
      <c r="S174" s="720"/>
      <c r="T174" s="720"/>
    </row>
    <row r="175" spans="1:20">
      <c r="A175" s="720"/>
      <c r="B175" s="720"/>
      <c r="C175" s="720"/>
      <c r="D175" s="720"/>
      <c r="E175" s="720"/>
      <c r="F175" s="720"/>
      <c r="G175" s="720"/>
      <c r="H175" s="720"/>
      <c r="I175" s="720"/>
      <c r="J175" s="720"/>
      <c r="K175" s="720"/>
      <c r="L175" s="720"/>
      <c r="M175" s="720"/>
      <c r="N175" s="720"/>
      <c r="O175" s="720"/>
      <c r="P175" s="720"/>
      <c r="Q175" s="720"/>
      <c r="R175" s="720"/>
      <c r="S175" s="720"/>
      <c r="T175" s="720"/>
    </row>
    <row r="176" spans="1:20">
      <c r="A176" s="720"/>
      <c r="B176" s="720"/>
      <c r="C176" s="720"/>
      <c r="D176" s="720"/>
      <c r="E176" s="720"/>
      <c r="F176" s="720"/>
      <c r="G176" s="720"/>
      <c r="H176" s="720"/>
      <c r="I176" s="720"/>
      <c r="J176" s="720"/>
      <c r="K176" s="720"/>
      <c r="L176" s="720"/>
      <c r="M176" s="720"/>
      <c r="N176" s="720"/>
      <c r="O176" s="720"/>
      <c r="P176" s="720"/>
      <c r="Q176" s="720"/>
      <c r="R176" s="720"/>
      <c r="S176" s="720"/>
      <c r="T176" s="720"/>
    </row>
    <row r="177" spans="1:20">
      <c r="A177" s="720"/>
      <c r="B177" s="720"/>
      <c r="C177" s="720"/>
      <c r="D177" s="720"/>
      <c r="E177" s="720"/>
      <c r="F177" s="720"/>
      <c r="G177" s="720"/>
      <c r="H177" s="720"/>
      <c r="I177" s="720"/>
      <c r="J177" s="720"/>
      <c r="K177" s="720"/>
      <c r="L177" s="720"/>
      <c r="M177" s="720"/>
      <c r="N177" s="720"/>
      <c r="O177" s="720"/>
      <c r="P177" s="720"/>
      <c r="Q177" s="720"/>
      <c r="R177" s="720"/>
      <c r="S177" s="720"/>
      <c r="T177" s="720"/>
    </row>
    <row r="178" spans="1:20">
      <c r="A178" s="720"/>
      <c r="B178" s="720"/>
      <c r="C178" s="720"/>
      <c r="D178" s="720"/>
      <c r="E178" s="720"/>
      <c r="F178" s="720"/>
      <c r="G178" s="720"/>
      <c r="H178" s="720"/>
      <c r="I178" s="720"/>
      <c r="J178" s="720"/>
      <c r="K178" s="720"/>
      <c r="L178" s="720"/>
      <c r="M178" s="720"/>
      <c r="N178" s="720"/>
      <c r="O178" s="720"/>
      <c r="P178" s="720"/>
      <c r="Q178" s="720"/>
      <c r="R178" s="720"/>
      <c r="S178" s="720"/>
      <c r="T178" s="720"/>
    </row>
    <row r="179" spans="1:20">
      <c r="A179" s="720"/>
      <c r="B179" s="720"/>
      <c r="C179" s="720"/>
      <c r="D179" s="720"/>
      <c r="E179" s="720"/>
      <c r="F179" s="720"/>
      <c r="G179" s="720"/>
      <c r="H179" s="720"/>
      <c r="I179" s="720"/>
      <c r="J179" s="720"/>
      <c r="K179" s="720"/>
      <c r="L179" s="720"/>
      <c r="M179" s="720"/>
      <c r="N179" s="720"/>
      <c r="O179" s="720"/>
      <c r="P179" s="720"/>
      <c r="Q179" s="720"/>
      <c r="R179" s="720"/>
      <c r="S179" s="720"/>
      <c r="T179" s="720"/>
    </row>
    <row r="180" spans="1:20">
      <c r="A180" s="720"/>
      <c r="B180" s="720"/>
      <c r="C180" s="720"/>
      <c r="D180" s="720"/>
      <c r="E180" s="720"/>
      <c r="F180" s="720"/>
      <c r="G180" s="720"/>
      <c r="H180" s="720"/>
      <c r="I180" s="720"/>
      <c r="J180" s="720"/>
      <c r="K180" s="720"/>
      <c r="L180" s="720"/>
      <c r="M180" s="720"/>
      <c r="N180" s="720"/>
      <c r="O180" s="720"/>
      <c r="P180" s="720"/>
      <c r="Q180" s="720"/>
      <c r="R180" s="720"/>
      <c r="S180" s="720"/>
      <c r="T180" s="720"/>
    </row>
    <row r="181" spans="1:20">
      <c r="A181" s="720"/>
      <c r="B181" s="720"/>
      <c r="C181" s="720"/>
      <c r="D181" s="720"/>
      <c r="E181" s="720"/>
      <c r="F181" s="720"/>
      <c r="G181" s="720"/>
      <c r="H181" s="720"/>
      <c r="I181" s="720"/>
      <c r="J181" s="720"/>
      <c r="K181" s="720"/>
      <c r="L181" s="720"/>
      <c r="M181" s="720"/>
      <c r="N181" s="720"/>
      <c r="O181" s="720"/>
      <c r="P181" s="720"/>
      <c r="Q181" s="720"/>
      <c r="R181" s="720"/>
      <c r="S181" s="720"/>
      <c r="T181" s="720"/>
    </row>
    <row r="182" spans="1:20">
      <c r="A182" s="720"/>
      <c r="B182" s="720"/>
      <c r="C182" s="720"/>
      <c r="D182" s="720"/>
      <c r="E182" s="720"/>
      <c r="F182" s="720"/>
      <c r="G182" s="720"/>
      <c r="H182" s="720"/>
      <c r="I182" s="720"/>
      <c r="J182" s="720"/>
      <c r="K182" s="720"/>
      <c r="L182" s="720"/>
      <c r="M182" s="720"/>
      <c r="N182" s="720"/>
      <c r="O182" s="720"/>
      <c r="P182" s="720"/>
      <c r="Q182" s="720"/>
      <c r="R182" s="720"/>
      <c r="S182" s="720"/>
      <c r="T182" s="720"/>
    </row>
    <row r="183" spans="1:20">
      <c r="A183" s="720"/>
      <c r="B183" s="720"/>
      <c r="C183" s="720"/>
      <c r="D183" s="720"/>
      <c r="E183" s="720"/>
      <c r="F183" s="720"/>
      <c r="G183" s="720"/>
      <c r="H183" s="720"/>
      <c r="I183" s="720"/>
      <c r="J183" s="720"/>
      <c r="K183" s="720"/>
      <c r="L183" s="720"/>
      <c r="M183" s="720"/>
      <c r="N183" s="720"/>
      <c r="O183" s="720"/>
      <c r="P183" s="720"/>
      <c r="Q183" s="720"/>
      <c r="R183" s="720"/>
      <c r="S183" s="720"/>
      <c r="T183" s="720"/>
    </row>
    <row r="184" spans="1:20">
      <c r="A184" s="720"/>
      <c r="B184" s="720"/>
      <c r="C184" s="720"/>
      <c r="D184" s="720"/>
      <c r="E184" s="720"/>
      <c r="F184" s="720"/>
      <c r="G184" s="720"/>
      <c r="H184" s="720"/>
      <c r="I184" s="720"/>
      <c r="J184" s="720"/>
      <c r="K184" s="720"/>
      <c r="L184" s="720"/>
      <c r="M184" s="720"/>
      <c r="N184" s="720"/>
      <c r="O184" s="720"/>
      <c r="P184" s="720"/>
      <c r="Q184" s="720"/>
      <c r="R184" s="720"/>
      <c r="S184" s="720"/>
      <c r="T184" s="720"/>
    </row>
    <row r="185" spans="1:20">
      <c r="A185" s="720"/>
      <c r="B185" s="720"/>
      <c r="C185" s="720"/>
      <c r="D185" s="720"/>
      <c r="E185" s="720"/>
      <c r="F185" s="720"/>
      <c r="G185" s="720"/>
      <c r="H185" s="720"/>
      <c r="I185" s="720"/>
      <c r="J185" s="720"/>
      <c r="K185" s="720"/>
      <c r="L185" s="720"/>
      <c r="M185" s="720"/>
      <c r="N185" s="720"/>
      <c r="O185" s="720"/>
      <c r="P185" s="720"/>
      <c r="Q185" s="720"/>
      <c r="R185" s="720"/>
      <c r="S185" s="720"/>
      <c r="T185" s="720"/>
    </row>
    <row r="186" spans="1:20">
      <c r="A186" s="720"/>
      <c r="B186" s="720"/>
      <c r="C186" s="720"/>
      <c r="D186" s="720"/>
      <c r="E186" s="720"/>
      <c r="F186" s="720"/>
      <c r="G186" s="720"/>
      <c r="H186" s="720"/>
      <c r="I186" s="720"/>
      <c r="J186" s="720"/>
      <c r="K186" s="720"/>
      <c r="L186" s="720"/>
      <c r="M186" s="720"/>
      <c r="N186" s="720"/>
      <c r="O186" s="720"/>
      <c r="P186" s="720"/>
      <c r="Q186" s="720"/>
      <c r="R186" s="720"/>
      <c r="S186" s="720"/>
      <c r="T186" s="720"/>
    </row>
    <row r="187" spans="1:20">
      <c r="A187" s="720"/>
      <c r="B187" s="720"/>
      <c r="C187" s="720"/>
      <c r="D187" s="720"/>
      <c r="E187" s="720"/>
      <c r="F187" s="720"/>
      <c r="G187" s="720"/>
      <c r="H187" s="720"/>
      <c r="I187" s="720"/>
      <c r="J187" s="720"/>
      <c r="K187" s="720"/>
      <c r="L187" s="720"/>
      <c r="M187" s="720"/>
      <c r="N187" s="720"/>
      <c r="O187" s="720"/>
      <c r="P187" s="720"/>
      <c r="Q187" s="720"/>
      <c r="R187" s="720"/>
      <c r="S187" s="720"/>
      <c r="T187" s="720"/>
    </row>
    <row r="188" spans="1:20">
      <c r="A188" s="720"/>
      <c r="B188" s="720"/>
      <c r="C188" s="720"/>
      <c r="D188" s="720"/>
      <c r="E188" s="720"/>
      <c r="F188" s="720"/>
      <c r="G188" s="720"/>
      <c r="H188" s="720"/>
      <c r="I188" s="720"/>
      <c r="J188" s="720"/>
      <c r="K188" s="720"/>
      <c r="L188" s="720"/>
      <c r="M188" s="720"/>
      <c r="N188" s="720"/>
      <c r="O188" s="720"/>
      <c r="P188" s="720"/>
      <c r="Q188" s="720"/>
      <c r="R188" s="720"/>
      <c r="S188" s="720"/>
      <c r="T188" s="720"/>
    </row>
    <row r="189" spans="1:20">
      <c r="A189" s="720"/>
      <c r="B189" s="720"/>
      <c r="C189" s="720"/>
      <c r="D189" s="720"/>
      <c r="E189" s="720"/>
      <c r="F189" s="720"/>
      <c r="G189" s="720"/>
      <c r="H189" s="720"/>
      <c r="I189" s="720"/>
      <c r="J189" s="720"/>
      <c r="K189" s="720"/>
      <c r="L189" s="720"/>
      <c r="M189" s="720"/>
      <c r="N189" s="720"/>
      <c r="O189" s="720"/>
      <c r="P189" s="720"/>
      <c r="Q189" s="720"/>
      <c r="R189" s="720"/>
      <c r="S189" s="720"/>
      <c r="T189" s="720"/>
    </row>
    <row r="190" spans="1:20">
      <c r="A190" s="720"/>
      <c r="B190" s="720"/>
      <c r="C190" s="720"/>
      <c r="D190" s="720"/>
      <c r="E190" s="720"/>
      <c r="F190" s="720"/>
      <c r="G190" s="720"/>
      <c r="H190" s="720"/>
      <c r="I190" s="720"/>
      <c r="J190" s="720"/>
      <c r="K190" s="720"/>
      <c r="L190" s="720"/>
      <c r="M190" s="720"/>
      <c r="N190" s="720"/>
      <c r="O190" s="720"/>
      <c r="P190" s="720"/>
      <c r="Q190" s="720"/>
      <c r="R190" s="720"/>
      <c r="S190" s="720"/>
      <c r="T190" s="720"/>
    </row>
    <row r="191" spans="1:20">
      <c r="A191" s="720"/>
      <c r="B191" s="720"/>
      <c r="C191" s="720"/>
      <c r="D191" s="720"/>
      <c r="E191" s="720"/>
      <c r="F191" s="720"/>
      <c r="G191" s="720"/>
      <c r="H191" s="720"/>
      <c r="I191" s="720"/>
      <c r="J191" s="720"/>
      <c r="K191" s="720"/>
      <c r="L191" s="720"/>
      <c r="M191" s="720"/>
      <c r="N191" s="720"/>
      <c r="O191" s="720"/>
      <c r="P191" s="720"/>
      <c r="Q191" s="720"/>
      <c r="R191" s="720"/>
      <c r="S191" s="720"/>
      <c r="T191" s="720"/>
    </row>
    <row r="192" spans="1:20">
      <c r="A192" s="720"/>
      <c r="B192" s="720"/>
      <c r="C192" s="720"/>
      <c r="D192" s="720"/>
      <c r="E192" s="720"/>
      <c r="F192" s="720"/>
      <c r="G192" s="720"/>
      <c r="H192" s="720"/>
      <c r="I192" s="720"/>
      <c r="J192" s="720"/>
      <c r="K192" s="720"/>
      <c r="L192" s="720"/>
      <c r="M192" s="720"/>
      <c r="N192" s="720"/>
      <c r="O192" s="720"/>
      <c r="P192" s="720"/>
      <c r="Q192" s="720"/>
      <c r="R192" s="720"/>
      <c r="S192" s="720"/>
      <c r="T192" s="720"/>
    </row>
    <row r="193" spans="1:20">
      <c r="A193" s="720"/>
      <c r="B193" s="720"/>
      <c r="C193" s="720"/>
      <c r="D193" s="720"/>
      <c r="E193" s="720"/>
      <c r="F193" s="720"/>
      <c r="G193" s="720"/>
      <c r="H193" s="720"/>
      <c r="I193" s="720"/>
      <c r="J193" s="720"/>
      <c r="K193" s="720"/>
      <c r="L193" s="720"/>
      <c r="M193" s="720"/>
      <c r="N193" s="720"/>
      <c r="O193" s="720"/>
      <c r="P193" s="720"/>
      <c r="Q193" s="720"/>
      <c r="R193" s="720"/>
      <c r="S193" s="720"/>
      <c r="T193" s="720"/>
    </row>
    <row r="194" spans="1:20">
      <c r="A194" s="720"/>
      <c r="B194" s="720"/>
      <c r="C194" s="720"/>
      <c r="D194" s="720"/>
      <c r="E194" s="720"/>
      <c r="F194" s="720"/>
      <c r="G194" s="720"/>
      <c r="H194" s="720"/>
      <c r="I194" s="720"/>
      <c r="J194" s="720"/>
      <c r="K194" s="720"/>
      <c r="L194" s="720"/>
      <c r="M194" s="720"/>
      <c r="N194" s="720"/>
      <c r="O194" s="720"/>
      <c r="P194" s="720"/>
      <c r="Q194" s="720"/>
      <c r="R194" s="720"/>
      <c r="S194" s="720"/>
      <c r="T194" s="720"/>
    </row>
    <row r="195" spans="1:20">
      <c r="A195" s="720"/>
      <c r="B195" s="720"/>
      <c r="C195" s="720"/>
      <c r="D195" s="720"/>
      <c r="E195" s="720"/>
      <c r="F195" s="720"/>
      <c r="G195" s="720"/>
      <c r="H195" s="720"/>
      <c r="I195" s="720"/>
      <c r="J195" s="720"/>
      <c r="K195" s="720"/>
      <c r="L195" s="720"/>
      <c r="M195" s="720"/>
      <c r="N195" s="720"/>
      <c r="O195" s="720"/>
      <c r="P195" s="720"/>
      <c r="Q195" s="720"/>
      <c r="R195" s="720"/>
      <c r="S195" s="720"/>
      <c r="T195" s="720"/>
    </row>
    <row r="196" spans="1:20">
      <c r="A196" s="720"/>
      <c r="B196" s="720"/>
      <c r="C196" s="720"/>
      <c r="D196" s="720"/>
      <c r="E196" s="720"/>
      <c r="F196" s="720"/>
      <c r="G196" s="720"/>
      <c r="H196" s="720"/>
      <c r="I196" s="720"/>
      <c r="J196" s="720"/>
      <c r="K196" s="720"/>
      <c r="L196" s="720"/>
      <c r="M196" s="720"/>
      <c r="N196" s="720"/>
      <c r="O196" s="720"/>
      <c r="P196" s="720"/>
      <c r="Q196" s="720"/>
      <c r="R196" s="720"/>
      <c r="S196" s="720"/>
      <c r="T196" s="720"/>
    </row>
    <row r="197" spans="1:20">
      <c r="A197" s="720"/>
      <c r="B197" s="720"/>
      <c r="C197" s="720"/>
      <c r="D197" s="720"/>
      <c r="E197" s="720"/>
      <c r="F197" s="720"/>
      <c r="G197" s="720"/>
      <c r="H197" s="720"/>
      <c r="I197" s="720"/>
      <c r="J197" s="720"/>
      <c r="K197" s="720"/>
      <c r="L197" s="720"/>
      <c r="M197" s="720"/>
      <c r="N197" s="720"/>
      <c r="O197" s="720"/>
      <c r="P197" s="720"/>
      <c r="Q197" s="720"/>
      <c r="R197" s="720"/>
      <c r="S197" s="720"/>
      <c r="T197" s="720"/>
    </row>
    <row r="198" spans="1:20">
      <c r="A198" s="720"/>
      <c r="B198" s="720"/>
      <c r="C198" s="720"/>
      <c r="D198" s="720"/>
      <c r="E198" s="720"/>
      <c r="F198" s="720"/>
      <c r="G198" s="720"/>
      <c r="H198" s="720"/>
      <c r="I198" s="720"/>
      <c r="J198" s="720"/>
      <c r="K198" s="720"/>
      <c r="L198" s="720"/>
      <c r="M198" s="720"/>
      <c r="N198" s="720"/>
      <c r="O198" s="720"/>
      <c r="P198" s="720"/>
      <c r="Q198" s="720"/>
      <c r="R198" s="720"/>
      <c r="S198" s="720"/>
      <c r="T198" s="720"/>
    </row>
    <row r="199" spans="1:20">
      <c r="A199" s="720"/>
      <c r="B199" s="720"/>
      <c r="C199" s="720"/>
      <c r="D199" s="720"/>
      <c r="E199" s="720"/>
      <c r="F199" s="720"/>
      <c r="G199" s="720"/>
      <c r="H199" s="720"/>
      <c r="I199" s="720"/>
      <c r="J199" s="720"/>
      <c r="K199" s="720"/>
      <c r="L199" s="720"/>
      <c r="M199" s="720"/>
      <c r="N199" s="720"/>
      <c r="O199" s="720"/>
      <c r="P199" s="720"/>
      <c r="Q199" s="720"/>
      <c r="R199" s="720"/>
      <c r="S199" s="720"/>
      <c r="T199" s="720"/>
    </row>
    <row r="200" spans="1:20">
      <c r="A200" s="720"/>
      <c r="B200" s="720"/>
      <c r="C200" s="720"/>
      <c r="D200" s="720"/>
      <c r="E200" s="720"/>
      <c r="F200" s="720"/>
      <c r="G200" s="720"/>
      <c r="H200" s="720"/>
      <c r="I200" s="720"/>
      <c r="J200" s="720"/>
      <c r="K200" s="720"/>
      <c r="L200" s="720"/>
      <c r="M200" s="720"/>
      <c r="N200" s="720"/>
      <c r="O200" s="720"/>
      <c r="P200" s="720"/>
      <c r="Q200" s="720"/>
      <c r="R200" s="720"/>
      <c r="S200" s="720"/>
      <c r="T200" s="720"/>
    </row>
    <row r="201" spans="1:20">
      <c r="A201" s="720"/>
      <c r="B201" s="720"/>
      <c r="C201" s="720"/>
      <c r="D201" s="720"/>
      <c r="E201" s="720"/>
      <c r="F201" s="720"/>
      <c r="G201" s="720"/>
      <c r="H201" s="720"/>
      <c r="I201" s="720"/>
      <c r="J201" s="720"/>
      <c r="K201" s="720"/>
      <c r="L201" s="720"/>
      <c r="M201" s="720"/>
      <c r="N201" s="720"/>
      <c r="O201" s="720"/>
      <c r="P201" s="720"/>
      <c r="Q201" s="720"/>
      <c r="R201" s="720"/>
      <c r="S201" s="720"/>
      <c r="T201" s="720"/>
    </row>
    <row r="202" spans="1:20">
      <c r="A202" s="720"/>
      <c r="B202" s="720"/>
      <c r="C202" s="720"/>
      <c r="D202" s="720"/>
      <c r="E202" s="720"/>
      <c r="F202" s="720"/>
      <c r="G202" s="720"/>
      <c r="H202" s="720"/>
      <c r="I202" s="720"/>
      <c r="J202" s="720"/>
      <c r="K202" s="720"/>
      <c r="L202" s="720"/>
      <c r="M202" s="720"/>
      <c r="N202" s="720"/>
      <c r="O202" s="720"/>
      <c r="P202" s="720"/>
      <c r="Q202" s="720"/>
      <c r="R202" s="720"/>
      <c r="S202" s="720"/>
      <c r="T202" s="720"/>
    </row>
    <row r="203" spans="1:20">
      <c r="A203" s="720"/>
      <c r="B203" s="720"/>
      <c r="C203" s="720"/>
      <c r="D203" s="720"/>
      <c r="E203" s="720"/>
      <c r="F203" s="720"/>
      <c r="G203" s="720"/>
      <c r="H203" s="720"/>
      <c r="I203" s="720"/>
      <c r="J203" s="720"/>
      <c r="K203" s="720"/>
      <c r="L203" s="720"/>
      <c r="M203" s="720"/>
      <c r="N203" s="720"/>
      <c r="O203" s="720"/>
      <c r="P203" s="720"/>
      <c r="Q203" s="720"/>
      <c r="R203" s="720"/>
      <c r="S203" s="720"/>
      <c r="T203" s="720"/>
    </row>
    <row r="204" spans="1:20">
      <c r="A204" s="720"/>
      <c r="B204" s="720"/>
      <c r="C204" s="720"/>
      <c r="D204" s="720"/>
      <c r="E204" s="720"/>
      <c r="F204" s="720"/>
      <c r="G204" s="720"/>
      <c r="H204" s="720"/>
      <c r="I204" s="720"/>
      <c r="J204" s="720"/>
      <c r="K204" s="720"/>
      <c r="L204" s="720"/>
      <c r="M204" s="720"/>
      <c r="N204" s="720"/>
      <c r="O204" s="720"/>
      <c r="P204" s="720"/>
      <c r="Q204" s="720"/>
      <c r="R204" s="720"/>
      <c r="S204" s="720"/>
      <c r="T204" s="720"/>
    </row>
    <row r="205" spans="1:20">
      <c r="A205" s="720"/>
      <c r="B205" s="720"/>
      <c r="C205" s="720"/>
      <c r="D205" s="720"/>
      <c r="E205" s="720"/>
      <c r="F205" s="720"/>
      <c r="G205" s="720"/>
      <c r="H205" s="720"/>
      <c r="I205" s="720"/>
      <c r="J205" s="720"/>
      <c r="K205" s="720"/>
      <c r="L205" s="720"/>
      <c r="M205" s="720"/>
      <c r="N205" s="720"/>
      <c r="O205" s="720"/>
      <c r="P205" s="720"/>
      <c r="Q205" s="720"/>
      <c r="R205" s="720"/>
      <c r="S205" s="720"/>
      <c r="T205" s="720"/>
    </row>
  </sheetData>
  <sheetProtection sheet="1" objects="1" scenarios="1"/>
  <mergeCells count="1">
    <mergeCell ref="A1:P108"/>
  </mergeCells>
  <pageMargins left="0.7" right="0.7" top="0.75" bottom="0.75" header="0.3" footer="0.3"/>
  <pageSetup paperSize="9" scale="40" fitToHeight="2"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59999389629810485"/>
    <pageSetUpPr fitToPage="1"/>
  </sheetPr>
  <dimension ref="A1:H58"/>
  <sheetViews>
    <sheetView topLeftCell="A21" workbookViewId="0">
      <selection activeCell="D40" sqref="D40"/>
    </sheetView>
  </sheetViews>
  <sheetFormatPr baseColWidth="10" defaultRowHeight="16"/>
  <cols>
    <col min="2" max="5" width="27.33203125" customWidth="1"/>
    <col min="6" max="8" width="18" customWidth="1"/>
  </cols>
  <sheetData>
    <row r="1" spans="1:8" ht="19" customHeight="1">
      <c r="A1" s="1345" t="s">
        <v>458</v>
      </c>
      <c r="B1" s="1346" t="s">
        <v>367</v>
      </c>
      <c r="C1" s="1347"/>
      <c r="D1" s="1347"/>
      <c r="E1" s="1347"/>
      <c r="F1" s="1347"/>
      <c r="G1" s="1347"/>
      <c r="H1" s="1348"/>
    </row>
    <row r="2" spans="1:8" ht="20" customHeight="1" thickBot="1">
      <c r="A2" s="1345"/>
      <c r="B2" s="1349" t="str">
        <f>"Arbejdstidsopgørelse for "&amp;Stamoplysninger!E8&amp;" vedr. perioden: "&amp;Stamoplysninger!E11&amp;" - "&amp;Stamoplysninger!G11&amp;""</f>
        <v>Arbejdstidsopgørelse for Beate Simonsen vedr. perioden: 01.08.2022 - 31.07.2023</v>
      </c>
      <c r="C2" s="1350"/>
      <c r="D2" s="1350"/>
      <c r="E2" s="1350"/>
      <c r="F2" s="1350"/>
      <c r="G2" s="1350"/>
      <c r="H2" s="1351"/>
    </row>
    <row r="3" spans="1:8" ht="35" customHeight="1">
      <c r="A3" s="1345"/>
      <c r="B3" s="509"/>
      <c r="C3" s="510" t="s">
        <v>353</v>
      </c>
      <c r="D3" s="510" t="s">
        <v>249</v>
      </c>
      <c r="E3" s="510" t="s">
        <v>407</v>
      </c>
      <c r="F3" s="515" t="s">
        <v>371</v>
      </c>
      <c r="G3" s="516" t="s">
        <v>372</v>
      </c>
      <c r="H3" s="517" t="s">
        <v>408</v>
      </c>
    </row>
    <row r="4" spans="1:8" ht="16" customHeight="1">
      <c r="A4" s="1345"/>
      <c r="B4" s="511" t="s">
        <v>277</v>
      </c>
      <c r="C4" s="460">
        <f>August!I47</f>
        <v>154.74789272030651</v>
      </c>
      <c r="D4" s="513">
        <f>August!I48+August!I50+August!I49</f>
        <v>175</v>
      </c>
      <c r="E4" s="513">
        <f>August!I52</f>
        <v>175</v>
      </c>
      <c r="F4" s="518">
        <f>August!V47</f>
        <v>0</v>
      </c>
      <c r="G4" s="461">
        <f>SUM(August!V50:W55)</f>
        <v>0</v>
      </c>
      <c r="H4" s="463">
        <f>F4-G4</f>
        <v>0</v>
      </c>
    </row>
    <row r="5" spans="1:8" ht="16" customHeight="1">
      <c r="A5" s="1345"/>
      <c r="B5" s="512" t="s">
        <v>279</v>
      </c>
      <c r="C5" s="462">
        <f>September!I45</f>
        <v>162.17624521072798</v>
      </c>
      <c r="D5" s="514">
        <f>September!I46+September!I48+September!I47</f>
        <v>215.64999999999998</v>
      </c>
      <c r="E5" s="514">
        <f>September!I50</f>
        <v>215.64999999999998</v>
      </c>
      <c r="F5" s="519">
        <f>September!V43</f>
        <v>0</v>
      </c>
      <c r="G5" s="2">
        <f>SUM(September!V48:W53)</f>
        <v>0</v>
      </c>
      <c r="H5" s="464">
        <f>H4+F5-G5</f>
        <v>0</v>
      </c>
    </row>
    <row r="6" spans="1:8" ht="16" customHeight="1">
      <c r="A6" s="1345"/>
      <c r="B6" s="511" t="s">
        <v>280</v>
      </c>
      <c r="C6" s="460">
        <f>Oktober!I46</f>
        <v>117.80459770114942</v>
      </c>
      <c r="D6" s="513">
        <f>Oktober!I47+Oktober!I49+Oktober!I48</f>
        <v>124</v>
      </c>
      <c r="E6" s="513">
        <f>Oktober!I51</f>
        <v>124</v>
      </c>
      <c r="F6" s="518">
        <f>Oktober!V44</f>
        <v>0</v>
      </c>
      <c r="G6" s="461">
        <f>Oktober!V49+Oktober!V50+Oktober!V51+Oktober!V52+Oktober!V53+Oktober!V54</f>
        <v>0</v>
      </c>
      <c r="H6" s="598">
        <f t="shared" ref="H6:H15" si="0">H5+F6-G6</f>
        <v>0</v>
      </c>
    </row>
    <row r="7" spans="1:8" ht="16" customHeight="1">
      <c r="A7" s="1345"/>
      <c r="B7" s="512" t="s">
        <v>281</v>
      </c>
      <c r="C7" s="462">
        <f>November!I45</f>
        <v>162.17624521072798</v>
      </c>
      <c r="D7" s="514">
        <f>November!I46+November!I48+November!I47</f>
        <v>172</v>
      </c>
      <c r="E7" s="514">
        <f>November!I50</f>
        <v>172</v>
      </c>
      <c r="F7" s="519">
        <f>November!V43</f>
        <v>0</v>
      </c>
      <c r="G7" s="2">
        <f>SUM(November!V48:X53)</f>
        <v>0</v>
      </c>
      <c r="H7" s="464">
        <f t="shared" si="0"/>
        <v>0</v>
      </c>
    </row>
    <row r="8" spans="1:8" ht="16" customHeight="1">
      <c r="A8" s="1345"/>
      <c r="B8" s="511" t="s">
        <v>331</v>
      </c>
      <c r="C8" s="460">
        <f>December!I46</f>
        <v>154.77624521072798</v>
      </c>
      <c r="D8" s="513">
        <f>December!I47+December!I49+December!I48</f>
        <v>117</v>
      </c>
      <c r="E8" s="513">
        <f>December!I51</f>
        <v>117</v>
      </c>
      <c r="F8" s="518">
        <f>December!V44</f>
        <v>0</v>
      </c>
      <c r="G8" s="461">
        <f>SUM(December!V49:X54)</f>
        <v>0</v>
      </c>
      <c r="H8" s="598">
        <f t="shared" si="0"/>
        <v>0</v>
      </c>
    </row>
    <row r="9" spans="1:8" ht="16" customHeight="1">
      <c r="A9" s="1345"/>
      <c r="B9" s="512" t="s">
        <v>332</v>
      </c>
      <c r="C9" s="462">
        <f>Januar!I46</f>
        <v>162.17624521072798</v>
      </c>
      <c r="D9" s="514">
        <f>Januar!I47+Januar!I49+Januar!I48</f>
        <v>163.5</v>
      </c>
      <c r="E9" s="514">
        <f>Januar!I51</f>
        <v>163.5</v>
      </c>
      <c r="F9" s="519">
        <f>Januar!V44</f>
        <v>0</v>
      </c>
      <c r="G9" s="2">
        <f>SUM(Januar!V49:X54)</f>
        <v>0</v>
      </c>
      <c r="H9" s="464">
        <f t="shared" si="0"/>
        <v>0</v>
      </c>
    </row>
    <row r="10" spans="1:8" ht="16" customHeight="1">
      <c r="A10" s="1345"/>
      <c r="B10" s="511" t="s">
        <v>333</v>
      </c>
      <c r="C10" s="460">
        <f>Februar!I43</f>
        <v>147.43295019157088</v>
      </c>
      <c r="D10" s="513">
        <f>Februar!I44+Februar!I46+Februar!I45</f>
        <v>115.5</v>
      </c>
      <c r="E10" s="513">
        <f>Februar!I48</f>
        <v>115.5</v>
      </c>
      <c r="F10" s="518">
        <f>Februar!V41</f>
        <v>0</v>
      </c>
      <c r="G10" s="461">
        <f>SUM(Februar!V46:X51)</f>
        <v>0</v>
      </c>
      <c r="H10" s="598">
        <f t="shared" si="0"/>
        <v>0</v>
      </c>
    </row>
    <row r="11" spans="1:8" ht="16" customHeight="1">
      <c r="A11" s="1345"/>
      <c r="B11" s="512" t="s">
        <v>334</v>
      </c>
      <c r="C11" s="462">
        <f>Marts!I46</f>
        <v>169.54789272030652</v>
      </c>
      <c r="D11" s="514">
        <f>Marts!I47+Marts!I49+Marts!I48</f>
        <v>176.5</v>
      </c>
      <c r="E11" s="514">
        <f>Marts!I51</f>
        <v>176.5</v>
      </c>
      <c r="F11" s="519">
        <f>Marts!V44</f>
        <v>9</v>
      </c>
      <c r="G11" s="2">
        <f>SUM(Marts!V49:X54)</f>
        <v>0</v>
      </c>
      <c r="H11" s="464">
        <f t="shared" si="0"/>
        <v>9</v>
      </c>
    </row>
    <row r="12" spans="1:8" ht="16" customHeight="1">
      <c r="A12" s="1345"/>
      <c r="B12" s="511" t="s">
        <v>335</v>
      </c>
      <c r="C12" s="460">
        <f>April!I45</f>
        <v>125.23295019157088</v>
      </c>
      <c r="D12" s="513">
        <f>April!I46+April!I48+April!I47</f>
        <v>113.5</v>
      </c>
      <c r="E12" s="513">
        <f>April!I50</f>
        <v>113.5</v>
      </c>
      <c r="F12" s="518">
        <f>April!V43</f>
        <v>0</v>
      </c>
      <c r="G12" s="461">
        <f>SUM(April!V48:X53)</f>
        <v>0</v>
      </c>
      <c r="H12" s="598">
        <f t="shared" si="0"/>
        <v>9</v>
      </c>
    </row>
    <row r="13" spans="1:8" ht="16" customHeight="1">
      <c r="A13" s="1345"/>
      <c r="B13" s="512" t="s">
        <v>336</v>
      </c>
      <c r="C13" s="462">
        <f>Maj!I46</f>
        <v>147.3478927203065</v>
      </c>
      <c r="D13" s="514">
        <f>Maj!I47+Maj!I49+Maj!I48</f>
        <v>149</v>
      </c>
      <c r="E13" s="514">
        <f>Maj!I51</f>
        <v>149</v>
      </c>
      <c r="F13" s="519">
        <f>Maj!V44</f>
        <v>0</v>
      </c>
      <c r="G13" s="2">
        <f>SUM(Maj!V49:X54)</f>
        <v>0</v>
      </c>
      <c r="H13" s="464">
        <f t="shared" si="0"/>
        <v>9</v>
      </c>
    </row>
    <row r="14" spans="1:8" ht="16" customHeight="1">
      <c r="A14" s="1345"/>
      <c r="B14" s="511" t="s">
        <v>337</v>
      </c>
      <c r="C14" s="460">
        <f>Juni!I45</f>
        <v>162.17624521072798</v>
      </c>
      <c r="D14" s="513">
        <f>Juni!I46+Juni!I48+Juni!I47</f>
        <v>165.32999999999998</v>
      </c>
      <c r="E14" s="513">
        <f>Juni!I50</f>
        <v>165.32999999999998</v>
      </c>
      <c r="F14" s="518">
        <f>Juni!V43</f>
        <v>0</v>
      </c>
      <c r="G14" s="461">
        <f>SUM(Juni!V48:X53)</f>
        <v>0</v>
      </c>
      <c r="H14" s="598">
        <f t="shared" si="0"/>
        <v>9</v>
      </c>
    </row>
    <row r="15" spans="1:8" ht="17" customHeight="1" thickBot="1">
      <c r="A15" s="1345"/>
      <c r="B15" s="520" t="s">
        <v>338</v>
      </c>
      <c r="C15" s="521">
        <f>Juli!I46</f>
        <v>21.604597701149402</v>
      </c>
      <c r="D15" s="522">
        <f>Juli!I47+Juli!I49+Juli!I48</f>
        <v>0</v>
      </c>
      <c r="E15" s="522">
        <f>Juli!I51</f>
        <v>0</v>
      </c>
      <c r="F15" s="523">
        <f>Juli!V44</f>
        <v>0</v>
      </c>
      <c r="G15" s="524">
        <f>SUM(Juli!V49:X54)</f>
        <v>0</v>
      </c>
      <c r="H15" s="591">
        <f t="shared" si="0"/>
        <v>9</v>
      </c>
    </row>
    <row r="16" spans="1:8" ht="17" customHeight="1" thickBot="1">
      <c r="A16" s="1345"/>
      <c r="B16" s="671" t="s">
        <v>186</v>
      </c>
      <c r="C16" s="672">
        <f>SUM(C4:C15)</f>
        <v>1687.2</v>
      </c>
      <c r="D16" s="672">
        <f>SUM(D4:D15)</f>
        <v>1686.98</v>
      </c>
      <c r="E16" s="673">
        <f>SUM(E4:E15)</f>
        <v>1686.98</v>
      </c>
      <c r="F16" s="674">
        <f t="shared" ref="F16:G16" si="1">SUM(F4:F15)</f>
        <v>9</v>
      </c>
      <c r="G16" s="674">
        <f t="shared" si="1"/>
        <v>0</v>
      </c>
      <c r="H16" s="675">
        <f>H15</f>
        <v>9</v>
      </c>
    </row>
    <row r="17" spans="1:8">
      <c r="A17" s="1345"/>
      <c r="B17" s="1352" t="s">
        <v>432</v>
      </c>
      <c r="C17" s="1353"/>
      <c r="D17" s="1353"/>
      <c r="E17" s="667">
        <f>IF(C16&gt;E16,(E16-C16),0)</f>
        <v>-0.22000000000002728</v>
      </c>
      <c r="F17" s="1354"/>
      <c r="G17" s="1354"/>
      <c r="H17" s="1355"/>
    </row>
    <row r="18" spans="1:8">
      <c r="A18" s="1345"/>
      <c r="B18" s="1339" t="s">
        <v>434</v>
      </c>
      <c r="C18" s="1340"/>
      <c r="D18" s="1340"/>
      <c r="E18" s="460">
        <f>IF(E16&gt;C16,(E16-C16),0)</f>
        <v>0</v>
      </c>
      <c r="F18" s="1341"/>
      <c r="G18" s="1341"/>
      <c r="H18" s="1342"/>
    </row>
    <row r="19" spans="1:8" ht="17" thickBot="1">
      <c r="A19" s="1345"/>
      <c r="B19" s="1343" t="s">
        <v>433</v>
      </c>
      <c r="C19" s="1344"/>
      <c r="D19" s="1344"/>
      <c r="E19" s="1344"/>
      <c r="F19" s="1344"/>
      <c r="G19" s="1344"/>
      <c r="H19" s="668">
        <f>IF(H16&gt;0,H16,0)</f>
        <v>9</v>
      </c>
    </row>
    <row r="20" spans="1:8" ht="17" thickBot="1">
      <c r="E20" s="1"/>
    </row>
    <row r="21" spans="1:8" ht="21">
      <c r="A21" s="1357" t="s">
        <v>475</v>
      </c>
      <c r="B21" s="1361" t="s">
        <v>480</v>
      </c>
      <c r="C21" s="1347"/>
      <c r="D21" s="1347"/>
      <c r="E21" s="1347"/>
      <c r="F21" s="1367" t="s">
        <v>481</v>
      </c>
      <c r="G21" s="1368"/>
      <c r="H21" s="1369"/>
    </row>
    <row r="22" spans="1:8" ht="35">
      <c r="A22" s="1358"/>
      <c r="B22" s="738"/>
      <c r="C22" s="739" t="str">
        <f>C3</f>
        <v>Nettoarbejdstid</v>
      </c>
      <c r="D22" s="739" t="str">
        <f t="shared" ref="D22:E22" si="2">D3</f>
        <v>Planlagt arbejdstid</v>
      </c>
      <c r="E22" s="739" t="str">
        <f t="shared" si="2"/>
        <v>Faktisk arbejdstid(uden afspadsering)</v>
      </c>
      <c r="F22" s="742" t="str">
        <f>F3</f>
        <v>Afspadseringstimer optjent</v>
      </c>
      <c r="G22" s="743" t="str">
        <f t="shared" ref="G22:H22" si="3">G3</f>
        <v>Afspadseringstimer afholdt</v>
      </c>
      <c r="H22" s="744" t="str">
        <f t="shared" si="3"/>
        <v>Afspadseringstimer saldo</v>
      </c>
    </row>
    <row r="23" spans="1:8">
      <c r="A23" s="1359"/>
      <c r="B23" s="461" t="s">
        <v>277</v>
      </c>
      <c r="C23" s="460">
        <f>C4</f>
        <v>154.74789272030651</v>
      </c>
      <c r="D23" s="460">
        <f t="shared" ref="D23:E23" si="4">D4</f>
        <v>175</v>
      </c>
      <c r="E23" s="513">
        <f t="shared" si="4"/>
        <v>175</v>
      </c>
      <c r="F23" s="745">
        <f t="shared" ref="F23:G23" si="5">F4</f>
        <v>0</v>
      </c>
      <c r="G23" s="463">
        <f t="shared" si="5"/>
        <v>0</v>
      </c>
      <c r="H23" s="463">
        <f>H4</f>
        <v>0</v>
      </c>
    </row>
    <row r="24" spans="1:8">
      <c r="A24" s="1359"/>
      <c r="B24" s="731" t="s">
        <v>279</v>
      </c>
      <c r="C24" s="732">
        <f t="shared" ref="C24:E25" si="6">C5</f>
        <v>162.17624521072798</v>
      </c>
      <c r="D24" s="732">
        <f t="shared" si="6"/>
        <v>215.64999999999998</v>
      </c>
      <c r="E24" s="740">
        <f t="shared" si="6"/>
        <v>215.64999999999998</v>
      </c>
      <c r="F24" s="746">
        <f t="shared" ref="F24:H24" si="7">F5</f>
        <v>0</v>
      </c>
      <c r="G24" s="733">
        <f t="shared" si="7"/>
        <v>0</v>
      </c>
      <c r="H24" s="733">
        <f t="shared" si="7"/>
        <v>0</v>
      </c>
    </row>
    <row r="25" spans="1:8">
      <c r="A25" s="1359"/>
      <c r="B25" s="461" t="s">
        <v>280</v>
      </c>
      <c r="C25" s="460">
        <f t="shared" si="6"/>
        <v>117.80459770114942</v>
      </c>
      <c r="D25" s="460">
        <f t="shared" si="6"/>
        <v>124</v>
      </c>
      <c r="E25" s="513">
        <f t="shared" si="6"/>
        <v>124</v>
      </c>
      <c r="F25" s="745">
        <f t="shared" ref="F25:H25" si="8">F6</f>
        <v>0</v>
      </c>
      <c r="G25" s="463">
        <f t="shared" si="8"/>
        <v>0</v>
      </c>
      <c r="H25" s="463">
        <f t="shared" si="8"/>
        <v>0</v>
      </c>
    </row>
    <row r="26" spans="1:8" ht="17" thickBot="1">
      <c r="A26" s="1359"/>
      <c r="B26" s="734" t="s">
        <v>473</v>
      </c>
      <c r="C26" s="735">
        <f>SUM(C23:C25)</f>
        <v>434.72873563218388</v>
      </c>
      <c r="D26" s="735">
        <f t="shared" ref="D26:E26" si="9">SUM(D23:D25)</f>
        <v>514.65</v>
      </c>
      <c r="E26" s="741">
        <f t="shared" si="9"/>
        <v>514.65</v>
      </c>
      <c r="F26" s="747">
        <f t="shared" ref="F26" si="10">SUM(F23:F25)</f>
        <v>0</v>
      </c>
      <c r="G26" s="748">
        <f t="shared" ref="G26" si="11">SUM(G23:G25)</f>
        <v>0</v>
      </c>
      <c r="H26" s="748">
        <f>F26-G26</f>
        <v>0</v>
      </c>
    </row>
    <row r="27" spans="1:8">
      <c r="A27" s="1359"/>
      <c r="B27" s="1341" t="s">
        <v>432</v>
      </c>
      <c r="C27" s="1341"/>
      <c r="D27" s="1341"/>
      <c r="E27" s="463">
        <f>IF(C26&gt;E26,E26-C26,0)</f>
        <v>0</v>
      </c>
      <c r="F27" s="1370"/>
      <c r="G27" s="1281"/>
      <c r="H27" s="1281"/>
    </row>
    <row r="28" spans="1:8" ht="17" thickBot="1">
      <c r="A28" s="1360"/>
      <c r="B28" s="1356" t="s">
        <v>474</v>
      </c>
      <c r="C28" s="1356"/>
      <c r="D28" s="1356"/>
      <c r="E28" s="668">
        <f>IF(E26&gt;C26,E26-C26,0)</f>
        <v>79.921264367816093</v>
      </c>
      <c r="F28" s="1371"/>
      <c r="G28" s="998"/>
      <c r="H28" s="998"/>
    </row>
    <row r="29" spans="1:8" ht="17" thickBot="1"/>
    <row r="30" spans="1:8" ht="21">
      <c r="A30" s="1357" t="s">
        <v>476</v>
      </c>
      <c r="B30" s="1362" t="s">
        <v>479</v>
      </c>
      <c r="C30" s="1363"/>
      <c r="D30" s="1363"/>
      <c r="E30" s="1364"/>
      <c r="F30" s="1367" t="s">
        <v>481</v>
      </c>
      <c r="G30" s="1368"/>
      <c r="H30" s="1369"/>
    </row>
    <row r="31" spans="1:8" ht="35">
      <c r="A31" s="1358"/>
      <c r="B31" s="738"/>
      <c r="C31" s="739" t="str">
        <f>C22</f>
        <v>Nettoarbejdstid</v>
      </c>
      <c r="D31" s="739" t="str">
        <f t="shared" ref="D31:H31" si="12">D22</f>
        <v>Planlagt arbejdstid</v>
      </c>
      <c r="E31" s="739" t="str">
        <f t="shared" si="12"/>
        <v>Faktisk arbejdstid(uden afspadsering)</v>
      </c>
      <c r="F31" s="739" t="str">
        <f t="shared" si="12"/>
        <v>Afspadseringstimer optjent</v>
      </c>
      <c r="G31" s="739" t="str">
        <f t="shared" si="12"/>
        <v>Afspadseringstimer afholdt</v>
      </c>
      <c r="H31" s="739" t="str">
        <f t="shared" si="12"/>
        <v>Afspadseringstimer saldo</v>
      </c>
    </row>
    <row r="32" spans="1:8" ht="20" customHeight="1">
      <c r="A32" s="1359"/>
      <c r="B32" s="461" t="s">
        <v>281</v>
      </c>
      <c r="C32" s="460">
        <f>C7</f>
        <v>162.17624521072798</v>
      </c>
      <c r="D32" s="460">
        <f t="shared" ref="D32:E32" si="13">D7</f>
        <v>172</v>
      </c>
      <c r="E32" s="460">
        <f t="shared" si="13"/>
        <v>172</v>
      </c>
      <c r="F32" s="460">
        <f>F7</f>
        <v>0</v>
      </c>
      <c r="G32" s="460">
        <f t="shared" ref="G32:H32" si="14">G7</f>
        <v>0</v>
      </c>
      <c r="H32" s="460">
        <f t="shared" si="14"/>
        <v>0</v>
      </c>
    </row>
    <row r="33" spans="1:8">
      <c r="A33" s="1359"/>
      <c r="B33" s="2" t="s">
        <v>331</v>
      </c>
      <c r="C33" s="460">
        <f t="shared" ref="C33:E34" si="15">C8</f>
        <v>154.77624521072798</v>
      </c>
      <c r="D33" s="460">
        <f t="shared" si="15"/>
        <v>117</v>
      </c>
      <c r="E33" s="460">
        <f t="shared" si="15"/>
        <v>117</v>
      </c>
      <c r="F33" s="460">
        <f t="shared" ref="F33:H33" si="16">F8</f>
        <v>0</v>
      </c>
      <c r="G33" s="460">
        <f t="shared" si="16"/>
        <v>0</v>
      </c>
      <c r="H33" s="460">
        <f t="shared" si="16"/>
        <v>0</v>
      </c>
    </row>
    <row r="34" spans="1:8">
      <c r="A34" s="1359"/>
      <c r="B34" s="461" t="s">
        <v>332</v>
      </c>
      <c r="C34" s="460">
        <f t="shared" si="15"/>
        <v>162.17624521072798</v>
      </c>
      <c r="D34" s="460">
        <f t="shared" si="15"/>
        <v>163.5</v>
      </c>
      <c r="E34" s="460">
        <f t="shared" si="15"/>
        <v>163.5</v>
      </c>
      <c r="F34" s="460">
        <f t="shared" ref="F34:H34" si="17">F9</f>
        <v>0</v>
      </c>
      <c r="G34" s="460">
        <f t="shared" si="17"/>
        <v>0</v>
      </c>
      <c r="H34" s="460">
        <f t="shared" si="17"/>
        <v>0</v>
      </c>
    </row>
    <row r="35" spans="1:8">
      <c r="A35" s="1359"/>
      <c r="B35" s="734" t="s">
        <v>473</v>
      </c>
      <c r="C35" s="735">
        <f>SUM(C32:C34)</f>
        <v>479.12873563218398</v>
      </c>
      <c r="D35" s="735">
        <f t="shared" ref="D35" si="18">SUM(D32:D34)</f>
        <v>452.5</v>
      </c>
      <c r="E35" s="736">
        <f t="shared" ref="E35" si="19">SUM(E32:E34)</f>
        <v>452.5</v>
      </c>
      <c r="F35" s="736">
        <f t="shared" ref="F35" si="20">SUM(F32:F34)</f>
        <v>0</v>
      </c>
      <c r="G35" s="736">
        <f t="shared" ref="G35" si="21">SUM(G32:G34)</f>
        <v>0</v>
      </c>
      <c r="H35" s="736">
        <f>H34</f>
        <v>0</v>
      </c>
    </row>
    <row r="36" spans="1:8">
      <c r="A36" s="1359"/>
      <c r="B36" s="1341" t="s">
        <v>432</v>
      </c>
      <c r="C36" s="1341"/>
      <c r="D36" s="1341"/>
      <c r="E36" s="463">
        <f>IF(C35&gt;E35,E35-C35,0)</f>
        <v>-26.628735632183975</v>
      </c>
      <c r="F36" s="1372"/>
      <c r="G36" s="1373"/>
      <c r="H36" s="1373"/>
    </row>
    <row r="37" spans="1:8" ht="17" thickBot="1">
      <c r="A37" s="1360"/>
      <c r="B37" s="1356" t="s">
        <v>474</v>
      </c>
      <c r="C37" s="1356"/>
      <c r="D37" s="1356"/>
      <c r="E37" s="668">
        <f>IF(E35&gt;C35,E35-C35,0)</f>
        <v>0</v>
      </c>
      <c r="F37" s="1371"/>
      <c r="G37" s="998"/>
      <c r="H37" s="998"/>
    </row>
    <row r="38" spans="1:8" ht="17" thickBot="1"/>
    <row r="39" spans="1:8" ht="21">
      <c r="A39" s="1357" t="s">
        <v>478</v>
      </c>
      <c r="B39" s="1362" t="s">
        <v>517</v>
      </c>
      <c r="C39" s="1363"/>
      <c r="D39" s="1363"/>
      <c r="E39" s="1364"/>
      <c r="F39" s="1367" t="s">
        <v>481</v>
      </c>
      <c r="G39" s="1368"/>
      <c r="H39" s="1369"/>
    </row>
    <row r="40" spans="1:8" ht="35">
      <c r="A40" s="1358"/>
      <c r="B40" s="738"/>
      <c r="C40" s="739" t="str">
        <f>C31</f>
        <v>Nettoarbejdstid</v>
      </c>
      <c r="D40" s="739" t="str">
        <f t="shared" ref="D40:H40" si="22">D31</f>
        <v>Planlagt arbejdstid</v>
      </c>
      <c r="E40" s="739" t="str">
        <f t="shared" si="22"/>
        <v>Faktisk arbejdstid(uden afspadsering)</v>
      </c>
      <c r="F40" s="739" t="str">
        <f t="shared" si="22"/>
        <v>Afspadseringstimer optjent</v>
      </c>
      <c r="G40" s="739" t="str">
        <f t="shared" si="22"/>
        <v>Afspadseringstimer afholdt</v>
      </c>
      <c r="H40" s="739" t="str">
        <f t="shared" si="22"/>
        <v>Afspadseringstimer saldo</v>
      </c>
    </row>
    <row r="41" spans="1:8" ht="23" customHeight="1">
      <c r="A41" s="1359"/>
      <c r="B41" s="461" t="s">
        <v>333</v>
      </c>
      <c r="C41" s="460">
        <f>C10</f>
        <v>147.43295019157088</v>
      </c>
      <c r="D41" s="460">
        <f t="shared" ref="D41:E41" si="23">D10</f>
        <v>115.5</v>
      </c>
      <c r="E41" s="460">
        <f t="shared" si="23"/>
        <v>115.5</v>
      </c>
      <c r="F41" s="460">
        <f t="shared" ref="F41:H41" si="24">F10</f>
        <v>0</v>
      </c>
      <c r="G41" s="460">
        <f t="shared" si="24"/>
        <v>0</v>
      </c>
      <c r="H41" s="460">
        <f t="shared" si="24"/>
        <v>0</v>
      </c>
    </row>
    <row r="42" spans="1:8">
      <c r="A42" s="1359"/>
      <c r="B42" s="2" t="s">
        <v>334</v>
      </c>
      <c r="C42" s="460">
        <f t="shared" ref="C42:E43" si="25">C11</f>
        <v>169.54789272030652</v>
      </c>
      <c r="D42" s="460">
        <f t="shared" si="25"/>
        <v>176.5</v>
      </c>
      <c r="E42" s="460">
        <f t="shared" si="25"/>
        <v>176.5</v>
      </c>
      <c r="F42" s="460">
        <f t="shared" ref="F42:H42" si="26">F11</f>
        <v>9</v>
      </c>
      <c r="G42" s="460">
        <f t="shared" si="26"/>
        <v>0</v>
      </c>
      <c r="H42" s="460">
        <f t="shared" si="26"/>
        <v>9</v>
      </c>
    </row>
    <row r="43" spans="1:8">
      <c r="A43" s="1359"/>
      <c r="B43" s="461" t="s">
        <v>335</v>
      </c>
      <c r="C43" s="460">
        <f t="shared" si="25"/>
        <v>125.23295019157088</v>
      </c>
      <c r="D43" s="460">
        <f t="shared" si="25"/>
        <v>113.5</v>
      </c>
      <c r="E43" s="460">
        <f t="shared" si="25"/>
        <v>113.5</v>
      </c>
      <c r="F43" s="460">
        <f t="shared" ref="F43:H43" si="27">F12</f>
        <v>0</v>
      </c>
      <c r="G43" s="460">
        <f t="shared" si="27"/>
        <v>0</v>
      </c>
      <c r="H43" s="460">
        <f t="shared" si="27"/>
        <v>9</v>
      </c>
    </row>
    <row r="44" spans="1:8">
      <c r="A44" s="1359"/>
      <c r="B44" s="734" t="s">
        <v>473</v>
      </c>
      <c r="C44" s="735">
        <f>SUM(C41:C43)</f>
        <v>442.21379310344827</v>
      </c>
      <c r="D44" s="735">
        <f t="shared" ref="D44" si="28">SUM(D41:D43)</f>
        <v>405.5</v>
      </c>
      <c r="E44" s="736">
        <f t="shared" ref="E44" si="29">SUM(E41:E43)</f>
        <v>405.5</v>
      </c>
      <c r="F44" s="736">
        <f t="shared" ref="F44" si="30">SUM(F41:F43)</f>
        <v>9</v>
      </c>
      <c r="G44" s="736">
        <f t="shared" ref="G44" si="31">SUM(G41:G43)</f>
        <v>0</v>
      </c>
      <c r="H44" s="736">
        <f>H43</f>
        <v>9</v>
      </c>
    </row>
    <row r="45" spans="1:8">
      <c r="A45" s="1359"/>
      <c r="B45" s="1341" t="s">
        <v>432</v>
      </c>
      <c r="C45" s="1341"/>
      <c r="D45" s="1341"/>
      <c r="E45" s="463">
        <f>IF(C44&gt;E44,E44-C44,0)</f>
        <v>-36.713793103448268</v>
      </c>
      <c r="F45" s="1372"/>
      <c r="G45" s="1373"/>
      <c r="H45" s="1373"/>
    </row>
    <row r="46" spans="1:8" ht="17" thickBot="1">
      <c r="A46" s="1360"/>
      <c r="B46" s="1356" t="s">
        <v>474</v>
      </c>
      <c r="C46" s="1356"/>
      <c r="D46" s="1356"/>
      <c r="E46" s="668">
        <f>IF(E44&gt;C44,E44-C44,0)</f>
        <v>0</v>
      </c>
      <c r="F46" s="1371"/>
      <c r="G46" s="998"/>
      <c r="H46" s="998"/>
    </row>
    <row r="47" spans="1:8" ht="17" thickBot="1"/>
    <row r="48" spans="1:8" ht="21">
      <c r="A48" s="1357" t="s">
        <v>477</v>
      </c>
      <c r="B48" s="1362" t="s">
        <v>518</v>
      </c>
      <c r="C48" s="1363"/>
      <c r="D48" s="1363"/>
      <c r="E48" s="1364"/>
      <c r="F48" s="1367" t="s">
        <v>481</v>
      </c>
      <c r="G48" s="1368"/>
      <c r="H48" s="1369"/>
    </row>
    <row r="49" spans="1:8" ht="35">
      <c r="A49" s="1358"/>
      <c r="B49" s="738"/>
      <c r="C49" s="739" t="str">
        <f>C40</f>
        <v>Nettoarbejdstid</v>
      </c>
      <c r="D49" s="739" t="str">
        <f t="shared" ref="D49:H49" si="32">D40</f>
        <v>Planlagt arbejdstid</v>
      </c>
      <c r="E49" s="739" t="str">
        <f t="shared" si="32"/>
        <v>Faktisk arbejdstid(uden afspadsering)</v>
      </c>
      <c r="F49" s="739" t="str">
        <f t="shared" si="32"/>
        <v>Afspadseringstimer optjent</v>
      </c>
      <c r="G49" s="739" t="str">
        <f t="shared" si="32"/>
        <v>Afspadseringstimer afholdt</v>
      </c>
      <c r="H49" s="739" t="str">
        <f t="shared" si="32"/>
        <v>Afspadseringstimer saldo</v>
      </c>
    </row>
    <row r="50" spans="1:8">
      <c r="A50" s="1359"/>
      <c r="B50" s="461" t="s">
        <v>336</v>
      </c>
      <c r="C50" s="460">
        <f>C13</f>
        <v>147.3478927203065</v>
      </c>
      <c r="D50" s="460">
        <f t="shared" ref="D50:E50" si="33">D13</f>
        <v>149</v>
      </c>
      <c r="E50" s="460">
        <f t="shared" si="33"/>
        <v>149</v>
      </c>
      <c r="F50" s="460">
        <f t="shared" ref="F50:H50" si="34">F13</f>
        <v>0</v>
      </c>
      <c r="G50" s="460">
        <f t="shared" si="34"/>
        <v>0</v>
      </c>
      <c r="H50" s="460">
        <f t="shared" si="34"/>
        <v>9</v>
      </c>
    </row>
    <row r="51" spans="1:8">
      <c r="A51" s="1359"/>
      <c r="B51" s="2" t="s">
        <v>337</v>
      </c>
      <c r="C51" s="460">
        <f t="shared" ref="C51:E52" si="35">C14</f>
        <v>162.17624521072798</v>
      </c>
      <c r="D51" s="460">
        <f t="shared" si="35"/>
        <v>165.32999999999998</v>
      </c>
      <c r="E51" s="460">
        <f t="shared" si="35"/>
        <v>165.32999999999998</v>
      </c>
      <c r="F51" s="460">
        <f t="shared" ref="F51:H51" si="36">F14</f>
        <v>0</v>
      </c>
      <c r="G51" s="460">
        <f t="shared" si="36"/>
        <v>0</v>
      </c>
      <c r="H51" s="460">
        <f t="shared" si="36"/>
        <v>9</v>
      </c>
    </row>
    <row r="52" spans="1:8">
      <c r="A52" s="1359"/>
      <c r="B52" s="461" t="s">
        <v>338</v>
      </c>
      <c r="C52" s="460">
        <f t="shared" si="35"/>
        <v>21.604597701149402</v>
      </c>
      <c r="D52" s="460">
        <f t="shared" si="35"/>
        <v>0</v>
      </c>
      <c r="E52" s="460">
        <f t="shared" si="35"/>
        <v>0</v>
      </c>
      <c r="F52" s="460">
        <f t="shared" ref="F52:H52" si="37">F15</f>
        <v>0</v>
      </c>
      <c r="G52" s="460">
        <f t="shared" si="37"/>
        <v>0</v>
      </c>
      <c r="H52" s="460">
        <f t="shared" si="37"/>
        <v>9</v>
      </c>
    </row>
    <row r="53" spans="1:8">
      <c r="A53" s="1359"/>
      <c r="B53" s="734" t="s">
        <v>473</v>
      </c>
      <c r="C53" s="735">
        <f>SUM(C50:C52)</f>
        <v>331.12873563218386</v>
      </c>
      <c r="D53" s="735">
        <f t="shared" ref="D53" si="38">SUM(D50:D52)</f>
        <v>314.33</v>
      </c>
      <c r="E53" s="736">
        <f t="shared" ref="E53" si="39">SUM(E50:E52)</f>
        <v>314.33</v>
      </c>
      <c r="F53" s="736">
        <f t="shared" ref="F53" si="40">SUM(F50:F52)</f>
        <v>0</v>
      </c>
      <c r="G53" s="736">
        <f t="shared" ref="G53" si="41">SUM(G50:G52)</f>
        <v>0</v>
      </c>
      <c r="H53" s="736">
        <f>H52</f>
        <v>9</v>
      </c>
    </row>
    <row r="54" spans="1:8">
      <c r="A54" s="1359"/>
      <c r="B54" s="1341" t="s">
        <v>432</v>
      </c>
      <c r="C54" s="1341"/>
      <c r="D54" s="1341"/>
      <c r="E54" s="463">
        <f>IF(C53&gt;E53,E53-C53,0)</f>
        <v>-16.798735632183877</v>
      </c>
      <c r="F54" s="1372"/>
      <c r="G54" s="1373"/>
      <c r="H54" s="1373"/>
    </row>
    <row r="55" spans="1:8" ht="17" thickBot="1">
      <c r="A55" s="1360"/>
      <c r="B55" s="1356" t="s">
        <v>474</v>
      </c>
      <c r="C55" s="1356"/>
      <c r="D55" s="1356"/>
      <c r="E55" s="668">
        <f>IF(E53&gt;C53,E53-C53,0)</f>
        <v>0</v>
      </c>
      <c r="F55" s="1371"/>
      <c r="G55" s="998"/>
      <c r="H55" s="998"/>
    </row>
    <row r="57" spans="1:8" ht="21">
      <c r="A57" s="1366" t="s">
        <v>488</v>
      </c>
      <c r="B57" s="1366"/>
      <c r="C57" s="1366"/>
      <c r="D57" s="1366"/>
      <c r="E57" s="774">
        <f>E27+E28+E36+E37+E45+E46+E54+E55</f>
        <v>-0.22000000000002728</v>
      </c>
    </row>
    <row r="58" spans="1:8" ht="21">
      <c r="A58" s="1365" t="s">
        <v>489</v>
      </c>
      <c r="B58" s="1365"/>
      <c r="C58" s="1365"/>
      <c r="D58" s="1365"/>
      <c r="E58" s="737">
        <f>H16</f>
        <v>9</v>
      </c>
    </row>
  </sheetData>
  <sheetProtection sheet="1" objects="1" scenarios="1"/>
  <mergeCells count="34">
    <mergeCell ref="A58:D58"/>
    <mergeCell ref="A57:D57"/>
    <mergeCell ref="F21:H21"/>
    <mergeCell ref="F30:H30"/>
    <mergeCell ref="F39:H39"/>
    <mergeCell ref="F48:H48"/>
    <mergeCell ref="F27:H28"/>
    <mergeCell ref="F36:H37"/>
    <mergeCell ref="F45:H46"/>
    <mergeCell ref="F54:H55"/>
    <mergeCell ref="A39:A46"/>
    <mergeCell ref="B39:E39"/>
    <mergeCell ref="B45:D45"/>
    <mergeCell ref="B46:D46"/>
    <mergeCell ref="A48:A55"/>
    <mergeCell ref="B48:E48"/>
    <mergeCell ref="B54:D54"/>
    <mergeCell ref="B55:D55"/>
    <mergeCell ref="B28:D28"/>
    <mergeCell ref="A21:A28"/>
    <mergeCell ref="B21:E21"/>
    <mergeCell ref="A30:A37"/>
    <mergeCell ref="B30:E30"/>
    <mergeCell ref="B36:D36"/>
    <mergeCell ref="B37:D37"/>
    <mergeCell ref="B18:D18"/>
    <mergeCell ref="F18:H18"/>
    <mergeCell ref="B19:G19"/>
    <mergeCell ref="A1:A19"/>
    <mergeCell ref="B27:D27"/>
    <mergeCell ref="B1:H1"/>
    <mergeCell ref="B2:H2"/>
    <mergeCell ref="B17:D17"/>
    <mergeCell ref="F17:H17"/>
  </mergeCells>
  <phoneticPr fontId="5" type="noConversion"/>
  <conditionalFormatting sqref="B17 E17:F17">
    <cfRule type="expression" dxfId="400" priority="11">
      <formula>OR($E$16&gt;$C$16,)</formula>
    </cfRule>
    <cfRule type="expression" dxfId="399" priority="12">
      <formula>"ELLER($E$16&gt;$$16;)"</formula>
    </cfRule>
  </conditionalFormatting>
  <conditionalFormatting sqref="B18 E18:F18">
    <cfRule type="expression" dxfId="398" priority="10">
      <formula>OR($C$16&gt;$E$16,)</formula>
    </cfRule>
  </conditionalFormatting>
  <conditionalFormatting sqref="B19 H19">
    <cfRule type="expression" dxfId="397" priority="9">
      <formula>OR($H$16&lt;0,)</formula>
    </cfRule>
  </conditionalFormatting>
  <conditionalFormatting sqref="B27 E27">
    <cfRule type="expression" dxfId="396" priority="8">
      <formula>OR($E$26&gt;$C$26,)</formula>
    </cfRule>
  </conditionalFormatting>
  <conditionalFormatting sqref="B28 E28">
    <cfRule type="expression" dxfId="395" priority="7">
      <formula>OR($E$26&lt;$C$26,)</formula>
    </cfRule>
  </conditionalFormatting>
  <conditionalFormatting sqref="B36 E36">
    <cfRule type="expression" dxfId="394" priority="6">
      <formula>OR($E$35&gt;$C$35,)</formula>
    </cfRule>
  </conditionalFormatting>
  <conditionalFormatting sqref="B37 E37">
    <cfRule type="expression" dxfId="393" priority="5">
      <formula>OR($C$35&gt;$E$35,)</formula>
    </cfRule>
  </conditionalFormatting>
  <conditionalFormatting sqref="B45 E45">
    <cfRule type="expression" dxfId="392" priority="4">
      <formula>OR($E$44&gt;$C$44,)</formula>
    </cfRule>
  </conditionalFormatting>
  <conditionalFormatting sqref="B46 E46">
    <cfRule type="expression" dxfId="391" priority="3">
      <formula>OR($C$44&gt;$E$44,)</formula>
    </cfRule>
  </conditionalFormatting>
  <conditionalFormatting sqref="B54 E54">
    <cfRule type="expression" dxfId="390" priority="2">
      <formula>OR($E$53&gt;$C$53,)</formula>
    </cfRule>
  </conditionalFormatting>
  <conditionalFormatting sqref="B55 E55">
    <cfRule type="expression" dxfId="389" priority="1">
      <formula>OR($C$53&gt;$E$53,)</formula>
    </cfRule>
  </conditionalFormatting>
  <pageMargins left="0.7" right="0.7" top="0.75" bottom="0.75" header="0.3" footer="0.3"/>
  <pageSetup paperSize="9" scale="70" orientation="landscape"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K17" sqref="K17"/>
    </sheetView>
  </sheetViews>
  <sheetFormatPr baseColWidth="10" defaultRowHeight="16"/>
  <cols>
    <col min="3" max="7" width="15.83203125" customWidth="1"/>
  </cols>
  <sheetData>
    <row r="1" spans="1:7" ht="32" customHeight="1">
      <c r="A1" s="1015" t="str">
        <f>Skemaoplysninger!A3</f>
        <v>Skema 1</v>
      </c>
      <c r="B1" s="1015"/>
      <c r="C1" s="1015"/>
      <c r="D1" s="1015"/>
      <c r="E1" s="1015"/>
      <c r="F1" s="1015"/>
      <c r="G1" s="1016"/>
    </row>
    <row r="2" spans="1:7" ht="32" customHeight="1">
      <c r="A2" s="1374" t="s">
        <v>261</v>
      </c>
      <c r="B2" s="1374"/>
      <c r="C2" s="1374"/>
      <c r="D2" s="1375" t="str">
        <f>Skemaoplysninger!F5</f>
        <v>01.08.2022</v>
      </c>
      <c r="E2" s="1375"/>
      <c r="F2" s="1375" t="str">
        <f>Skemaoplysninger!H5</f>
        <v>31.12.2022</v>
      </c>
      <c r="G2" s="1375"/>
    </row>
    <row r="3" spans="1:7" s="56" customFormat="1" ht="32" customHeight="1">
      <c r="A3" s="498" t="s">
        <v>65</v>
      </c>
      <c r="B3" s="498" t="s">
        <v>66</v>
      </c>
      <c r="C3" s="499" t="s">
        <v>34</v>
      </c>
      <c r="D3" s="499" t="s">
        <v>35</v>
      </c>
      <c r="E3" s="499" t="s">
        <v>36</v>
      </c>
      <c r="F3" s="499" t="s">
        <v>37</v>
      </c>
      <c r="G3" s="500" t="s">
        <v>38</v>
      </c>
    </row>
    <row r="4" spans="1:7" ht="20" customHeight="1">
      <c r="A4" s="39">
        <f>IF(Skemaoplysninger!B9&gt;0,Skemaoplysninger!C9,"")</f>
        <v>0.33333333333333331</v>
      </c>
      <c r="B4" s="39">
        <f>IF(Skemaoplysninger!B9&gt;0,Skemaoplysninger!D9,"")</f>
        <v>0.36458333333333331</v>
      </c>
      <c r="C4" s="95" t="str">
        <f>IF(Skemaoplysninger!E9&gt;0,Skemaoplysninger!E9,"")</f>
        <v>Dansk</v>
      </c>
      <c r="D4" s="95" t="str">
        <f>IF(Skemaoplysninger!F9&gt;0,Skemaoplysninger!F9,"")</f>
        <v>Engelsk</v>
      </c>
      <c r="E4" s="95" t="str">
        <f>IF(Skemaoplysninger!G9&gt;0,Skemaoplysninger!G9,"")</f>
        <v>Dansk</v>
      </c>
      <c r="F4" s="95" t="str">
        <f>IF(Skemaoplysninger!H9&gt;0,Skemaoplysninger!H9,"")</f>
        <v>Dansk</v>
      </c>
      <c r="G4" s="95" t="str">
        <f>IF(Skemaoplysninger!I9&gt;0,Skemaoplysninger!I9,"")</f>
        <v/>
      </c>
    </row>
    <row r="5" spans="1:7" ht="20" customHeight="1">
      <c r="A5" s="40">
        <f>IF(Skemaoplysninger!B10&gt;0,Skemaoplysninger!C10,"")</f>
        <v>0.36458333333333331</v>
      </c>
      <c r="B5" s="40">
        <f>IF(Skemaoplysninger!B10&gt;0,Skemaoplysninger!D10,"")</f>
        <v>0.37152777777777773</v>
      </c>
      <c r="C5" s="501" t="str">
        <f>IF(Skemaoplysninger!E10&gt;0,Skemaoplysninger!E10,"")</f>
        <v>Tilsyn</v>
      </c>
      <c r="D5" s="501" t="str">
        <f>IF(Skemaoplysninger!F10&gt;0,Skemaoplysninger!F10,"")</f>
        <v>Tilsyn</v>
      </c>
      <c r="E5" s="501" t="str">
        <f>IF(Skemaoplysninger!G10&gt;0,Skemaoplysninger!G10,"")</f>
        <v>Tilsyn</v>
      </c>
      <c r="F5" s="501" t="str">
        <f>IF(Skemaoplysninger!H10&gt;0,Skemaoplysninger!H10,"")</f>
        <v>Tilsyn</v>
      </c>
      <c r="G5" s="501" t="str">
        <f>IF(Skemaoplysninger!I10&gt;0,Skemaoplysninger!I10,"")</f>
        <v/>
      </c>
    </row>
    <row r="6" spans="1:7" ht="20" customHeight="1">
      <c r="A6" s="39">
        <f>IF(Skemaoplysninger!B11&gt;0,Skemaoplysninger!C11,"")</f>
        <v>0.37152777777777773</v>
      </c>
      <c r="B6" s="39">
        <f>IF(Skemaoplysninger!B11&gt;0,Skemaoplysninger!D11,"")</f>
        <v>0.40277777777777773</v>
      </c>
      <c r="C6" s="95" t="str">
        <f>IF(Skemaoplysninger!E11&gt;0,Skemaoplysninger!E11,"")</f>
        <v>Musik</v>
      </c>
      <c r="D6" s="95" t="str">
        <f>IF(Skemaoplysninger!F11&gt;0,Skemaoplysninger!F11,"")</f>
        <v>Engelsk</v>
      </c>
      <c r="E6" s="95" t="str">
        <f>IF(Skemaoplysninger!G11&gt;0,Skemaoplysninger!G11,"")</f>
        <v>Dansk</v>
      </c>
      <c r="F6" s="95" t="str">
        <f>IF(Skemaoplysninger!H11&gt;0,Skemaoplysninger!H11,"")</f>
        <v>Engelsk</v>
      </c>
      <c r="G6" s="95" t="str">
        <f>IF(Skemaoplysninger!I11&gt;0,Skemaoplysninger!I11,"")</f>
        <v>Tysk</v>
      </c>
    </row>
    <row r="7" spans="1:7" ht="20" customHeight="1">
      <c r="A7" s="40">
        <f>IF(Skemaoplysninger!B12&gt;0,Skemaoplysninger!C12,"")</f>
        <v>0.40277777777777773</v>
      </c>
      <c r="B7" s="40">
        <f>IF(Skemaoplysninger!B12&gt;0,Skemaoplysninger!D12,"")</f>
        <v>0.40624999999999994</v>
      </c>
      <c r="C7" s="501" t="str">
        <f>IF(Skemaoplysninger!E12&gt;0,Skemaoplysninger!E12,"")</f>
        <v>Tilsyn</v>
      </c>
      <c r="D7" s="501" t="str">
        <f>IF(Skemaoplysninger!F12&gt;0,Skemaoplysninger!F12,"")</f>
        <v>Tilsyn</v>
      </c>
      <c r="E7" s="501" t="str">
        <f>IF(Skemaoplysninger!G12&gt;0,Skemaoplysninger!G12,"")</f>
        <v>Tilsyn</v>
      </c>
      <c r="F7" s="501" t="str">
        <f>IF(Skemaoplysninger!H12&gt;0,Skemaoplysninger!H12,"")</f>
        <v>Tilsyn</v>
      </c>
      <c r="G7" s="501" t="str">
        <f>IF(Skemaoplysninger!I12&gt;0,Skemaoplysninger!I12,"")</f>
        <v>Tilsyn</v>
      </c>
    </row>
    <row r="8" spans="1:7" ht="20" customHeight="1">
      <c r="A8" s="39">
        <f>IF(Skemaoplysninger!B13&gt;0,Skemaoplysninger!C13,"")</f>
        <v>0.40624999999999994</v>
      </c>
      <c r="B8" s="39">
        <f>IF(Skemaoplysninger!B13&gt;0,Skemaoplysninger!D13,"")</f>
        <v>0.43749999999999994</v>
      </c>
      <c r="C8" s="95" t="str">
        <f>IF(Skemaoplysninger!E13&gt;0,Skemaoplysninger!E13,"")</f>
        <v>Musik</v>
      </c>
      <c r="D8" s="95" t="str">
        <f>IF(Skemaoplysninger!F13&gt;0,Skemaoplysninger!F13,"")</f>
        <v>Idræt</v>
      </c>
      <c r="E8" s="95" t="str">
        <f>IF(Skemaoplysninger!G13&gt;0,Skemaoplysninger!G13,"")</f>
        <v>Dansk</v>
      </c>
      <c r="F8" s="95" t="str">
        <f>IF(Skemaoplysninger!H13&gt;0,Skemaoplysninger!H13,"")</f>
        <v>Engelsk</v>
      </c>
      <c r="G8" s="95" t="str">
        <f>IF(Skemaoplysninger!I13&gt;0,Skemaoplysninger!I13,"")</f>
        <v>Tysk</v>
      </c>
    </row>
    <row r="9" spans="1:7" ht="20" customHeight="1">
      <c r="A9" s="40">
        <f>IF(Skemaoplysninger!B14&gt;0,Skemaoplysninger!C14,"")</f>
        <v>0.43749999999999994</v>
      </c>
      <c r="B9" s="40">
        <f>IF(Skemaoplysninger!B14&gt;0,Skemaoplysninger!D14,"")</f>
        <v>0.44791666666666663</v>
      </c>
      <c r="C9" s="501" t="str">
        <f>IF(Skemaoplysninger!E14&gt;0,Skemaoplysninger!E14,"")</f>
        <v>Tilsyn</v>
      </c>
      <c r="D9" s="501" t="str">
        <f>IF(Skemaoplysninger!F14&gt;0,Skemaoplysninger!F14,"")</f>
        <v>Gårdvagt</v>
      </c>
      <c r="E9" s="501" t="str">
        <f>IF(Skemaoplysninger!G14&gt;0,Skemaoplysninger!G14,"")</f>
        <v>Gårdvagt</v>
      </c>
      <c r="F9" s="501" t="str">
        <f>IF(Skemaoplysninger!H14&gt;0,Skemaoplysninger!H14,"")</f>
        <v>Tilsyn</v>
      </c>
      <c r="G9" s="501" t="str">
        <f>IF(Skemaoplysninger!I14&gt;0,Skemaoplysninger!I14,"")</f>
        <v>Tilsyn</v>
      </c>
    </row>
    <row r="10" spans="1:7" ht="20" customHeight="1">
      <c r="A10" s="39">
        <f>IF(Skemaoplysninger!B15&gt;0,Skemaoplysninger!C15,"")</f>
        <v>0.44791666666666663</v>
      </c>
      <c r="B10" s="39">
        <f>IF(Skemaoplysninger!B15&gt;0,Skemaoplysninger!D15,"")</f>
        <v>0.47916666666666663</v>
      </c>
      <c r="C10" s="95" t="str">
        <f>IF(Skemaoplysninger!E15&gt;0,Skemaoplysninger!E15,"")</f>
        <v>Historie</v>
      </c>
      <c r="D10" s="95" t="str">
        <f>IF(Skemaoplysninger!F15&gt;0,Skemaoplysninger!F15,"")</f>
        <v>Idræt</v>
      </c>
      <c r="E10" s="95" t="str">
        <f>IF(Skemaoplysninger!G15&gt;0,Skemaoplysninger!G15,"")</f>
        <v>Tysk</v>
      </c>
      <c r="F10" s="95" t="str">
        <f>IF(Skemaoplysninger!H15&gt;0,Skemaoplysninger!H15,"")</f>
        <v>Billedkunst</v>
      </c>
      <c r="G10" s="95" t="str">
        <f>IF(Skemaoplysninger!I15&gt;0,Skemaoplysninger!I15,"")</f>
        <v>Billedkunst</v>
      </c>
    </row>
    <row r="11" spans="1:7" ht="20" customHeight="1">
      <c r="A11" s="40">
        <f>IF(Skemaoplysninger!B16&gt;0,Skemaoplysninger!C16,"")</f>
        <v>0.47916666666666663</v>
      </c>
      <c r="B11" s="40">
        <f>IF(Skemaoplysninger!B16&gt;0,Skemaoplysninger!D16,"")</f>
        <v>0.49652777777777773</v>
      </c>
      <c r="C11" s="501" t="str">
        <f>IF(Skemaoplysninger!E16&gt;0,Skemaoplysninger!E16,"")</f>
        <v>Gårdvagt</v>
      </c>
      <c r="D11" s="501" t="str">
        <f>IF(Skemaoplysninger!F16&gt;0,Skemaoplysninger!F16,"")</f>
        <v>Tilsyn</v>
      </c>
      <c r="E11" s="501" t="str">
        <f>IF(Skemaoplysninger!G16&gt;0,Skemaoplysninger!G16,"")</f>
        <v>Tilsyn</v>
      </c>
      <c r="F11" s="501" t="str">
        <f>IF(Skemaoplysninger!H16&gt;0,Skemaoplysninger!H16,"")</f>
        <v>Tilsyn</v>
      </c>
      <c r="G11" s="501" t="str">
        <f>IF(Skemaoplysninger!I16&gt;0,Skemaoplysninger!I16,"")</f>
        <v/>
      </c>
    </row>
    <row r="12" spans="1:7" ht="20" customHeight="1">
      <c r="A12" s="39">
        <f>IF(Skemaoplysninger!B17&gt;0,Skemaoplysninger!C17,"")</f>
        <v>0.49652777777777773</v>
      </c>
      <c r="B12" s="39">
        <f>IF(Skemaoplysninger!B17&gt;0,Skemaoplysninger!D17,"")</f>
        <v>0.52777777777777768</v>
      </c>
      <c r="C12" s="95" t="str">
        <f>IF(Skemaoplysninger!E17&gt;0,Skemaoplysninger!E17,"")</f>
        <v>Historie</v>
      </c>
      <c r="D12" s="95" t="str">
        <f>IF(Skemaoplysninger!F17&gt;0,Skemaoplysninger!F17,"")</f>
        <v>Dansk</v>
      </c>
      <c r="E12" s="95" t="str">
        <f>IF(Skemaoplysninger!G17&gt;0,Skemaoplysninger!G17,"")</f>
        <v>Tysk</v>
      </c>
      <c r="F12" s="95" t="str">
        <f>IF(Skemaoplysninger!H17&gt;0,Skemaoplysninger!H17,"")</f>
        <v>Billedkunst</v>
      </c>
      <c r="G12" s="95" t="str">
        <f>IF(Skemaoplysninger!I17&gt;0,Skemaoplysninger!I17,"")</f>
        <v/>
      </c>
    </row>
    <row r="13" spans="1:7" ht="20" customHeight="1">
      <c r="A13" s="40">
        <f>IF(Skemaoplysninger!B18&gt;0,Skemaoplysninger!C18,"")</f>
        <v>0.52777777777777768</v>
      </c>
      <c r="B13" s="40">
        <f>IF(Skemaoplysninger!B18&gt;0,Skemaoplysninger!D18,"")</f>
        <v>0.53124999999999989</v>
      </c>
      <c r="C13" s="501" t="str">
        <f>IF(Skemaoplysninger!E18&gt;0,Skemaoplysninger!E18,"")</f>
        <v/>
      </c>
      <c r="D13" s="501" t="str">
        <f>IF(Skemaoplysninger!F18&gt;0,Skemaoplysninger!F18,"")</f>
        <v>Tilsyn</v>
      </c>
      <c r="E13" s="501" t="str">
        <f>IF(Skemaoplysninger!G18&gt;0,Skemaoplysninger!G18,"")</f>
        <v/>
      </c>
      <c r="F13" s="501" t="str">
        <f>IF(Skemaoplysninger!H18&gt;0,Skemaoplysninger!H18,"")</f>
        <v/>
      </c>
      <c r="G13" s="501" t="str">
        <f>IF(Skemaoplysninger!I18&gt;0,Skemaoplysninger!I18,"")</f>
        <v/>
      </c>
    </row>
    <row r="14" spans="1:7" ht="20" customHeight="1">
      <c r="A14" s="39">
        <f>IF(Skemaoplysninger!B19&gt;0,Skemaoplysninger!C19,"")</f>
        <v>0.53124999999999989</v>
      </c>
      <c r="B14" s="39">
        <f>IF(Skemaoplysninger!B19&gt;0,Skemaoplysninger!D19,"")</f>
        <v>0.56249999999999989</v>
      </c>
      <c r="C14" s="95" t="str">
        <f>IF(Skemaoplysninger!E19&gt;0,Skemaoplysninger!E19,"")</f>
        <v/>
      </c>
      <c r="D14" s="95" t="str">
        <f>IF(Skemaoplysninger!F19&gt;0,Skemaoplysninger!F19,"")</f>
        <v>Tværfag</v>
      </c>
      <c r="E14" s="95" t="str">
        <f>IF(Skemaoplysninger!G19&gt;0,Skemaoplysninger!G19,"")</f>
        <v/>
      </c>
      <c r="F14" s="95" t="str">
        <f>IF(Skemaoplysninger!H19&gt;0,Skemaoplysninger!H19,"")</f>
        <v/>
      </c>
      <c r="G14" s="95" t="str">
        <f>IF(Skemaoplysninger!I19&gt;0,Skemaoplysninger!I19,"")</f>
        <v/>
      </c>
    </row>
    <row r="15" spans="1:7" ht="20" customHeight="1">
      <c r="A15" s="40">
        <f>IF(Skemaoplysninger!B20&gt;0,Skemaoplysninger!C20,"")</f>
        <v>0.56249999999999989</v>
      </c>
      <c r="B15" s="40">
        <f>IF(Skemaoplysninger!B20&gt;0,Skemaoplysninger!D20,"")</f>
        <v>0.5659722222222221</v>
      </c>
      <c r="C15" s="501" t="str">
        <f>IF(Skemaoplysninger!E20&gt;0,Skemaoplysninger!E20,"")</f>
        <v/>
      </c>
      <c r="D15" s="501" t="str">
        <f>IF(Skemaoplysninger!F20&gt;0,Skemaoplysninger!F20,"")</f>
        <v>Tilsyn</v>
      </c>
      <c r="E15" s="501" t="str">
        <f>IF(Skemaoplysninger!G20&gt;0,Skemaoplysninger!G20,"")</f>
        <v/>
      </c>
      <c r="F15" s="501" t="str">
        <f>IF(Skemaoplysninger!H20&gt;0,Skemaoplysninger!H20,"")</f>
        <v/>
      </c>
      <c r="G15" s="501" t="str">
        <f>IF(Skemaoplysninger!I20&gt;0,Skemaoplysninger!I20,"")</f>
        <v/>
      </c>
    </row>
    <row r="16" spans="1:7" ht="20" customHeight="1">
      <c r="A16" s="39">
        <f>IF(Skemaoplysninger!B21&gt;0,Skemaoplysninger!C21,"")</f>
        <v>0.5659722222222221</v>
      </c>
      <c r="B16" s="39">
        <f>IF(Skemaoplysninger!B21&gt;0,Skemaoplysninger!D21,"")</f>
        <v>0.5972222222222221</v>
      </c>
      <c r="C16" s="95" t="str">
        <f>IF(Skemaoplysninger!E21&gt;0,Skemaoplysninger!E21,"")</f>
        <v/>
      </c>
      <c r="D16" s="95" t="str">
        <f>IF(Skemaoplysninger!F21&gt;0,Skemaoplysninger!F21,"")</f>
        <v>Tværfag</v>
      </c>
      <c r="E16" s="95" t="str">
        <f>IF(Skemaoplysninger!G21&gt;0,Skemaoplysninger!G21,"")</f>
        <v/>
      </c>
      <c r="F16" s="95" t="str">
        <f>IF(Skemaoplysninger!H21&gt;0,Skemaoplysninger!H21,"")</f>
        <v/>
      </c>
      <c r="G16" s="95" t="str">
        <f>IF(Skemaoplysninger!I21&gt;0,Skemaoplysninger!I21,"")</f>
        <v/>
      </c>
    </row>
    <row r="17" spans="1:7" ht="20" customHeight="1">
      <c r="A17" s="40" t="str">
        <f>IF(Skemaoplysninger!B22&gt;0,Skemaoplysninger!C22,"")</f>
        <v/>
      </c>
      <c r="B17" s="40" t="str">
        <f>IF(Skemaoplysninger!B22&gt;0,Skemaoplysninger!D22,"")</f>
        <v/>
      </c>
      <c r="C17" s="501" t="str">
        <f>IF(Skemaoplysninger!E22&gt;0,Skemaoplysninger!E22,"")</f>
        <v/>
      </c>
      <c r="D17" s="501" t="str">
        <f>IF(Skemaoplysninger!F22&gt;0,Skemaoplysninger!F22,"")</f>
        <v/>
      </c>
      <c r="E17" s="501" t="str">
        <f>IF(Skemaoplysninger!G22&gt;0,Skemaoplysninger!G22,"")</f>
        <v/>
      </c>
      <c r="F17" s="501" t="str">
        <f>IF(Skemaoplysninger!H22&gt;0,Skemaoplysninger!H22,"")</f>
        <v/>
      </c>
      <c r="G17" s="501" t="str">
        <f>IF(Skemaoplysninger!I22&gt;0,Skemaoplysninger!I22,"")</f>
        <v/>
      </c>
    </row>
    <row r="18" spans="1:7" ht="20" customHeight="1">
      <c r="A18" s="39" t="str">
        <f>IF(Skemaoplysninger!B23&gt;0,Skemaoplysninger!C23,"")</f>
        <v/>
      </c>
      <c r="B18" s="39" t="str">
        <f>IF(Skemaoplysninger!B23&gt;0,Skemaoplysninger!D23,"")</f>
        <v/>
      </c>
      <c r="C18" s="95" t="str">
        <f>IF(Skemaoplysninger!E23&gt;0,Skemaoplysninger!E23,"")</f>
        <v/>
      </c>
      <c r="D18" s="95" t="str">
        <f>IF(Skemaoplysninger!F23&gt;0,Skemaoplysninger!F23,"")</f>
        <v/>
      </c>
      <c r="E18" s="95" t="str">
        <f>IF(Skemaoplysninger!G23&gt;0,Skemaoplysninger!G23,"")</f>
        <v/>
      </c>
      <c r="F18" s="95" t="str">
        <f>IF(Skemaoplysninger!H23&gt;0,Skemaoplysninger!H23,"")</f>
        <v/>
      </c>
      <c r="G18" s="95" t="str">
        <f>IF(Skemaoplysninger!I23&gt;0,Skemaoplysninger!I23,"")</f>
        <v/>
      </c>
    </row>
    <row r="19" spans="1:7" ht="20" customHeight="1">
      <c r="A19" s="40" t="str">
        <f>IF(Skemaoplysninger!B24&gt;0,Skemaoplysninger!C24,"")</f>
        <v/>
      </c>
      <c r="B19" s="40" t="str">
        <f>IF(Skemaoplysninger!B24&gt;0,Skemaoplysninger!D24,"")</f>
        <v/>
      </c>
      <c r="C19" s="501" t="str">
        <f>IF(Skemaoplysninger!E24&gt;0,Skemaoplysninger!E24,"")</f>
        <v/>
      </c>
      <c r="D19" s="501" t="str">
        <f>IF(Skemaoplysninger!F24&gt;0,Skemaoplysninger!F24,"")</f>
        <v/>
      </c>
      <c r="E19" s="501" t="str">
        <f>IF(Skemaoplysninger!G24&gt;0,Skemaoplysninger!G24,"")</f>
        <v/>
      </c>
      <c r="F19" s="501" t="str">
        <f>IF(Skemaoplysninger!H24&gt;0,Skemaoplysninger!H24,"")</f>
        <v/>
      </c>
      <c r="G19" s="501" t="str">
        <f>IF(Skemaoplysninger!I24&gt;0,Skemaoplysninger!I24,"")</f>
        <v/>
      </c>
    </row>
    <row r="20" spans="1:7" ht="20" customHeight="1">
      <c r="A20" s="39" t="str">
        <f>IF(Skemaoplysninger!B25&gt;0,Skemaoplysninger!C25,"")</f>
        <v/>
      </c>
      <c r="B20" s="39" t="str">
        <f>IF(Skemaoplysninger!B25&gt;0,Skemaoplysninger!D25,"")</f>
        <v/>
      </c>
      <c r="C20" s="95" t="str">
        <f>IF(Skemaoplysninger!E25&gt;0,Skemaoplysninger!E25,"")</f>
        <v/>
      </c>
      <c r="D20" s="95" t="str">
        <f>IF(Skemaoplysninger!F25&gt;0,Skemaoplysninger!F25,"")</f>
        <v/>
      </c>
      <c r="E20" s="95" t="str">
        <f>IF(Skemaoplysninger!G25&gt;0,Skemaoplysninger!G25,"")</f>
        <v/>
      </c>
      <c r="F20" s="95" t="str">
        <f>IF(Skemaoplysninger!H25&gt;0,Skemaoplysninger!H25,"")</f>
        <v/>
      </c>
      <c r="G20" s="95" t="str">
        <f>IF(Skemaoplysninger!I25&gt;0,Skemaoplysninger!I25,"")</f>
        <v/>
      </c>
    </row>
    <row r="21" spans="1:7" ht="20" customHeight="1">
      <c r="A21" s="40" t="str">
        <f>IF(Skemaoplysninger!B26&gt;0,Skemaoplysninger!C26,"")</f>
        <v/>
      </c>
      <c r="B21" s="40" t="str">
        <f>IF(Skemaoplysninger!B26&gt;0,Skemaoplysninger!D26,"")</f>
        <v/>
      </c>
      <c r="C21" s="501" t="str">
        <f>IF(Skemaoplysninger!E26&gt;0,Skemaoplysninger!E26,"")</f>
        <v/>
      </c>
      <c r="D21" s="501" t="str">
        <f>IF(Skemaoplysninger!F26&gt;0,Skemaoplysninger!F26,"")</f>
        <v/>
      </c>
      <c r="E21" s="501" t="str">
        <f>IF(Skemaoplysninger!G26&gt;0,Skemaoplysninger!G26,"")</f>
        <v/>
      </c>
      <c r="F21" s="501" t="str">
        <f>IF(Skemaoplysninger!H26&gt;0,Skemaoplysninger!H26,"")</f>
        <v/>
      </c>
      <c r="G21" s="501" t="str">
        <f>IF(Skemaoplysninger!I26&gt;0,Skemaoplysninger!I26,"")</f>
        <v/>
      </c>
    </row>
    <row r="22" spans="1:7" ht="20" customHeight="1">
      <c r="A22" s="39" t="str">
        <f>IF(Skemaoplysninger!B27&gt;0,Skemaoplysninger!C27,"")</f>
        <v/>
      </c>
      <c r="B22" s="39" t="str">
        <f>IF(Skemaoplysninger!B27&gt;0,Skemaoplysninger!D27,"")</f>
        <v/>
      </c>
      <c r="C22" s="95" t="str">
        <f>IF(Skemaoplysninger!E27&gt;0,Skemaoplysninger!E27,"")</f>
        <v/>
      </c>
      <c r="D22" s="95" t="str">
        <f>IF(Skemaoplysninger!F27&gt;0,Skemaoplysninger!F27,"")</f>
        <v/>
      </c>
      <c r="E22" s="95" t="str">
        <f>IF(Skemaoplysninger!G27&gt;0,Skemaoplysninger!G27,"")</f>
        <v/>
      </c>
      <c r="F22" s="95" t="str">
        <f>IF(Skemaoplysninger!H27&gt;0,Skemaoplysninger!H27,"")</f>
        <v/>
      </c>
      <c r="G22" s="95" t="str">
        <f>IF(Skemaoplysninger!I27&gt;0,Skemaoplysninger!I27,"")</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I21" sqref="I21"/>
    </sheetView>
  </sheetViews>
  <sheetFormatPr baseColWidth="10" defaultRowHeight="16"/>
  <cols>
    <col min="3" max="7" width="15.83203125" customWidth="1"/>
  </cols>
  <sheetData>
    <row r="1" spans="1:7" ht="32" customHeight="1">
      <c r="A1" s="1015" t="str">
        <f>Skemaoplysninger!K3</f>
        <v>Skema 2</v>
      </c>
      <c r="B1" s="1015"/>
      <c r="C1" s="1015"/>
      <c r="D1" s="1015"/>
      <c r="E1" s="1015"/>
      <c r="F1" s="1015"/>
      <c r="G1" s="1016"/>
    </row>
    <row r="2" spans="1:7" ht="32" customHeight="1">
      <c r="A2" s="1374" t="s">
        <v>261</v>
      </c>
      <c r="B2" s="1374"/>
      <c r="C2" s="1374"/>
      <c r="D2" s="1375" t="str">
        <f>Skemaoplysninger!P5</f>
        <v>01.01.2023</v>
      </c>
      <c r="E2" s="1375"/>
      <c r="F2" s="1375" t="str">
        <f>Skemaoplysninger!R5</f>
        <v>31.07.2023</v>
      </c>
      <c r="G2" s="1375"/>
    </row>
    <row r="3" spans="1:7" ht="32" customHeight="1">
      <c r="A3" s="498" t="s">
        <v>65</v>
      </c>
      <c r="B3" s="498" t="s">
        <v>66</v>
      </c>
      <c r="C3" s="499" t="s">
        <v>34</v>
      </c>
      <c r="D3" s="499" t="s">
        <v>35</v>
      </c>
      <c r="E3" s="499" t="s">
        <v>36</v>
      </c>
      <c r="F3" s="499" t="s">
        <v>37</v>
      </c>
      <c r="G3" s="500" t="s">
        <v>38</v>
      </c>
    </row>
    <row r="4" spans="1:7" ht="20" customHeight="1">
      <c r="A4" s="39" t="str">
        <f>IF(Skemaoplysninger!$L9&gt;0,Skemaoplysninger!$M9,"")</f>
        <v/>
      </c>
      <c r="B4" s="39" t="str">
        <f>IF(Skemaoplysninger!$L9&gt;0,Skemaoplysninger!$N9,"")</f>
        <v/>
      </c>
      <c r="C4" s="36" t="str">
        <f>IF(Skemaoplysninger!$L9&gt;0,Skemaoplysninger!O9,"")</f>
        <v/>
      </c>
      <c r="D4" s="36" t="str">
        <f>IF(Skemaoplysninger!$L9&gt;0,Skemaoplysninger!P9,"")</f>
        <v/>
      </c>
      <c r="E4" s="36" t="str">
        <f>IF(Skemaoplysninger!$L9&gt;0,Skemaoplysninger!Q9,"")</f>
        <v/>
      </c>
      <c r="F4" s="36" t="str">
        <f>IF(Skemaoplysninger!$L9&gt;0,Skemaoplysninger!R9,"")</f>
        <v/>
      </c>
      <c r="G4" s="36" t="str">
        <f>IF(Skemaoplysninger!$L9&gt;0,Skemaoplysninger!S9,"")</f>
        <v/>
      </c>
    </row>
    <row r="5" spans="1:7" ht="20" customHeight="1">
      <c r="A5" s="40">
        <f>IF(Skemaoplysninger!$L10&gt;0,Skemaoplysninger!$M10,"")</f>
        <v>0.33333333333333331</v>
      </c>
      <c r="B5" s="40">
        <f>IF(Skemaoplysninger!$L10&gt;0,Skemaoplysninger!$N10,"")</f>
        <v>0.34375</v>
      </c>
      <c r="C5" s="676" t="str">
        <f>IF(Skemaoplysninger!$L10&gt;0,Skemaoplysninger!O10,"")</f>
        <v>Tilsyn MS</v>
      </c>
      <c r="D5" s="676" t="str">
        <f>IF(Skemaoplysninger!$L10&gt;0,Skemaoplysninger!P10,"")</f>
        <v>Tilsyn MS</v>
      </c>
      <c r="E5" s="676" t="str">
        <f>IF(Skemaoplysninger!$L10&gt;0,Skemaoplysninger!Q10,"")</f>
        <v>Tilsyn MS</v>
      </c>
      <c r="F5" s="676" t="str">
        <f>IF(Skemaoplysninger!$L10&gt;0,Skemaoplysninger!R10,"")</f>
        <v>Tilsyn MS</v>
      </c>
      <c r="G5" s="676" t="str">
        <f>IF(Skemaoplysninger!$L10&gt;0,Skemaoplysninger!S10,"")</f>
        <v>Tilsyn MS</v>
      </c>
    </row>
    <row r="6" spans="1:7" ht="20" customHeight="1">
      <c r="A6" s="39">
        <f>IF(Skemaoplysninger!$L11&gt;0,Skemaoplysninger!$M11,"")</f>
        <v>0.34375</v>
      </c>
      <c r="B6" s="39">
        <f>IF(Skemaoplysninger!$L11&gt;0,Skemaoplysninger!$N11,"")</f>
        <v>0.375</v>
      </c>
      <c r="C6" s="36" t="str">
        <f>IF(Skemaoplysninger!$L11&gt;0,Skemaoplysninger!O11,"")</f>
        <v>Dansk</v>
      </c>
      <c r="D6" s="36" t="str">
        <f>IF(Skemaoplysninger!$L11&gt;0,Skemaoplysninger!P11,"")</f>
        <v>Engelsk</v>
      </c>
      <c r="E6" s="36" t="str">
        <f>IF(Skemaoplysninger!$L11&gt;0,Skemaoplysninger!Q11,"")</f>
        <v>Historie</v>
      </c>
      <c r="F6" s="36" t="str">
        <f>IF(Skemaoplysninger!$L11&gt;0,Skemaoplysninger!R11,"")</f>
        <v>Tysk</v>
      </c>
      <c r="G6" s="36" t="str">
        <f>IF(Skemaoplysninger!$L11&gt;0,Skemaoplysninger!S11,"")</f>
        <v>Musik</v>
      </c>
    </row>
    <row r="7" spans="1:7" ht="20" customHeight="1">
      <c r="A7" s="40">
        <f>IF(Skemaoplysninger!$L12&gt;0,Skemaoplysninger!$M12,"")</f>
        <v>0.375</v>
      </c>
      <c r="B7" s="40">
        <f>IF(Skemaoplysninger!$L12&gt;0,Skemaoplysninger!$N12,"")</f>
        <v>0.37847222222222221</v>
      </c>
      <c r="C7" s="676" t="str">
        <f>IF(Skemaoplysninger!$L12&gt;0,Skemaoplysninger!O12,"")</f>
        <v xml:space="preserve">Tilsyn  </v>
      </c>
      <c r="D7" s="676" t="str">
        <f>IF(Skemaoplysninger!$L12&gt;0,Skemaoplysninger!P12,"")</f>
        <v xml:space="preserve">Tilsyn  </v>
      </c>
      <c r="E7" s="676" t="str">
        <f>IF(Skemaoplysninger!$L12&gt;0,Skemaoplysninger!Q12,"")</f>
        <v xml:space="preserve">Tilsyn  </v>
      </c>
      <c r="F7" s="676" t="str">
        <f>IF(Skemaoplysninger!$L12&gt;0,Skemaoplysninger!R12,"")</f>
        <v xml:space="preserve">Tilsyn  </v>
      </c>
      <c r="G7" s="676" t="str">
        <f>IF(Skemaoplysninger!$L12&gt;0,Skemaoplysninger!S12,"")</f>
        <v xml:space="preserve">Tilsyn   </v>
      </c>
    </row>
    <row r="8" spans="1:7" ht="20" customHeight="1">
      <c r="A8" s="39">
        <f>IF(Skemaoplysninger!$L13&gt;0,Skemaoplysninger!$M13,"")</f>
        <v>0.37847222222222221</v>
      </c>
      <c r="B8" s="39">
        <f>IF(Skemaoplysninger!$L13&gt;0,Skemaoplysninger!$N13,"")</f>
        <v>0.40972222222222221</v>
      </c>
      <c r="C8" s="36" t="str">
        <f>IF(Skemaoplysninger!$L13&gt;0,Skemaoplysninger!O13,"")</f>
        <v>Dansk</v>
      </c>
      <c r="D8" s="36" t="str">
        <f>IF(Skemaoplysninger!$L13&gt;0,Skemaoplysninger!P13,"")</f>
        <v>Engelsk</v>
      </c>
      <c r="E8" s="36" t="str">
        <f>IF(Skemaoplysninger!$L13&gt;0,Skemaoplysninger!Q13,"")</f>
        <v>Historie</v>
      </c>
      <c r="F8" s="36" t="str">
        <f>IF(Skemaoplysninger!$L13&gt;0,Skemaoplysninger!R13,"")</f>
        <v>Tysk</v>
      </c>
      <c r="G8" s="36" t="str">
        <f>IF(Skemaoplysninger!$L13&gt;0,Skemaoplysninger!S13,"")</f>
        <v>Musik</v>
      </c>
    </row>
    <row r="9" spans="1:7" ht="20" customHeight="1">
      <c r="A9" s="40">
        <f>IF(Skemaoplysninger!$L14&gt;0,Skemaoplysninger!$M14,"")</f>
        <v>0.40972222222222221</v>
      </c>
      <c r="B9" s="40">
        <f>IF(Skemaoplysninger!$L14&gt;0,Skemaoplysninger!$N14,"")</f>
        <v>0.41319444444444442</v>
      </c>
      <c r="C9" s="676" t="str">
        <f>IF(Skemaoplysninger!$L14&gt;0,Skemaoplysninger!O14,"")</f>
        <v>Gårdvagt</v>
      </c>
      <c r="D9" s="676" t="str">
        <f>IF(Skemaoplysninger!$L14&gt;0,Skemaoplysninger!P14,"")</f>
        <v>Gårdvagt</v>
      </c>
      <c r="E9" s="676" t="str">
        <f>IF(Skemaoplysninger!$L14&gt;0,Skemaoplysninger!Q14,"")</f>
        <v>Gårdvagt</v>
      </c>
      <c r="F9" s="676" t="str">
        <f>IF(Skemaoplysninger!$L14&gt;0,Skemaoplysninger!R14,"")</f>
        <v>Gårdvagt</v>
      </c>
      <c r="G9" s="676" t="str">
        <f>IF(Skemaoplysninger!$L14&gt;0,Skemaoplysninger!S14,"")</f>
        <v>Gårdvagt</v>
      </c>
    </row>
    <row r="10" spans="1:7" ht="20" customHeight="1">
      <c r="A10" s="39">
        <f>IF(Skemaoplysninger!$L15&gt;0,Skemaoplysninger!$M15,"")</f>
        <v>0.41319444444444442</v>
      </c>
      <c r="B10" s="39">
        <f>IF(Skemaoplysninger!$L15&gt;0,Skemaoplysninger!$N15,"")</f>
        <v>0.44444444444444442</v>
      </c>
      <c r="C10" s="36" t="str">
        <f>IF(Skemaoplysninger!$L15&gt;0,Skemaoplysninger!O15,"")</f>
        <v>Idræt</v>
      </c>
      <c r="D10" s="36" t="str">
        <f>IF(Skemaoplysninger!$L15&gt;0,Skemaoplysninger!P15,"")</f>
        <v>Billedkunst</v>
      </c>
      <c r="E10" s="36" t="str">
        <f>IF(Skemaoplysninger!$L15&gt;0,Skemaoplysninger!Q15,"")</f>
        <v>Dansk</v>
      </c>
      <c r="F10" s="36" t="str">
        <f>IF(Skemaoplysninger!$L15&gt;0,Skemaoplysninger!R15,"")</f>
        <v>Engelsk</v>
      </c>
      <c r="G10" s="36" t="str">
        <f>IF(Skemaoplysninger!$L15&gt;0,Skemaoplysninger!S15,"")</f>
        <v>Idræt</v>
      </c>
    </row>
    <row r="11" spans="1:7" ht="20" customHeight="1">
      <c r="A11" s="40">
        <f>IF(Skemaoplysninger!$L16&gt;0,Skemaoplysninger!$M16,"")</f>
        <v>0.44444444444444442</v>
      </c>
      <c r="B11" s="40">
        <f>IF(Skemaoplysninger!$L16&gt;0,Skemaoplysninger!$N16,"")</f>
        <v>0.44791666666666663</v>
      </c>
      <c r="C11" s="676" t="str">
        <f>IF(Skemaoplysninger!$L16&gt;0,Skemaoplysninger!O16,"")</f>
        <v>Tilsyn</v>
      </c>
      <c r="D11" s="676" t="str">
        <f>IF(Skemaoplysninger!$L16&gt;0,Skemaoplysninger!P16,"")</f>
        <v>Tilsyn</v>
      </c>
      <c r="E11" s="676" t="str">
        <f>IF(Skemaoplysninger!$L16&gt;0,Skemaoplysninger!Q16,"")</f>
        <v>Tilsyn</v>
      </c>
      <c r="F11" s="676" t="str">
        <f>IF(Skemaoplysninger!$L16&gt;0,Skemaoplysninger!R16,"")</f>
        <v>Tilsyn</v>
      </c>
      <c r="G11" s="676" t="str">
        <f>IF(Skemaoplysninger!$L16&gt;0,Skemaoplysninger!S16,"")</f>
        <v>Tilsny</v>
      </c>
    </row>
    <row r="12" spans="1:7" ht="20" customHeight="1">
      <c r="A12" s="39">
        <f>IF(Skemaoplysninger!$L17&gt;0,Skemaoplysninger!$M17,"")</f>
        <v>0.44791666666666663</v>
      </c>
      <c r="B12" s="39">
        <f>IF(Skemaoplysninger!$L17&gt;0,Skemaoplysninger!$N17,"")</f>
        <v>0.47916666666666663</v>
      </c>
      <c r="C12" s="36" t="str">
        <f>IF(Skemaoplysninger!$L17&gt;0,Skemaoplysninger!O17,"")</f>
        <v>Idræt</v>
      </c>
      <c r="D12" s="36" t="str">
        <f>IF(Skemaoplysninger!$L17&gt;0,Skemaoplysninger!P17,"")</f>
        <v>Billedkunst</v>
      </c>
      <c r="E12" s="36" t="str">
        <f>IF(Skemaoplysninger!$L17&gt;0,Skemaoplysninger!Q17,"")</f>
        <v>Dansk</v>
      </c>
      <c r="F12" s="36" t="str">
        <f>IF(Skemaoplysninger!$L17&gt;0,Skemaoplysninger!R17,"")</f>
        <v>Engelsk</v>
      </c>
      <c r="G12" s="36" t="str">
        <f>IF(Skemaoplysninger!$L17&gt;0,Skemaoplysninger!S17,"")</f>
        <v>Idræt</v>
      </c>
    </row>
    <row r="13" spans="1:7" ht="20" customHeight="1">
      <c r="A13" s="40">
        <f>IF(Skemaoplysninger!$L18&gt;0,Skemaoplysninger!$M18,"")</f>
        <v>0.47916666666666663</v>
      </c>
      <c r="B13" s="40">
        <f>IF(Skemaoplysninger!$L18&gt;0,Skemaoplysninger!$N18,"")</f>
        <v>0.49652777777777773</v>
      </c>
      <c r="C13" s="676" t="str">
        <f>IF(Skemaoplysninger!$L18&gt;0,Skemaoplysninger!O18,"")</f>
        <v>Tilsyn</v>
      </c>
      <c r="D13" s="676" t="str">
        <f>IF(Skemaoplysninger!$L18&gt;0,Skemaoplysninger!P18,"")</f>
        <v>Tilsyn</v>
      </c>
      <c r="E13" s="676">
        <f>IF(Skemaoplysninger!$L18&gt;0,Skemaoplysninger!Q18,"")</f>
        <v>0</v>
      </c>
      <c r="F13" s="676">
        <f>IF(Skemaoplysninger!$L18&gt;0,Skemaoplysninger!R18,"")</f>
        <v>0</v>
      </c>
      <c r="G13" s="676">
        <f>IF(Skemaoplysninger!$L18&gt;0,Skemaoplysninger!S18,"")</f>
        <v>0</v>
      </c>
    </row>
    <row r="14" spans="1:7" ht="20" customHeight="1">
      <c r="A14" s="39">
        <f>IF(Skemaoplysninger!$L19&gt;0,Skemaoplysninger!$M19,"")</f>
        <v>0.49652777777777773</v>
      </c>
      <c r="B14" s="39">
        <f>IF(Skemaoplysninger!$L19&gt;0,Skemaoplysninger!$N19,"")</f>
        <v>0.52777777777777768</v>
      </c>
      <c r="C14" s="36" t="str">
        <f>IF(Skemaoplysninger!$L19&gt;0,Skemaoplysninger!O19,"")</f>
        <v>Tværfag</v>
      </c>
      <c r="D14" s="36" t="str">
        <f>IF(Skemaoplysninger!$L19&gt;0,Skemaoplysninger!P19,"")</f>
        <v>Samf.fag</v>
      </c>
      <c r="E14" s="36">
        <f>IF(Skemaoplysninger!$L19&gt;0,Skemaoplysninger!Q19,"")</f>
        <v>0</v>
      </c>
      <c r="F14" s="36">
        <f>IF(Skemaoplysninger!$L19&gt;0,Skemaoplysninger!R19,"")</f>
        <v>0</v>
      </c>
      <c r="G14" s="36">
        <f>IF(Skemaoplysninger!$L19&gt;0,Skemaoplysninger!S19,"")</f>
        <v>0</v>
      </c>
    </row>
    <row r="15" spans="1:7" ht="20" customHeight="1">
      <c r="A15" s="40">
        <f>IF(Skemaoplysninger!$L20&gt;0,Skemaoplysninger!$M20,"")</f>
        <v>0.52777777777777768</v>
      </c>
      <c r="B15" s="40">
        <f>IF(Skemaoplysninger!$L20&gt;0,Skemaoplysninger!$N20,"")</f>
        <v>0.5347222222222221</v>
      </c>
      <c r="C15" s="676" t="str">
        <f>IF(Skemaoplysninger!$L20&gt;0,Skemaoplysninger!O20,"")</f>
        <v>Tilsyn</v>
      </c>
      <c r="D15" s="676" t="str">
        <f>IF(Skemaoplysninger!$L20&gt;0,Skemaoplysninger!P20,"")</f>
        <v>Tilsyn</v>
      </c>
      <c r="E15" s="676">
        <f>IF(Skemaoplysninger!$L20&gt;0,Skemaoplysninger!Q20,"")</f>
        <v>0</v>
      </c>
      <c r="F15" s="676">
        <f>IF(Skemaoplysninger!$L20&gt;0,Skemaoplysninger!R20,"")</f>
        <v>0</v>
      </c>
      <c r="G15" s="676">
        <f>IF(Skemaoplysninger!$L20&gt;0,Skemaoplysninger!S20,"")</f>
        <v>0</v>
      </c>
    </row>
    <row r="16" spans="1:7" ht="20" customHeight="1">
      <c r="A16" s="39">
        <f>IF(Skemaoplysninger!$L21&gt;0,Skemaoplysninger!$M21,"")</f>
        <v>0.5347222222222221</v>
      </c>
      <c r="B16" s="39">
        <f>IF(Skemaoplysninger!$L21&gt;0,Skemaoplysninger!$N21,"")</f>
        <v>0.5659722222222221</v>
      </c>
      <c r="C16" s="36" t="str">
        <f>IF(Skemaoplysninger!$L21&gt;0,Skemaoplysninger!O21,"")</f>
        <v>Tværfag</v>
      </c>
      <c r="D16" s="36" t="str">
        <f>IF(Skemaoplysninger!$L21&gt;0,Skemaoplysninger!P21,"")</f>
        <v>Samf.fag</v>
      </c>
      <c r="E16" s="36">
        <f>IF(Skemaoplysninger!$L21&gt;0,Skemaoplysninger!Q21,"")</f>
        <v>0</v>
      </c>
      <c r="F16" s="36">
        <f>IF(Skemaoplysninger!$L21&gt;0,Skemaoplysninger!R21,"")</f>
        <v>0</v>
      </c>
      <c r="G16" s="36">
        <f>IF(Skemaoplysninger!$L21&gt;0,Skemaoplysninger!S21,"")</f>
        <v>0</v>
      </c>
    </row>
    <row r="17" spans="1:7" ht="20" customHeight="1">
      <c r="A17" s="40">
        <f>IF(Skemaoplysninger!$L22&gt;0,Skemaoplysninger!$M22,"")</f>
        <v>0.5659722222222221</v>
      </c>
      <c r="B17" s="40">
        <f>IF(Skemaoplysninger!$L22&gt;0,Skemaoplysninger!$N22,"")</f>
        <v>0.56944444444444431</v>
      </c>
      <c r="C17" s="676">
        <f>IF(Skemaoplysninger!$L22&gt;0,Skemaoplysninger!O22,"")</f>
        <v>0</v>
      </c>
      <c r="D17" s="676">
        <f>IF(Skemaoplysninger!$L22&gt;0,Skemaoplysninger!P22,"")</f>
        <v>0</v>
      </c>
      <c r="E17" s="676">
        <f>IF(Skemaoplysninger!$L22&gt;0,Skemaoplysninger!Q22,"")</f>
        <v>0</v>
      </c>
      <c r="F17" s="676">
        <f>IF(Skemaoplysninger!$L22&gt;0,Skemaoplysninger!R22,"")</f>
        <v>0</v>
      </c>
      <c r="G17" s="676">
        <f>IF(Skemaoplysninger!$L22&gt;0,Skemaoplysninger!S22,"")</f>
        <v>0</v>
      </c>
    </row>
    <row r="18" spans="1:7" ht="20" customHeight="1">
      <c r="A18" s="39">
        <f>IF(Skemaoplysninger!$L23&gt;0,Skemaoplysninger!$M23,"")</f>
        <v>0.56944444444444431</v>
      </c>
      <c r="B18" s="39">
        <f>IF(Skemaoplysninger!$L23&gt;0,Skemaoplysninger!$N23,"")</f>
        <v>0.60069444444444431</v>
      </c>
      <c r="C18" s="36">
        <f>IF(Skemaoplysninger!$L23&gt;0,Skemaoplysninger!O23,"")</f>
        <v>0</v>
      </c>
      <c r="D18" s="36">
        <f>IF(Skemaoplysninger!$L23&gt;0,Skemaoplysninger!P23,"")</f>
        <v>0</v>
      </c>
      <c r="E18" s="36">
        <f>IF(Skemaoplysninger!$L23&gt;0,Skemaoplysninger!Q23,"")</f>
        <v>0</v>
      </c>
      <c r="F18" s="36">
        <f>IF(Skemaoplysninger!$L23&gt;0,Skemaoplysninger!R23,"")</f>
        <v>0</v>
      </c>
      <c r="G18" s="36">
        <f>IF(Skemaoplysninger!$L23&gt;0,Skemaoplysninger!S23,"")</f>
        <v>0</v>
      </c>
    </row>
    <row r="19" spans="1:7" ht="20" customHeight="1">
      <c r="A19" s="40" t="str">
        <f>IF(Skemaoplysninger!$L24&gt;0,Skemaoplysninger!$M24,"")</f>
        <v/>
      </c>
      <c r="B19" s="40" t="str">
        <f>IF(Skemaoplysninger!$L24&gt;0,Skemaoplysninger!$N24,"")</f>
        <v/>
      </c>
      <c r="C19" s="676" t="str">
        <f>IF(Skemaoplysninger!$L24&gt;0,Skemaoplysninger!O24,"")</f>
        <v/>
      </c>
      <c r="D19" s="676" t="str">
        <f>IF(Skemaoplysninger!$L24&gt;0,Skemaoplysninger!P24,"")</f>
        <v/>
      </c>
      <c r="E19" s="676" t="str">
        <f>IF(Skemaoplysninger!$L24&gt;0,Skemaoplysninger!Q24,"")</f>
        <v/>
      </c>
      <c r="F19" s="676" t="str">
        <f>IF(Skemaoplysninger!$L24&gt;0,Skemaoplysninger!R24,"")</f>
        <v/>
      </c>
      <c r="G19" s="676" t="str">
        <f>IF(Skemaoplysninger!$L24&gt;0,Skemaoplysninger!S24,"")</f>
        <v/>
      </c>
    </row>
    <row r="20" spans="1:7" ht="20" customHeight="1">
      <c r="A20" s="39" t="str">
        <f>IF(Skemaoplysninger!$L25&gt;0,Skemaoplysninger!$M25,"")</f>
        <v/>
      </c>
      <c r="B20" s="39" t="str">
        <f>IF(Skemaoplysninger!$L25&gt;0,Skemaoplysninger!$N25,"")</f>
        <v/>
      </c>
      <c r="C20" s="36" t="str">
        <f>IF(Skemaoplysninger!$L25&gt;0,Skemaoplysninger!O25,"")</f>
        <v/>
      </c>
      <c r="D20" s="36" t="str">
        <f>IF(Skemaoplysninger!$L25&gt;0,Skemaoplysninger!P25,"")</f>
        <v/>
      </c>
      <c r="E20" s="36" t="str">
        <f>IF(Skemaoplysninger!$L25&gt;0,Skemaoplysninger!Q25,"")</f>
        <v/>
      </c>
      <c r="F20" s="36" t="str">
        <f>IF(Skemaoplysninger!$L25&gt;0,Skemaoplysninger!R25,"")</f>
        <v/>
      </c>
      <c r="G20" s="36" t="str">
        <f>IF(Skemaoplysninger!$L25&gt;0,Skemaoplysninger!S25,"")</f>
        <v/>
      </c>
    </row>
    <row r="21" spans="1:7" ht="20" customHeight="1">
      <c r="A21" s="40" t="str">
        <f>IF(Skemaoplysninger!$L26&gt;0,Skemaoplysninger!$M26,"")</f>
        <v/>
      </c>
      <c r="B21" s="40" t="str">
        <f>IF(Skemaoplysninger!$L26&gt;0,Skemaoplysninger!$N26,"")</f>
        <v/>
      </c>
      <c r="C21" s="676" t="str">
        <f>IF(Skemaoplysninger!$L26&gt;0,Skemaoplysninger!O26,"")</f>
        <v/>
      </c>
      <c r="D21" s="676" t="str">
        <f>IF(Skemaoplysninger!$L26&gt;0,Skemaoplysninger!P26,"")</f>
        <v/>
      </c>
      <c r="E21" s="676" t="str">
        <f>IF(Skemaoplysninger!$L26&gt;0,Skemaoplysninger!Q26,"")</f>
        <v/>
      </c>
      <c r="F21" s="676" t="str">
        <f>IF(Skemaoplysninger!$L26&gt;0,Skemaoplysninger!R26,"")</f>
        <v/>
      </c>
      <c r="G21" s="676" t="str">
        <f>IF(Skemaoplysninger!$L26&gt;0,Skemaoplysninger!S26,"")</f>
        <v/>
      </c>
    </row>
    <row r="22" spans="1:7" ht="20" customHeight="1">
      <c r="A22" s="39" t="str">
        <f>IF(Skemaoplysninger!$L27&gt;0,Skemaoplysninger!$M27,"")</f>
        <v/>
      </c>
      <c r="B22" s="39" t="str">
        <f>IF(Skemaoplysninger!$L27&gt;0,Skemaoplysninger!$N27,"")</f>
        <v/>
      </c>
      <c r="C22" s="36" t="str">
        <f>IF(Skemaoplysninger!$L27&gt;0,Skemaoplysninger!O27,"")</f>
        <v/>
      </c>
      <c r="D22" s="36" t="str">
        <f>IF(Skemaoplysninger!$L27&gt;0,Skemaoplysninger!P27,"")</f>
        <v/>
      </c>
      <c r="E22" s="36" t="str">
        <f>IF(Skemaoplysninger!$L27&gt;0,Skemaoplysninger!Q27,"")</f>
        <v/>
      </c>
      <c r="F22" s="36" t="str">
        <f>IF(Skemaoplysninger!$L27&gt;0,Skemaoplysninger!R27,"")</f>
        <v/>
      </c>
      <c r="G22" s="36" t="str">
        <f>IF(Skemaoplysninger!$L27&gt;0,Skemaoplysninger!S27,"")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J20" sqref="J20"/>
    </sheetView>
  </sheetViews>
  <sheetFormatPr baseColWidth="10" defaultRowHeight="16"/>
  <cols>
    <col min="3" max="7" width="15.83203125" customWidth="1"/>
  </cols>
  <sheetData>
    <row r="1" spans="1:7" ht="32" customHeight="1">
      <c r="A1" s="1015" t="str">
        <f>Skemaoplysninger!U3</f>
        <v>Skema 3</v>
      </c>
      <c r="B1" s="1015"/>
      <c r="C1" s="1015"/>
      <c r="D1" s="1015"/>
      <c r="E1" s="1015"/>
      <c r="F1" s="1015"/>
      <c r="G1" s="1016"/>
    </row>
    <row r="2" spans="1:7" ht="32" customHeight="1">
      <c r="A2" s="1374" t="s">
        <v>261</v>
      </c>
      <c r="B2" s="1374"/>
      <c r="C2" s="1374"/>
      <c r="D2" s="1375">
        <f>Skemaoplysninger!Z5</f>
        <v>0</v>
      </c>
      <c r="E2" s="1375"/>
      <c r="F2" s="1375">
        <f>Skemaoplysninger!AB5</f>
        <v>0</v>
      </c>
      <c r="G2" s="1375"/>
    </row>
    <row r="3" spans="1:7" ht="32" customHeight="1">
      <c r="A3" s="498" t="s">
        <v>65</v>
      </c>
      <c r="B3" s="498" t="s">
        <v>66</v>
      </c>
      <c r="C3" s="499" t="s">
        <v>34</v>
      </c>
      <c r="D3" s="499" t="s">
        <v>35</v>
      </c>
      <c r="E3" s="499" t="s">
        <v>36</v>
      </c>
      <c r="F3" s="499" t="s">
        <v>37</v>
      </c>
      <c r="G3" s="500" t="s">
        <v>38</v>
      </c>
    </row>
    <row r="4" spans="1:7" ht="20" customHeight="1">
      <c r="A4" s="39" t="str">
        <f>IF(Skemaoplysninger!$V9&gt;0,Skemaoplysninger!$W9,"")</f>
        <v/>
      </c>
      <c r="B4" s="39" t="str">
        <f>IF(Skemaoplysninger!$V9&gt;0,Skemaoplysninger!$X9,"")</f>
        <v/>
      </c>
      <c r="C4" s="497" t="str">
        <f>IF(Skemaoplysninger!$V9&gt;0,Skemaoplysninger!Y9,"")</f>
        <v/>
      </c>
      <c r="D4" s="497" t="str">
        <f>IF(Skemaoplysninger!$V9&gt;0,Skemaoplysninger!Z9,"")</f>
        <v/>
      </c>
      <c r="E4" s="497" t="str">
        <f>IF(Skemaoplysninger!$V9&gt;0,Skemaoplysninger!AA9,"")</f>
        <v/>
      </c>
      <c r="F4" s="497" t="str">
        <f>IF(Skemaoplysninger!$V9&gt;0,Skemaoplysninger!AB9,"")</f>
        <v/>
      </c>
      <c r="G4" s="497" t="str">
        <f>IF(Skemaoplysninger!$V9&gt;0,Skemaoplysninger!AC9,"")</f>
        <v/>
      </c>
    </row>
    <row r="5" spans="1:7" ht="20" customHeight="1">
      <c r="A5" s="40" t="str">
        <f>IF(Skemaoplysninger!$V10&gt;0,Skemaoplysninger!$W10,"")</f>
        <v/>
      </c>
      <c r="B5" s="40" t="str">
        <f>IF(Skemaoplysninger!$V10&gt;0,Skemaoplysninger!$X10,"")</f>
        <v/>
      </c>
      <c r="C5" s="677" t="str">
        <f>IF(Skemaoplysninger!$V10&gt;0,Skemaoplysninger!Y10,"")</f>
        <v/>
      </c>
      <c r="D5" s="677" t="str">
        <f>IF(Skemaoplysninger!$V10&gt;0,Skemaoplysninger!Z10,"")</f>
        <v/>
      </c>
      <c r="E5" s="677" t="str">
        <f>IF(Skemaoplysninger!$V10&gt;0,Skemaoplysninger!AA10,"")</f>
        <v/>
      </c>
      <c r="F5" s="677" t="str">
        <f>IF(Skemaoplysninger!$V10&gt;0,Skemaoplysninger!AB10,"")</f>
        <v/>
      </c>
      <c r="G5" s="677" t="str">
        <f>IF(Skemaoplysninger!$V10&gt;0,Skemaoplysninger!AC10,"")</f>
        <v/>
      </c>
    </row>
    <row r="6" spans="1:7" ht="20" customHeight="1">
      <c r="A6" s="39" t="str">
        <f>IF(Skemaoplysninger!$V11&gt;0,Skemaoplysninger!$W11,"")</f>
        <v/>
      </c>
      <c r="B6" s="39" t="str">
        <f>IF(Skemaoplysninger!$V11&gt;0,Skemaoplysninger!$X11,"")</f>
        <v/>
      </c>
      <c r="C6" s="497" t="str">
        <f>IF(Skemaoplysninger!$V11&gt;0,Skemaoplysninger!Y11,"")</f>
        <v/>
      </c>
      <c r="D6" s="497" t="str">
        <f>IF(Skemaoplysninger!$V11&gt;0,Skemaoplysninger!Z11,"")</f>
        <v/>
      </c>
      <c r="E6" s="497" t="str">
        <f>IF(Skemaoplysninger!$V11&gt;0,Skemaoplysninger!AA11,"")</f>
        <v/>
      </c>
      <c r="F6" s="497" t="str">
        <f>IF(Skemaoplysninger!$V11&gt;0,Skemaoplysninger!AB11,"")</f>
        <v/>
      </c>
      <c r="G6" s="497" t="str">
        <f>IF(Skemaoplysninger!$V11&gt;0,Skemaoplysninger!AC11,"")</f>
        <v/>
      </c>
    </row>
    <row r="7" spans="1:7" ht="20" customHeight="1">
      <c r="A7" s="40" t="str">
        <f>IF(Skemaoplysninger!$V12&gt;0,Skemaoplysninger!$W12,"")</f>
        <v/>
      </c>
      <c r="B7" s="40" t="str">
        <f>IF(Skemaoplysninger!$V12&gt;0,Skemaoplysninger!$X12,"")</f>
        <v/>
      </c>
      <c r="C7" s="677" t="str">
        <f>IF(Skemaoplysninger!$V12&gt;0,Skemaoplysninger!Y12,"")</f>
        <v/>
      </c>
      <c r="D7" s="677" t="str">
        <f>IF(Skemaoplysninger!$V12&gt;0,Skemaoplysninger!Z12,"")</f>
        <v/>
      </c>
      <c r="E7" s="677" t="str">
        <f>IF(Skemaoplysninger!$V12&gt;0,Skemaoplysninger!AA12,"")</f>
        <v/>
      </c>
      <c r="F7" s="677" t="str">
        <f>IF(Skemaoplysninger!$V12&gt;0,Skemaoplysninger!AB12,"")</f>
        <v/>
      </c>
      <c r="G7" s="677" t="str">
        <f>IF(Skemaoplysninger!$V12&gt;0,Skemaoplysninger!AC12,"")</f>
        <v/>
      </c>
    </row>
    <row r="8" spans="1:7" ht="20" customHeight="1">
      <c r="A8" s="39" t="str">
        <f>IF(Skemaoplysninger!$V13&gt;0,Skemaoplysninger!$W13,"")</f>
        <v/>
      </c>
      <c r="B8" s="39" t="str">
        <f>IF(Skemaoplysninger!$V13&gt;0,Skemaoplysninger!$X13,"")</f>
        <v/>
      </c>
      <c r="C8" s="497" t="str">
        <f>IF(Skemaoplysninger!$V13&gt;0,Skemaoplysninger!Y13,"")</f>
        <v/>
      </c>
      <c r="D8" s="497" t="str">
        <f>IF(Skemaoplysninger!$V13&gt;0,Skemaoplysninger!Z13,"")</f>
        <v/>
      </c>
      <c r="E8" s="497" t="str">
        <f>IF(Skemaoplysninger!$V13&gt;0,Skemaoplysninger!AA13,"")</f>
        <v/>
      </c>
      <c r="F8" s="497" t="str">
        <f>IF(Skemaoplysninger!$V13&gt;0,Skemaoplysninger!AB13,"")</f>
        <v/>
      </c>
      <c r="G8" s="497" t="str">
        <f>IF(Skemaoplysninger!$V13&gt;0,Skemaoplysninger!AC13,"")</f>
        <v/>
      </c>
    </row>
    <row r="9" spans="1:7" ht="20" customHeight="1">
      <c r="A9" s="40" t="str">
        <f>IF(Skemaoplysninger!$V14&gt;0,Skemaoplysninger!$W14,"")</f>
        <v/>
      </c>
      <c r="B9" s="40" t="str">
        <f>IF(Skemaoplysninger!$V14&gt;0,Skemaoplysninger!$X14,"")</f>
        <v/>
      </c>
      <c r="C9" s="677" t="str">
        <f>IF(Skemaoplysninger!$V14&gt;0,Skemaoplysninger!Y14,"")</f>
        <v/>
      </c>
      <c r="D9" s="677" t="str">
        <f>IF(Skemaoplysninger!$V14&gt;0,Skemaoplysninger!Z14,"")</f>
        <v/>
      </c>
      <c r="E9" s="677" t="str">
        <f>IF(Skemaoplysninger!$V14&gt;0,Skemaoplysninger!AA14,"")</f>
        <v/>
      </c>
      <c r="F9" s="677" t="str">
        <f>IF(Skemaoplysninger!$V14&gt;0,Skemaoplysninger!AB14,"")</f>
        <v/>
      </c>
      <c r="G9" s="677" t="str">
        <f>IF(Skemaoplysninger!$V14&gt;0,Skemaoplysninger!AC14,"")</f>
        <v/>
      </c>
    </row>
    <row r="10" spans="1:7" ht="20" customHeight="1">
      <c r="A10" s="39" t="str">
        <f>IF(Skemaoplysninger!$V15&gt;0,Skemaoplysninger!$W15,"")</f>
        <v/>
      </c>
      <c r="B10" s="39" t="str">
        <f>IF(Skemaoplysninger!$V15&gt;0,Skemaoplysninger!$X15,"")</f>
        <v/>
      </c>
      <c r="C10" s="497" t="str">
        <f>IF(Skemaoplysninger!$V15&gt;0,Skemaoplysninger!Y15,"")</f>
        <v/>
      </c>
      <c r="D10" s="497" t="str">
        <f>IF(Skemaoplysninger!$V15&gt;0,Skemaoplysninger!Z15,"")</f>
        <v/>
      </c>
      <c r="E10" s="497" t="str">
        <f>IF(Skemaoplysninger!$V15&gt;0,Skemaoplysninger!AA15,"")</f>
        <v/>
      </c>
      <c r="F10" s="497" t="str">
        <f>IF(Skemaoplysninger!$V15&gt;0,Skemaoplysninger!AB15,"")</f>
        <v/>
      </c>
      <c r="G10" s="497" t="str">
        <f>IF(Skemaoplysninger!$V15&gt;0,Skemaoplysninger!AC15,"")</f>
        <v/>
      </c>
    </row>
    <row r="11" spans="1:7" ht="20" customHeight="1">
      <c r="A11" s="40" t="str">
        <f>IF(Skemaoplysninger!$V16&gt;0,Skemaoplysninger!$W16,"")</f>
        <v/>
      </c>
      <c r="B11" s="40" t="str">
        <f>IF(Skemaoplysninger!$V16&gt;0,Skemaoplysninger!$X16,"")</f>
        <v/>
      </c>
      <c r="C11" s="677" t="str">
        <f>IF(Skemaoplysninger!$V16&gt;0,Skemaoplysninger!Y16,"")</f>
        <v/>
      </c>
      <c r="D11" s="677" t="str">
        <f>IF(Skemaoplysninger!$V16&gt;0,Skemaoplysninger!Z16,"")</f>
        <v/>
      </c>
      <c r="E11" s="677" t="str">
        <f>IF(Skemaoplysninger!$V16&gt;0,Skemaoplysninger!AA16,"")</f>
        <v/>
      </c>
      <c r="F11" s="677" t="str">
        <f>IF(Skemaoplysninger!$V16&gt;0,Skemaoplysninger!AB16,"")</f>
        <v/>
      </c>
      <c r="G11" s="677" t="str">
        <f>IF(Skemaoplysninger!$V16&gt;0,Skemaoplysninger!AC16,"")</f>
        <v/>
      </c>
    </row>
    <row r="12" spans="1:7" ht="20" customHeight="1">
      <c r="A12" s="39" t="str">
        <f>IF(Skemaoplysninger!$V17&gt;0,Skemaoplysninger!$W17,"")</f>
        <v/>
      </c>
      <c r="B12" s="39" t="str">
        <f>IF(Skemaoplysninger!$V17&gt;0,Skemaoplysninger!$X17,"")</f>
        <v/>
      </c>
      <c r="C12" s="497" t="str">
        <f>IF(Skemaoplysninger!$V17&gt;0,Skemaoplysninger!Y17,"")</f>
        <v/>
      </c>
      <c r="D12" s="497" t="str">
        <f>IF(Skemaoplysninger!$V17&gt;0,Skemaoplysninger!Z17,"")</f>
        <v/>
      </c>
      <c r="E12" s="497" t="str">
        <f>IF(Skemaoplysninger!$V17&gt;0,Skemaoplysninger!AA17,"")</f>
        <v/>
      </c>
      <c r="F12" s="497" t="str">
        <f>IF(Skemaoplysninger!$V17&gt;0,Skemaoplysninger!AB17,"")</f>
        <v/>
      </c>
      <c r="G12" s="497" t="str">
        <f>IF(Skemaoplysninger!$V17&gt;0,Skemaoplysninger!AC17,"")</f>
        <v/>
      </c>
    </row>
    <row r="13" spans="1:7" ht="20" customHeight="1">
      <c r="A13" s="40" t="str">
        <f>IF(Skemaoplysninger!$V18&gt;0,Skemaoplysninger!$W18,"")</f>
        <v/>
      </c>
      <c r="B13" s="40" t="str">
        <f>IF(Skemaoplysninger!$V18&gt;0,Skemaoplysninger!$X18,"")</f>
        <v/>
      </c>
      <c r="C13" s="677" t="str">
        <f>IF(Skemaoplysninger!$V18&gt;0,Skemaoplysninger!Y18,"")</f>
        <v/>
      </c>
      <c r="D13" s="677" t="str">
        <f>IF(Skemaoplysninger!$V18&gt;0,Skemaoplysninger!Z18,"")</f>
        <v/>
      </c>
      <c r="E13" s="677" t="str">
        <f>IF(Skemaoplysninger!$V18&gt;0,Skemaoplysninger!AA18,"")</f>
        <v/>
      </c>
      <c r="F13" s="677" t="str">
        <f>IF(Skemaoplysninger!$V18&gt;0,Skemaoplysninger!AB18,"")</f>
        <v/>
      </c>
      <c r="G13" s="677" t="str">
        <f>IF(Skemaoplysninger!$V18&gt;0,Skemaoplysninger!AC18,"")</f>
        <v/>
      </c>
    </row>
    <row r="14" spans="1:7" ht="20" customHeight="1">
      <c r="A14" s="39" t="str">
        <f>IF(Skemaoplysninger!$V19&gt;0,Skemaoplysninger!$W19,"")</f>
        <v/>
      </c>
      <c r="B14" s="39" t="str">
        <f>IF(Skemaoplysninger!$V19&gt;0,Skemaoplysninger!$X19,"")</f>
        <v/>
      </c>
      <c r="C14" s="497" t="str">
        <f>IF(Skemaoplysninger!$V19&gt;0,Skemaoplysninger!Y19,"")</f>
        <v/>
      </c>
      <c r="D14" s="497" t="str">
        <f>IF(Skemaoplysninger!$V19&gt;0,Skemaoplysninger!Z19,"")</f>
        <v/>
      </c>
      <c r="E14" s="497" t="str">
        <f>IF(Skemaoplysninger!$V19&gt;0,Skemaoplysninger!AA19,"")</f>
        <v/>
      </c>
      <c r="F14" s="497" t="str">
        <f>IF(Skemaoplysninger!$V19&gt;0,Skemaoplysninger!AB19,"")</f>
        <v/>
      </c>
      <c r="G14" s="497" t="str">
        <f>IF(Skemaoplysninger!$V19&gt;0,Skemaoplysninger!AC19,"")</f>
        <v/>
      </c>
    </row>
    <row r="15" spans="1:7" ht="20" customHeight="1">
      <c r="A15" s="40" t="str">
        <f>IF(Skemaoplysninger!$V20&gt;0,Skemaoplysninger!$W20,"")</f>
        <v/>
      </c>
      <c r="B15" s="40" t="str">
        <f>IF(Skemaoplysninger!$V20&gt;0,Skemaoplysninger!$X20,"")</f>
        <v/>
      </c>
      <c r="C15" s="677" t="str">
        <f>IF(Skemaoplysninger!$V20&gt;0,Skemaoplysninger!Y20,"")</f>
        <v/>
      </c>
      <c r="D15" s="677" t="str">
        <f>IF(Skemaoplysninger!$V20&gt;0,Skemaoplysninger!Z20,"")</f>
        <v/>
      </c>
      <c r="E15" s="677" t="str">
        <f>IF(Skemaoplysninger!$V20&gt;0,Skemaoplysninger!AA20,"")</f>
        <v/>
      </c>
      <c r="F15" s="677" t="str">
        <f>IF(Skemaoplysninger!$V20&gt;0,Skemaoplysninger!AB20,"")</f>
        <v/>
      </c>
      <c r="G15" s="677" t="str">
        <f>IF(Skemaoplysninger!$V20&gt;0,Skemaoplysninger!AC20,"")</f>
        <v/>
      </c>
    </row>
    <row r="16" spans="1:7" ht="20" customHeight="1">
      <c r="A16" s="39" t="str">
        <f>IF(Skemaoplysninger!$V21&gt;0,Skemaoplysninger!$W21,"")</f>
        <v/>
      </c>
      <c r="B16" s="39" t="str">
        <f>IF(Skemaoplysninger!$V21&gt;0,Skemaoplysninger!$X21,"")</f>
        <v/>
      </c>
      <c r="C16" s="497" t="str">
        <f>IF(Skemaoplysninger!$V21&gt;0,Skemaoplysninger!Y21,"")</f>
        <v/>
      </c>
      <c r="D16" s="497" t="str">
        <f>IF(Skemaoplysninger!$V21&gt;0,Skemaoplysninger!Z21,"")</f>
        <v/>
      </c>
      <c r="E16" s="497" t="str">
        <f>IF(Skemaoplysninger!$V21&gt;0,Skemaoplysninger!AA21,"")</f>
        <v/>
      </c>
      <c r="F16" s="497" t="str">
        <f>IF(Skemaoplysninger!$V21&gt;0,Skemaoplysninger!AB21,"")</f>
        <v/>
      </c>
      <c r="G16" s="497" t="str">
        <f>IF(Skemaoplysninger!$V21&gt;0,Skemaoplysninger!AC21,"")</f>
        <v/>
      </c>
    </row>
    <row r="17" spans="1:7" ht="20" customHeight="1">
      <c r="A17" s="40" t="str">
        <f>IF(Skemaoplysninger!$V22&gt;0,Skemaoplysninger!$W22,"")</f>
        <v/>
      </c>
      <c r="B17" s="40" t="str">
        <f>IF(Skemaoplysninger!$V22&gt;0,Skemaoplysninger!$X22,"")</f>
        <v/>
      </c>
      <c r="C17" s="677" t="str">
        <f>IF(Skemaoplysninger!$V22&gt;0,Skemaoplysninger!Y22,"")</f>
        <v/>
      </c>
      <c r="D17" s="677" t="str">
        <f>IF(Skemaoplysninger!$V22&gt;0,Skemaoplysninger!Z22,"")</f>
        <v/>
      </c>
      <c r="E17" s="677" t="str">
        <f>IF(Skemaoplysninger!$V22&gt;0,Skemaoplysninger!AA22,"")</f>
        <v/>
      </c>
      <c r="F17" s="677" t="str">
        <f>IF(Skemaoplysninger!$V22&gt;0,Skemaoplysninger!AB22,"")</f>
        <v/>
      </c>
      <c r="G17" s="677" t="str">
        <f>IF(Skemaoplysninger!$V22&gt;0,Skemaoplysninger!AC22,"")</f>
        <v/>
      </c>
    </row>
    <row r="18" spans="1:7" ht="20" customHeight="1">
      <c r="A18" s="39" t="str">
        <f>IF(Skemaoplysninger!$V23&gt;0,Skemaoplysninger!$W23,"")</f>
        <v/>
      </c>
      <c r="B18" s="39" t="str">
        <f>IF(Skemaoplysninger!$V23&gt;0,Skemaoplysninger!$X23,"")</f>
        <v/>
      </c>
      <c r="C18" s="497" t="str">
        <f>IF(Skemaoplysninger!$V23&gt;0,Skemaoplysninger!Y23,"")</f>
        <v/>
      </c>
      <c r="D18" s="497" t="str">
        <f>IF(Skemaoplysninger!$V23&gt;0,Skemaoplysninger!Z23,"")</f>
        <v/>
      </c>
      <c r="E18" s="497" t="str">
        <f>IF(Skemaoplysninger!$V23&gt;0,Skemaoplysninger!AA23,"")</f>
        <v/>
      </c>
      <c r="F18" s="497" t="str">
        <f>IF(Skemaoplysninger!$V23&gt;0,Skemaoplysninger!AB23,"")</f>
        <v/>
      </c>
      <c r="G18" s="497" t="str">
        <f>IF(Skemaoplysninger!$V23&gt;0,Skemaoplysninger!AC23,"")</f>
        <v/>
      </c>
    </row>
    <row r="19" spans="1:7" ht="20" customHeight="1">
      <c r="A19" s="40" t="str">
        <f>IF(Skemaoplysninger!$V24&gt;0,Skemaoplysninger!$W24,"")</f>
        <v/>
      </c>
      <c r="B19" s="40" t="str">
        <f>IF(Skemaoplysninger!$V24&gt;0,Skemaoplysninger!$X24,"")</f>
        <v/>
      </c>
      <c r="C19" s="677" t="str">
        <f>IF(Skemaoplysninger!$V24&gt;0,Skemaoplysninger!Y24,"")</f>
        <v/>
      </c>
      <c r="D19" s="677" t="str">
        <f>IF(Skemaoplysninger!$V24&gt;0,Skemaoplysninger!Z24,"")</f>
        <v/>
      </c>
      <c r="E19" s="677" t="str">
        <f>IF(Skemaoplysninger!$V24&gt;0,Skemaoplysninger!AA24,"")</f>
        <v/>
      </c>
      <c r="F19" s="677" t="str">
        <f>IF(Skemaoplysninger!$V24&gt;0,Skemaoplysninger!AB24,"")</f>
        <v/>
      </c>
      <c r="G19" s="677" t="str">
        <f>IF(Skemaoplysninger!$V24&gt;0,Skemaoplysninger!AC24,"")</f>
        <v/>
      </c>
    </row>
    <row r="20" spans="1:7" ht="20" customHeight="1">
      <c r="A20" s="39" t="str">
        <f>IF(Skemaoplysninger!$V25&gt;0,Skemaoplysninger!$W25,"")</f>
        <v/>
      </c>
      <c r="B20" s="39" t="str">
        <f>IF(Skemaoplysninger!$V25&gt;0,Skemaoplysninger!$X25,"")</f>
        <v/>
      </c>
      <c r="C20" s="497" t="str">
        <f>IF(Skemaoplysninger!$V25&gt;0,Skemaoplysninger!Y25,"")</f>
        <v/>
      </c>
      <c r="D20" s="497" t="str">
        <f>IF(Skemaoplysninger!$V25&gt;0,Skemaoplysninger!Z25,"")</f>
        <v/>
      </c>
      <c r="E20" s="497" t="str">
        <f>IF(Skemaoplysninger!$V25&gt;0,Skemaoplysninger!AA25,"")</f>
        <v/>
      </c>
      <c r="F20" s="497" t="str">
        <f>IF(Skemaoplysninger!$V25&gt;0,Skemaoplysninger!AB25,"")</f>
        <v/>
      </c>
      <c r="G20" s="497" t="str">
        <f>IF(Skemaoplysninger!$V25&gt;0,Skemaoplysninger!AC25,"")</f>
        <v/>
      </c>
    </row>
    <row r="21" spans="1:7" ht="20" customHeight="1">
      <c r="A21" s="40" t="str">
        <f>IF(Skemaoplysninger!$V26&gt;0,Skemaoplysninger!$W26,"")</f>
        <v/>
      </c>
      <c r="B21" s="40" t="str">
        <f>IF(Skemaoplysninger!$V26&gt;0,Skemaoplysninger!$X26,"")</f>
        <v/>
      </c>
      <c r="C21" s="677" t="str">
        <f>IF(Skemaoplysninger!$V26&gt;0,Skemaoplysninger!Y26,"")</f>
        <v/>
      </c>
      <c r="D21" s="677" t="str">
        <f>IF(Skemaoplysninger!$V26&gt;0,Skemaoplysninger!Z26,"")</f>
        <v/>
      </c>
      <c r="E21" s="677" t="str">
        <f>IF(Skemaoplysninger!$V26&gt;0,Skemaoplysninger!AA26,"")</f>
        <v/>
      </c>
      <c r="F21" s="677" t="str">
        <f>IF(Skemaoplysninger!$V26&gt;0,Skemaoplysninger!AB26,"")</f>
        <v/>
      </c>
      <c r="G21" s="677" t="str">
        <f>IF(Skemaoplysninger!$V26&gt;0,Skemaoplysninger!AC26,"")</f>
        <v/>
      </c>
    </row>
    <row r="22" spans="1:7" ht="20" customHeight="1">
      <c r="A22" s="39" t="str">
        <f>IF(Skemaoplysninger!$V27&gt;0,Skemaoplysninger!$W27,"")</f>
        <v/>
      </c>
      <c r="B22" s="39" t="str">
        <f>IF(Skemaoplysninger!$V27&gt;0,Skemaoplysninger!$X27,"")</f>
        <v/>
      </c>
      <c r="C22" s="497" t="str">
        <f>IF(Skemaoplysninger!$V27&gt;0,Skemaoplysninger!Y27,"")</f>
        <v/>
      </c>
      <c r="D22" s="497" t="str">
        <f>IF(Skemaoplysninger!$V27&gt;0,Skemaoplysninger!Z27,"")</f>
        <v/>
      </c>
      <c r="E22" s="497" t="str">
        <f>IF(Skemaoplysninger!$V27&gt;0,Skemaoplysninger!AA27,"")</f>
        <v/>
      </c>
      <c r="F22" s="497" t="str">
        <f>IF(Skemaoplysninger!$V27&gt;0,Skemaoplysninger!AB27,"")</f>
        <v/>
      </c>
      <c r="G22" s="497" t="str">
        <f>IF(Skemaoplysninger!$V27&gt;0,Skemaoplysninger!AC27,"")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E16" sqref="E16"/>
    </sheetView>
  </sheetViews>
  <sheetFormatPr baseColWidth="10" defaultRowHeight="16"/>
  <cols>
    <col min="3" max="7" width="15.83203125" customWidth="1"/>
  </cols>
  <sheetData>
    <row r="1" spans="1:7" ht="32" customHeight="1">
      <c r="A1" s="1015" t="str">
        <f>Skemaoplysninger!AE3</f>
        <v>Skema 4</v>
      </c>
      <c r="B1" s="1015"/>
      <c r="C1" s="1015"/>
      <c r="D1" s="1015"/>
      <c r="E1" s="1015"/>
      <c r="F1" s="1015"/>
      <c r="G1" s="1016"/>
    </row>
    <row r="2" spans="1:7" ht="32" customHeight="1">
      <c r="A2" s="1374" t="s">
        <v>261</v>
      </c>
      <c r="B2" s="1374"/>
      <c r="C2" s="1374"/>
      <c r="D2" s="1375">
        <f>Skemaoplysninger!AJ5</f>
        <v>0</v>
      </c>
      <c r="E2" s="1375"/>
      <c r="F2" s="1375">
        <f>Skemaoplysninger!AL5</f>
        <v>0</v>
      </c>
      <c r="G2" s="1375"/>
    </row>
    <row r="3" spans="1:7" ht="32" customHeight="1">
      <c r="A3" s="498" t="s">
        <v>65</v>
      </c>
      <c r="B3" s="498" t="s">
        <v>66</v>
      </c>
      <c r="C3" s="499" t="s">
        <v>34</v>
      </c>
      <c r="D3" s="499" t="s">
        <v>35</v>
      </c>
      <c r="E3" s="499" t="s">
        <v>36</v>
      </c>
      <c r="F3" s="499" t="s">
        <v>37</v>
      </c>
      <c r="G3" s="500" t="s">
        <v>38</v>
      </c>
    </row>
    <row r="4" spans="1:7" ht="20" customHeight="1">
      <c r="A4" s="39" t="str">
        <f>IF(Skemaoplysninger!$AF9&gt;0,Skemaoplysninger!$AG9,"")</f>
        <v/>
      </c>
      <c r="B4" s="39" t="str">
        <f>IF(Skemaoplysninger!AF9&gt;0,Skemaoplysninger!AH9,"")</f>
        <v/>
      </c>
      <c r="C4" s="497" t="str">
        <f>IF(Skemaoplysninger!$AF$9&gt;0,Skemaoplysninger!$AI9,"")</f>
        <v/>
      </c>
      <c r="D4" s="497" t="str">
        <f>IF(Skemaoplysninger!$AF9&gt;0,Skemaoplysninger!$AI9,"")</f>
        <v/>
      </c>
      <c r="E4" s="497" t="str">
        <f>IF(Skemaoplysninger!$AF9&gt;0,Skemaoplysninger!$AI9,"")</f>
        <v/>
      </c>
      <c r="F4" s="497" t="str">
        <f>IF(Skemaoplysninger!$AF9&gt;0,Skemaoplysninger!$AI9,"")</f>
        <v/>
      </c>
      <c r="G4" s="497" t="str">
        <f>IF(Skemaoplysninger!$AF9&gt;0,Skemaoplysninger!$AI9,"")</f>
        <v/>
      </c>
    </row>
    <row r="5" spans="1:7" ht="20" customHeight="1">
      <c r="A5" s="40" t="str">
        <f>IF(Skemaoplysninger!$AF10&gt;0,Skemaoplysninger!$AG10,"")</f>
        <v/>
      </c>
      <c r="B5" s="40" t="str">
        <f>IF(Skemaoplysninger!AF10&gt;0,Skemaoplysninger!AH10,"")</f>
        <v/>
      </c>
      <c r="C5" s="677" t="str">
        <f>IF(Skemaoplysninger!$AF10&gt;0,Skemaoplysninger!$AI10,"")</f>
        <v/>
      </c>
      <c r="D5" s="677" t="str">
        <f>IF(Skemaoplysninger!$AF10&gt;0,Skemaoplysninger!$AI10,"")</f>
        <v/>
      </c>
      <c r="E5" s="677" t="str">
        <f>IF(Skemaoplysninger!$AF10&gt;0,Skemaoplysninger!$AI10,"")</f>
        <v/>
      </c>
      <c r="F5" s="677" t="str">
        <f>IF(Skemaoplysninger!$AF10&gt;0,Skemaoplysninger!$AI10,"")</f>
        <v/>
      </c>
      <c r="G5" s="677" t="str">
        <f>IF(Skemaoplysninger!$AF10&gt;0,Skemaoplysninger!$AI10,"")</f>
        <v/>
      </c>
    </row>
    <row r="6" spans="1:7" ht="20" customHeight="1">
      <c r="A6" s="39" t="str">
        <f>IF(Skemaoplysninger!$AF11&gt;0,Skemaoplysninger!$AG11,"")</f>
        <v/>
      </c>
      <c r="B6" s="39" t="str">
        <f>IF(Skemaoplysninger!AF11&gt;0,Skemaoplysninger!AH11,"")</f>
        <v/>
      </c>
      <c r="C6" s="497" t="str">
        <f>IF(Skemaoplysninger!$AF11&gt;0,Skemaoplysninger!$AI11,"")</f>
        <v/>
      </c>
      <c r="D6" s="497" t="str">
        <f>IF(Skemaoplysninger!$AF11&gt;0,Skemaoplysninger!$AI11,"")</f>
        <v/>
      </c>
      <c r="E6" s="497" t="str">
        <f>IF(Skemaoplysninger!$AF11&gt;0,Skemaoplysninger!$AI11,"")</f>
        <v/>
      </c>
      <c r="F6" s="497" t="str">
        <f>IF(Skemaoplysninger!$AF11&gt;0,Skemaoplysninger!$AI11,"")</f>
        <v/>
      </c>
      <c r="G6" s="497" t="str">
        <f>IF(Skemaoplysninger!$AF11&gt;0,Skemaoplysninger!$AI11,"")</f>
        <v/>
      </c>
    </row>
    <row r="7" spans="1:7" ht="20" customHeight="1">
      <c r="A7" s="40" t="str">
        <f>IF(Skemaoplysninger!$AF12&gt;0,Skemaoplysninger!$AG12,"")</f>
        <v/>
      </c>
      <c r="B7" s="40" t="str">
        <f>IF(Skemaoplysninger!AF12&gt;0,Skemaoplysninger!AH12,"")</f>
        <v/>
      </c>
      <c r="C7" s="677" t="str">
        <f>IF(Skemaoplysninger!$AF12&gt;0,Skemaoplysninger!$AI12,"")</f>
        <v/>
      </c>
      <c r="D7" s="677" t="str">
        <f>IF(Skemaoplysninger!$AF12&gt;0,Skemaoplysninger!$AI12,"")</f>
        <v/>
      </c>
      <c r="E7" s="677" t="str">
        <f>IF(Skemaoplysninger!$AF12&gt;0,Skemaoplysninger!$AI12,"")</f>
        <v/>
      </c>
      <c r="F7" s="677" t="str">
        <f>IF(Skemaoplysninger!$AF12&gt;0,Skemaoplysninger!$AI12,"")</f>
        <v/>
      </c>
      <c r="G7" s="677" t="str">
        <f>IF(Skemaoplysninger!$AF12&gt;0,Skemaoplysninger!$AI12,"")</f>
        <v/>
      </c>
    </row>
    <row r="8" spans="1:7" ht="20" customHeight="1">
      <c r="A8" s="39" t="str">
        <f>IF(Skemaoplysninger!$AF13&gt;0,Skemaoplysninger!$AG13,"")</f>
        <v/>
      </c>
      <c r="B8" s="39" t="str">
        <f>IF(Skemaoplysninger!AF13&gt;0,Skemaoplysninger!AH13,"")</f>
        <v/>
      </c>
      <c r="C8" s="497" t="str">
        <f>IF(Skemaoplysninger!$AF13&gt;0,Skemaoplysninger!$AI13,"")</f>
        <v/>
      </c>
      <c r="D8" s="497" t="str">
        <f>IF(Skemaoplysninger!$AF13&gt;0,Skemaoplysninger!$AI13,"")</f>
        <v/>
      </c>
      <c r="E8" s="497" t="str">
        <f>IF(Skemaoplysninger!$AF13&gt;0,Skemaoplysninger!$AI13,"")</f>
        <v/>
      </c>
      <c r="F8" s="497" t="str">
        <f>IF(Skemaoplysninger!$AF13&gt;0,Skemaoplysninger!$AI13,"")</f>
        <v/>
      </c>
      <c r="G8" s="497" t="str">
        <f>IF(Skemaoplysninger!$AF13&gt;0,Skemaoplysninger!$AI13,"")</f>
        <v/>
      </c>
    </row>
    <row r="9" spans="1:7" ht="20" customHeight="1">
      <c r="A9" s="40" t="str">
        <f>IF(Skemaoplysninger!$AF14&gt;0,Skemaoplysninger!$AG14,"")</f>
        <v/>
      </c>
      <c r="B9" s="40" t="str">
        <f>IF(Skemaoplysninger!AF14&gt;0,Skemaoplysninger!AH14,"")</f>
        <v/>
      </c>
      <c r="C9" s="677" t="str">
        <f>IF(Skemaoplysninger!$AF14&gt;0,Skemaoplysninger!$AI14,"")</f>
        <v/>
      </c>
      <c r="D9" s="677" t="str">
        <f>IF(Skemaoplysninger!$AF14&gt;0,Skemaoplysninger!$AI14,"")</f>
        <v/>
      </c>
      <c r="E9" s="677" t="str">
        <f>IF(Skemaoplysninger!$AF14&gt;0,Skemaoplysninger!$AI14,"")</f>
        <v/>
      </c>
      <c r="F9" s="677" t="str">
        <f>IF(Skemaoplysninger!$AF14&gt;0,Skemaoplysninger!$AI14,"")</f>
        <v/>
      </c>
      <c r="G9" s="677" t="str">
        <f>IF(Skemaoplysninger!$AF14&gt;0,Skemaoplysninger!$AI14,"")</f>
        <v/>
      </c>
    </row>
    <row r="10" spans="1:7" ht="20" customHeight="1">
      <c r="A10" s="39" t="str">
        <f>IF(Skemaoplysninger!$AF15&gt;0,Skemaoplysninger!$AG15,"")</f>
        <v/>
      </c>
      <c r="B10" s="39" t="str">
        <f>IF(Skemaoplysninger!AF15&gt;0,Skemaoplysninger!AH15,"")</f>
        <v/>
      </c>
      <c r="C10" s="497" t="str">
        <f>IF(Skemaoplysninger!$AF15&gt;0,Skemaoplysninger!$AI15,"")</f>
        <v/>
      </c>
      <c r="D10" s="497" t="str">
        <f>IF(Skemaoplysninger!$AF15&gt;0,Skemaoplysninger!$AI15,"")</f>
        <v/>
      </c>
      <c r="E10" s="497" t="str">
        <f>IF(Skemaoplysninger!$AF15&gt;0,Skemaoplysninger!$AI15,"")</f>
        <v/>
      </c>
      <c r="F10" s="497" t="str">
        <f>IF(Skemaoplysninger!$AF15&gt;0,Skemaoplysninger!$AI15,"")</f>
        <v/>
      </c>
      <c r="G10" s="497" t="str">
        <f>IF(Skemaoplysninger!$AF15&gt;0,Skemaoplysninger!$AI15,"")</f>
        <v/>
      </c>
    </row>
    <row r="11" spans="1:7" ht="20" customHeight="1">
      <c r="A11" s="40" t="str">
        <f>IF(Skemaoplysninger!$AF16&gt;0,Skemaoplysninger!$AG16,"")</f>
        <v/>
      </c>
      <c r="B11" s="40" t="str">
        <f>IF(Skemaoplysninger!AF16&gt;0,Skemaoplysninger!AH16,"")</f>
        <v/>
      </c>
      <c r="C11" s="677" t="str">
        <f>IF(Skemaoplysninger!$AF16&gt;0,Skemaoplysninger!$AI16,"")</f>
        <v/>
      </c>
      <c r="D11" s="677" t="str">
        <f>IF(Skemaoplysninger!$AF16&gt;0,Skemaoplysninger!$AI16,"")</f>
        <v/>
      </c>
      <c r="E11" s="677" t="str">
        <f>IF(Skemaoplysninger!$AF16&gt;0,Skemaoplysninger!$AI16,"")</f>
        <v/>
      </c>
      <c r="F11" s="677" t="str">
        <f>IF(Skemaoplysninger!$AF16&gt;0,Skemaoplysninger!$AI16,"")</f>
        <v/>
      </c>
      <c r="G11" s="677" t="str">
        <f>IF(Skemaoplysninger!$AF16&gt;0,Skemaoplysninger!$AI16,"")</f>
        <v/>
      </c>
    </row>
    <row r="12" spans="1:7" ht="20" customHeight="1">
      <c r="A12" s="39" t="str">
        <f>IF(Skemaoplysninger!$AF17&gt;0,Skemaoplysninger!$AG17,"")</f>
        <v/>
      </c>
      <c r="B12" s="39" t="str">
        <f>IF(Skemaoplysninger!AF17&gt;0,Skemaoplysninger!AH17,"")</f>
        <v/>
      </c>
      <c r="C12" s="497" t="str">
        <f>IF(Skemaoplysninger!$AF17&gt;0,Skemaoplysninger!$AI17,"")</f>
        <v/>
      </c>
      <c r="D12" s="497" t="str">
        <f>IF(Skemaoplysninger!$AF17&gt;0,Skemaoplysninger!$AI17,"")</f>
        <v/>
      </c>
      <c r="E12" s="497" t="str">
        <f>IF(Skemaoplysninger!$AF17&gt;0,Skemaoplysninger!$AI17,"")</f>
        <v/>
      </c>
      <c r="F12" s="497" t="str">
        <f>IF(Skemaoplysninger!$AF17&gt;0,Skemaoplysninger!$AI17,"")</f>
        <v/>
      </c>
      <c r="G12" s="497" t="str">
        <f>IF(Skemaoplysninger!$AF17&gt;0,Skemaoplysninger!$AI17,"")</f>
        <v/>
      </c>
    </row>
    <row r="13" spans="1:7" ht="20" customHeight="1">
      <c r="A13" s="40" t="str">
        <f>IF(Skemaoplysninger!$AF18&gt;0,Skemaoplysninger!$AG18,"")</f>
        <v/>
      </c>
      <c r="B13" s="40" t="str">
        <f>IF(Skemaoplysninger!AF18&gt;0,Skemaoplysninger!AH18,"")</f>
        <v/>
      </c>
      <c r="C13" s="677" t="str">
        <f>IF(Skemaoplysninger!$AF18&gt;0,Skemaoplysninger!$AI18,"")</f>
        <v/>
      </c>
      <c r="D13" s="677" t="str">
        <f>IF(Skemaoplysninger!$AF18&gt;0,Skemaoplysninger!$AI18,"")</f>
        <v/>
      </c>
      <c r="E13" s="677" t="str">
        <f>IF(Skemaoplysninger!$AF18&gt;0,Skemaoplysninger!$AI18,"")</f>
        <v/>
      </c>
      <c r="F13" s="677" t="str">
        <f>IF(Skemaoplysninger!$AF18&gt;0,Skemaoplysninger!$AI18,"")</f>
        <v/>
      </c>
      <c r="G13" s="677" t="str">
        <f>IF(Skemaoplysninger!$AF18&gt;0,Skemaoplysninger!$AI18,"")</f>
        <v/>
      </c>
    </row>
    <row r="14" spans="1:7" ht="20" customHeight="1">
      <c r="A14" s="39" t="str">
        <f>IF(Skemaoplysninger!$AF19&gt;0,Skemaoplysninger!$AG19,"")</f>
        <v/>
      </c>
      <c r="B14" s="39" t="str">
        <f>IF(Skemaoplysninger!AF19&gt;0,Skemaoplysninger!AH19,"")</f>
        <v/>
      </c>
      <c r="C14" s="497" t="str">
        <f>IF(Skemaoplysninger!$AF19&gt;0,Skemaoplysninger!$AI19,"")</f>
        <v/>
      </c>
      <c r="D14" s="497" t="str">
        <f>IF(Skemaoplysninger!$AF19&gt;0,Skemaoplysninger!$AI19,"")</f>
        <v/>
      </c>
      <c r="E14" s="497" t="str">
        <f>IF(Skemaoplysninger!$AF19&gt;0,Skemaoplysninger!$AI19,"")</f>
        <v/>
      </c>
      <c r="F14" s="497" t="str">
        <f>IF(Skemaoplysninger!$AF19&gt;0,Skemaoplysninger!$AI19,"")</f>
        <v/>
      </c>
      <c r="G14" s="497" t="str">
        <f>IF(Skemaoplysninger!$AF19&gt;0,Skemaoplysninger!$AI19,"")</f>
        <v/>
      </c>
    </row>
    <row r="15" spans="1:7" ht="20" customHeight="1">
      <c r="A15" s="40" t="str">
        <f>IF(Skemaoplysninger!$AF20&gt;0,Skemaoplysninger!$AG20,"")</f>
        <v/>
      </c>
      <c r="B15" s="40" t="str">
        <f>IF(Skemaoplysninger!AF20&gt;0,Skemaoplysninger!AH20,"")</f>
        <v/>
      </c>
      <c r="C15" s="677" t="str">
        <f>IF(Skemaoplysninger!$AF20&gt;0,Skemaoplysninger!$AI20,"")</f>
        <v/>
      </c>
      <c r="D15" s="677" t="str">
        <f>IF(Skemaoplysninger!$AF20&gt;0,Skemaoplysninger!$AI20,"")</f>
        <v/>
      </c>
      <c r="E15" s="677" t="str">
        <f>IF(Skemaoplysninger!$AF20&gt;0,Skemaoplysninger!$AI20,"")</f>
        <v/>
      </c>
      <c r="F15" s="677" t="str">
        <f>IF(Skemaoplysninger!$AF20&gt;0,Skemaoplysninger!$AI20,"")</f>
        <v/>
      </c>
      <c r="G15" s="677" t="str">
        <f>IF(Skemaoplysninger!$AF20&gt;0,Skemaoplysninger!$AI20,"")</f>
        <v/>
      </c>
    </row>
    <row r="16" spans="1:7" ht="20" customHeight="1">
      <c r="A16" s="39" t="str">
        <f>IF(Skemaoplysninger!$AF21&gt;0,Skemaoplysninger!$AG21,"")</f>
        <v/>
      </c>
      <c r="B16" s="39" t="str">
        <f>IF(Skemaoplysninger!AF21&gt;0,Skemaoplysninger!AH21,"")</f>
        <v/>
      </c>
      <c r="C16" s="497" t="str">
        <f>IF(Skemaoplysninger!$AF21&gt;0,Skemaoplysninger!$AI21,"")</f>
        <v/>
      </c>
      <c r="D16" s="497" t="str">
        <f>IF(Skemaoplysninger!$AF21&gt;0,Skemaoplysninger!$AI21,"")</f>
        <v/>
      </c>
      <c r="E16" s="497" t="str">
        <f>IF(Skemaoplysninger!$AF21&gt;0,Skemaoplysninger!$AI21,"")</f>
        <v/>
      </c>
      <c r="F16" s="497" t="str">
        <f>IF(Skemaoplysninger!$AF21&gt;0,Skemaoplysninger!$AI21,"")</f>
        <v/>
      </c>
      <c r="G16" s="497" t="str">
        <f>IF(Skemaoplysninger!$AF21&gt;0,Skemaoplysninger!$AI21,"")</f>
        <v/>
      </c>
    </row>
    <row r="17" spans="1:7" ht="20" customHeight="1">
      <c r="A17" s="40" t="str">
        <f>IF(Skemaoplysninger!$AF22&gt;0,Skemaoplysninger!$AG22,"")</f>
        <v/>
      </c>
      <c r="B17" s="40" t="str">
        <f>IF(Skemaoplysninger!AF22&gt;0,Skemaoplysninger!AH22,"")</f>
        <v/>
      </c>
      <c r="C17" s="677" t="str">
        <f>IF(Skemaoplysninger!$AF22&gt;0,Skemaoplysninger!$AI22,"")</f>
        <v/>
      </c>
      <c r="D17" s="677" t="str">
        <f>IF(Skemaoplysninger!$AF22&gt;0,Skemaoplysninger!$AI22,"")</f>
        <v/>
      </c>
      <c r="E17" s="677" t="str">
        <f>IF(Skemaoplysninger!$AF22&gt;0,Skemaoplysninger!$AI22,"")</f>
        <v/>
      </c>
      <c r="F17" s="677" t="str">
        <f>IF(Skemaoplysninger!$AF22&gt;0,Skemaoplysninger!$AI22,"")</f>
        <v/>
      </c>
      <c r="G17" s="677" t="str">
        <f>IF(Skemaoplysninger!$AF22&gt;0,Skemaoplysninger!$AI22,"")</f>
        <v/>
      </c>
    </row>
    <row r="18" spans="1:7" ht="20" customHeight="1">
      <c r="A18" s="39" t="str">
        <f>IF(Skemaoplysninger!$AF23&gt;0,Skemaoplysninger!$AG23,"")</f>
        <v/>
      </c>
      <c r="B18" s="39" t="str">
        <f>IF(Skemaoplysninger!AF23&gt;0,Skemaoplysninger!AH23,"")</f>
        <v/>
      </c>
      <c r="C18" s="497" t="str">
        <f>IF(Skemaoplysninger!$AF23&gt;0,Skemaoplysninger!$AI23,"")</f>
        <v/>
      </c>
      <c r="D18" s="497" t="str">
        <f>IF(Skemaoplysninger!$AF23&gt;0,Skemaoplysninger!$AI23,"")</f>
        <v/>
      </c>
      <c r="E18" s="497" t="str">
        <f>IF(Skemaoplysninger!$AF23&gt;0,Skemaoplysninger!$AI23,"")</f>
        <v/>
      </c>
      <c r="F18" s="497" t="str">
        <f>IF(Skemaoplysninger!$AF23&gt;0,Skemaoplysninger!$AI23,"")</f>
        <v/>
      </c>
      <c r="G18" s="497" t="str">
        <f>IF(Skemaoplysninger!$AF23&gt;0,Skemaoplysninger!$AI23,"")</f>
        <v/>
      </c>
    </row>
    <row r="19" spans="1:7" ht="20" customHeight="1">
      <c r="A19" s="40" t="str">
        <f>IF(Skemaoplysninger!$AF24&gt;0,Skemaoplysninger!$AG24,"")</f>
        <v/>
      </c>
      <c r="B19" s="40" t="str">
        <f>IF(Skemaoplysninger!AF24&gt;0,Skemaoplysninger!AH24,"")</f>
        <v/>
      </c>
      <c r="C19" s="677" t="str">
        <f>IF(Skemaoplysninger!$AF24&gt;0,Skemaoplysninger!$AI24,"")</f>
        <v/>
      </c>
      <c r="D19" s="677" t="str">
        <f>IF(Skemaoplysninger!$AF24&gt;0,Skemaoplysninger!$AI24,"")</f>
        <v/>
      </c>
      <c r="E19" s="677" t="str">
        <f>IF(Skemaoplysninger!$AF24&gt;0,Skemaoplysninger!$AI24,"")</f>
        <v/>
      </c>
      <c r="F19" s="677" t="str">
        <f>IF(Skemaoplysninger!$AF24&gt;0,Skemaoplysninger!$AI24,"")</f>
        <v/>
      </c>
      <c r="G19" s="677" t="str">
        <f>IF(Skemaoplysninger!$AF24&gt;0,Skemaoplysninger!$AI24,"")</f>
        <v/>
      </c>
    </row>
    <row r="20" spans="1:7" ht="20" customHeight="1">
      <c r="A20" s="39" t="str">
        <f>IF(Skemaoplysninger!$AF25&gt;0,Skemaoplysninger!$AG25,"")</f>
        <v/>
      </c>
      <c r="B20" s="39" t="str">
        <f>IF(Skemaoplysninger!AF25&gt;0,Skemaoplysninger!AH25,"")</f>
        <v/>
      </c>
      <c r="C20" s="497" t="str">
        <f>IF(Skemaoplysninger!$AF25&gt;0,Skemaoplysninger!$AI25,"")</f>
        <v/>
      </c>
      <c r="D20" s="497" t="str">
        <f>IF(Skemaoplysninger!$AF25&gt;0,Skemaoplysninger!$AI25,"")</f>
        <v/>
      </c>
      <c r="E20" s="497" t="str">
        <f>IF(Skemaoplysninger!$AF25&gt;0,Skemaoplysninger!$AI25,"")</f>
        <v/>
      </c>
      <c r="F20" s="497" t="str">
        <f>IF(Skemaoplysninger!$AF25&gt;0,Skemaoplysninger!$AI25,"")</f>
        <v/>
      </c>
      <c r="G20" s="497" t="str">
        <f>IF(Skemaoplysninger!$AF25&gt;0,Skemaoplysninger!$AI25,"")</f>
        <v/>
      </c>
    </row>
    <row r="21" spans="1:7" ht="20" customHeight="1">
      <c r="A21" s="40" t="str">
        <f>IF(Skemaoplysninger!$AF26&gt;0,Skemaoplysninger!$AG26,"")</f>
        <v/>
      </c>
      <c r="B21" s="40" t="str">
        <f>IF(Skemaoplysninger!AF26&gt;0,Skemaoplysninger!AH26,"")</f>
        <v/>
      </c>
      <c r="C21" s="677" t="str">
        <f>IF(Skemaoplysninger!$AF26&gt;0,Skemaoplysninger!$AI26,"")</f>
        <v/>
      </c>
      <c r="D21" s="677" t="str">
        <f>IF(Skemaoplysninger!$AF26&gt;0,Skemaoplysninger!$AI26,"")</f>
        <v/>
      </c>
      <c r="E21" s="677" t="str">
        <f>IF(Skemaoplysninger!$AF26&gt;0,Skemaoplysninger!$AI26,"")</f>
        <v/>
      </c>
      <c r="F21" s="677" t="str">
        <f>IF(Skemaoplysninger!$AF26&gt;0,Skemaoplysninger!$AI26,"")</f>
        <v/>
      </c>
      <c r="G21" s="677" t="str">
        <f>IF(Skemaoplysninger!$AF26&gt;0,Skemaoplysninger!$AI26,"")</f>
        <v/>
      </c>
    </row>
    <row r="22" spans="1:7" ht="20" customHeight="1">
      <c r="A22" s="39" t="str">
        <f>IF(Skemaoplysninger!$AF27&gt;0,Skemaoplysninger!$AG27,"")</f>
        <v/>
      </c>
      <c r="B22" s="39" t="str">
        <f>IF(Skemaoplysninger!AF27&gt;0,Skemaoplysninger!AH27,"")</f>
        <v/>
      </c>
      <c r="C22" s="497" t="str">
        <f>IF(Skemaoplysninger!$AF27&gt;0,Skemaoplysninger!$AI27,"")</f>
        <v/>
      </c>
      <c r="D22" s="497" t="str">
        <f>IF(Skemaoplysninger!$AF27&gt;0,Skemaoplysninger!$AI27,"")</f>
        <v/>
      </c>
      <c r="E22" s="497" t="str">
        <f>IF(Skemaoplysninger!$AF27&gt;0,Skemaoplysninger!$AI27,"")</f>
        <v/>
      </c>
      <c r="F22" s="497" t="str">
        <f>IF(Skemaoplysninger!$AF27&gt;0,Skemaoplysninger!$AI27,"")</f>
        <v/>
      </c>
      <c r="G22" s="497" t="str">
        <f>IF(Skemaoplysninger!$AF27&gt;0,Skemaoplysninger!$AI27,"")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7"/>
  <sheetViews>
    <sheetView showZeros="0" workbookViewId="0">
      <selection activeCell="B18" sqref="B18:I18"/>
    </sheetView>
  </sheetViews>
  <sheetFormatPr baseColWidth="10" defaultRowHeight="16"/>
  <sheetData>
    <row r="1" spans="1:41" ht="39" customHeight="1">
      <c r="A1" s="1390"/>
      <c r="B1" s="1378" t="s">
        <v>340</v>
      </c>
      <c r="C1" s="1379"/>
      <c r="D1" s="1379"/>
      <c r="E1" s="1379"/>
      <c r="F1" s="1379"/>
      <c r="G1" s="1379"/>
      <c r="H1" s="1379"/>
      <c r="I1" s="1379"/>
      <c r="J1" s="1380"/>
      <c r="AO1" s="1" t="e">
        <f>SUM(#REF!)</f>
        <v>#REF!</v>
      </c>
    </row>
    <row r="2" spans="1:41">
      <c r="A2" s="1390"/>
      <c r="B2" s="1381" t="s">
        <v>262</v>
      </c>
      <c r="C2" s="1382"/>
      <c r="D2" s="1382"/>
      <c r="E2" s="1382"/>
      <c r="F2" s="1382"/>
      <c r="G2" s="1382"/>
      <c r="H2" s="1382"/>
      <c r="I2" s="1382"/>
      <c r="J2" s="493">
        <f>Skemaoplysninger!AN35</f>
        <v>621.75</v>
      </c>
    </row>
    <row r="3" spans="1:41">
      <c r="A3" s="1390"/>
      <c r="B3" s="1383" t="s">
        <v>406</v>
      </c>
      <c r="C3" s="1384"/>
      <c r="D3" s="1384"/>
      <c r="E3" s="1384"/>
      <c r="F3" s="1384"/>
      <c r="G3" s="1384"/>
      <c r="H3" s="1384"/>
      <c r="I3" s="1384"/>
      <c r="J3" s="464">
        <f>SUM(August!BC41:BF41)+SUM(September!BC39:BF39)+SUM(Oktober!BC40:BF40)+SUM(November!BC39:BF39)+SUM(December!BC40:BF40)+SUM(Januar!BC40:BF40)+SUM(Februar!BC37:BF37)+SUM(Marts!BC40:BF40)+SUM(April!BC39:BF39)+SUM(Maj!BC40:BF40)+SUM(Juni!BC39:BF39)+SUM(Juli!BC40:BF40)</f>
        <v>122.25</v>
      </c>
    </row>
    <row r="4" spans="1:41" ht="34" customHeight="1">
      <c r="A4" s="1390"/>
      <c r="B4" s="1385" t="s">
        <v>352</v>
      </c>
      <c r="C4" s="1386"/>
      <c r="D4" s="1386"/>
      <c r="E4" s="1386"/>
      <c r="F4" s="1386"/>
      <c r="G4" s="1386"/>
      <c r="H4" s="1386"/>
      <c r="I4" s="1386"/>
      <c r="J4" s="1387"/>
    </row>
    <row r="5" spans="1:41">
      <c r="A5" s="1390"/>
      <c r="B5" s="1376" t="s">
        <v>597</v>
      </c>
      <c r="C5" s="1377"/>
      <c r="D5" s="1377"/>
      <c r="E5" s="1377"/>
      <c r="F5" s="1377"/>
      <c r="G5" s="1377"/>
      <c r="H5" s="1377"/>
      <c r="I5" s="1377"/>
      <c r="J5" s="641">
        <v>1.5</v>
      </c>
    </row>
    <row r="6" spans="1:41">
      <c r="A6" s="1390"/>
      <c r="B6" s="1376"/>
      <c r="C6" s="1377"/>
      <c r="D6" s="1377"/>
      <c r="E6" s="1377"/>
      <c r="F6" s="1377"/>
      <c r="G6" s="1377"/>
      <c r="H6" s="1377"/>
      <c r="I6" s="1377"/>
      <c r="J6" s="641"/>
    </row>
    <row r="7" spans="1:41">
      <c r="A7" s="1390"/>
      <c r="B7" s="1376"/>
      <c r="C7" s="1377"/>
      <c r="D7" s="1377"/>
      <c r="E7" s="1377"/>
      <c r="F7" s="1377"/>
      <c r="G7" s="1377"/>
      <c r="H7" s="1377"/>
      <c r="I7" s="1377"/>
      <c r="J7" s="641"/>
    </row>
    <row r="8" spans="1:41">
      <c r="A8" s="1390"/>
      <c r="B8" s="1376"/>
      <c r="C8" s="1377"/>
      <c r="D8" s="1377"/>
      <c r="E8" s="1377"/>
      <c r="F8" s="1377"/>
      <c r="G8" s="1377"/>
      <c r="H8" s="1377"/>
      <c r="I8" s="1377"/>
      <c r="J8" s="641"/>
    </row>
    <row r="9" spans="1:41">
      <c r="A9" s="1390"/>
      <c r="B9" s="1376"/>
      <c r="C9" s="1377"/>
      <c r="D9" s="1377"/>
      <c r="E9" s="1377"/>
      <c r="F9" s="1377"/>
      <c r="G9" s="1377"/>
      <c r="H9" s="1377"/>
      <c r="I9" s="1377"/>
      <c r="J9" s="641"/>
    </row>
    <row r="10" spans="1:41">
      <c r="A10" s="1390"/>
      <c r="B10" s="1376"/>
      <c r="C10" s="1377"/>
      <c r="D10" s="1377"/>
      <c r="E10" s="1377"/>
      <c r="F10" s="1377"/>
      <c r="G10" s="1377"/>
      <c r="H10" s="1377"/>
      <c r="I10" s="1377"/>
      <c r="J10" s="641"/>
    </row>
    <row r="11" spans="1:41">
      <c r="A11" s="1390"/>
      <c r="B11" s="1376"/>
      <c r="C11" s="1377"/>
      <c r="D11" s="1377"/>
      <c r="E11" s="1377"/>
      <c r="F11" s="1377"/>
      <c r="G11" s="1377"/>
      <c r="H11" s="1377"/>
      <c r="I11" s="1377"/>
      <c r="J11" s="641"/>
    </row>
    <row r="12" spans="1:41">
      <c r="A12" s="1390"/>
      <c r="B12" s="1376"/>
      <c r="C12" s="1377"/>
      <c r="D12" s="1377"/>
      <c r="E12" s="1377"/>
      <c r="F12" s="1377"/>
      <c r="G12" s="1377"/>
      <c r="H12" s="1377"/>
      <c r="I12" s="1377"/>
      <c r="J12" s="641"/>
    </row>
    <row r="13" spans="1:41">
      <c r="A13" s="1390"/>
      <c r="B13" s="1376"/>
      <c r="C13" s="1377"/>
      <c r="D13" s="1377"/>
      <c r="E13" s="1377"/>
      <c r="F13" s="1377"/>
      <c r="G13" s="1377"/>
      <c r="H13" s="1377"/>
      <c r="I13" s="1377"/>
      <c r="J13" s="641"/>
    </row>
    <row r="14" spans="1:41">
      <c r="A14" s="1390"/>
      <c r="B14" s="1376"/>
      <c r="C14" s="1377"/>
      <c r="D14" s="1377"/>
      <c r="E14" s="1377"/>
      <c r="F14" s="1377"/>
      <c r="G14" s="1377"/>
      <c r="H14" s="1377"/>
      <c r="I14" s="1377"/>
      <c r="J14" s="641"/>
    </row>
    <row r="15" spans="1:41">
      <c r="A15" s="1390"/>
      <c r="B15" s="1376"/>
      <c r="C15" s="1377"/>
      <c r="D15" s="1377"/>
      <c r="E15" s="1377"/>
      <c r="F15" s="1377"/>
      <c r="G15" s="1377"/>
      <c r="H15" s="1377"/>
      <c r="I15" s="1377"/>
      <c r="J15" s="641"/>
    </row>
    <row r="16" spans="1:41">
      <c r="A16" s="1390"/>
      <c r="B16" s="1376"/>
      <c r="C16" s="1377"/>
      <c r="D16" s="1377"/>
      <c r="E16" s="1377"/>
      <c r="F16" s="1377"/>
      <c r="G16" s="1377"/>
      <c r="H16" s="1377"/>
      <c r="I16" s="1377"/>
      <c r="J16" s="641"/>
    </row>
    <row r="17" spans="1:10">
      <c r="A17" s="1390"/>
      <c r="B17" s="1376"/>
      <c r="C17" s="1377"/>
      <c r="D17" s="1377"/>
      <c r="E17" s="1377"/>
      <c r="F17" s="1377"/>
      <c r="G17" s="1377"/>
      <c r="H17" s="1377"/>
      <c r="I17" s="1377"/>
      <c r="J17" s="641"/>
    </row>
    <row r="18" spans="1:10">
      <c r="A18" s="1390"/>
      <c r="B18" s="1376"/>
      <c r="C18" s="1377"/>
      <c r="D18" s="1377"/>
      <c r="E18" s="1377"/>
      <c r="F18" s="1377"/>
      <c r="G18" s="1377"/>
      <c r="H18" s="1377"/>
      <c r="I18" s="1377"/>
      <c r="J18" s="641"/>
    </row>
    <row r="19" spans="1:10">
      <c r="A19" s="1390"/>
      <c r="B19" s="1376"/>
      <c r="C19" s="1377"/>
      <c r="D19" s="1377"/>
      <c r="E19" s="1377"/>
      <c r="F19" s="1377"/>
      <c r="G19" s="1377"/>
      <c r="H19" s="1377"/>
      <c r="I19" s="1377"/>
      <c r="J19" s="641"/>
    </row>
    <row r="20" spans="1:10">
      <c r="A20" s="1390"/>
      <c r="B20" s="1376"/>
      <c r="C20" s="1377"/>
      <c r="D20" s="1377"/>
      <c r="E20" s="1377"/>
      <c r="F20" s="1377"/>
      <c r="G20" s="1377"/>
      <c r="H20" s="1377"/>
      <c r="I20" s="1377"/>
      <c r="J20" s="641"/>
    </row>
    <row r="21" spans="1:10" ht="23" customHeight="1" thickBot="1">
      <c r="A21" s="1390"/>
      <c r="B21" s="1397" t="s">
        <v>341</v>
      </c>
      <c r="C21" s="1398"/>
      <c r="D21" s="1398"/>
      <c r="E21" s="1398"/>
      <c r="F21" s="1398"/>
      <c r="G21" s="1398"/>
      <c r="H21" s="1398"/>
      <c r="I21" s="1398"/>
      <c r="J21" s="494">
        <f>SUM(J2:J20)</f>
        <v>745.5</v>
      </c>
    </row>
    <row r="22" spans="1:10" ht="71" customHeight="1" thickTop="1">
      <c r="A22" s="1390"/>
      <c r="B22" s="1399" t="s">
        <v>207</v>
      </c>
      <c r="C22" s="1400"/>
      <c r="D22" s="1400"/>
      <c r="E22" s="1400"/>
      <c r="F22" s="1400"/>
      <c r="G22" s="1400"/>
      <c r="H22" s="1400"/>
      <c r="I22" s="1400"/>
      <c r="J22" s="1401"/>
    </row>
    <row r="23" spans="1:10" ht="19">
      <c r="A23" s="1390"/>
      <c r="B23" s="1402" t="s">
        <v>330</v>
      </c>
      <c r="C23" s="1403"/>
      <c r="D23" s="1403"/>
      <c r="E23" s="1403"/>
      <c r="F23" s="1403"/>
      <c r="G23" s="1403"/>
      <c r="H23" s="1403"/>
      <c r="I23" s="1403"/>
      <c r="J23" s="1404"/>
    </row>
    <row r="24" spans="1:10">
      <c r="A24" s="1390"/>
      <c r="B24" s="1388" t="s">
        <v>277</v>
      </c>
      <c r="C24" s="1389"/>
      <c r="D24" s="1389"/>
      <c r="E24" s="1389"/>
      <c r="F24" s="1389"/>
      <c r="G24" s="1389"/>
      <c r="H24" s="1389"/>
      <c r="I24" s="1389"/>
      <c r="J24" s="464">
        <f>August!W41</f>
        <v>0</v>
      </c>
    </row>
    <row r="25" spans="1:10">
      <c r="A25" s="1390"/>
      <c r="B25" s="1388" t="s">
        <v>279</v>
      </c>
      <c r="C25" s="1389"/>
      <c r="D25" s="1389"/>
      <c r="E25" s="1389"/>
      <c r="F25" s="1389"/>
      <c r="G25" s="1389"/>
      <c r="H25" s="1389"/>
      <c r="I25" s="1389"/>
      <c r="J25" s="464">
        <f>September!W39</f>
        <v>0</v>
      </c>
    </row>
    <row r="26" spans="1:10">
      <c r="A26" s="1390"/>
      <c r="B26" s="1388" t="s">
        <v>280</v>
      </c>
      <c r="C26" s="1389"/>
      <c r="D26" s="1389"/>
      <c r="E26" s="1389"/>
      <c r="F26" s="1389"/>
      <c r="G26" s="1389"/>
      <c r="H26" s="1389"/>
      <c r="I26" s="1389"/>
      <c r="J26" s="464">
        <f>Oktober!W40</f>
        <v>0</v>
      </c>
    </row>
    <row r="27" spans="1:10">
      <c r="A27" s="1390"/>
      <c r="B27" s="1388" t="s">
        <v>281</v>
      </c>
      <c r="C27" s="1389"/>
      <c r="D27" s="1389"/>
      <c r="E27" s="1389"/>
      <c r="F27" s="1389"/>
      <c r="G27" s="1389"/>
      <c r="H27" s="1389"/>
      <c r="I27" s="1389"/>
      <c r="J27" s="464">
        <f>November!W39</f>
        <v>0</v>
      </c>
    </row>
    <row r="28" spans="1:10">
      <c r="A28" s="1390"/>
      <c r="B28" s="1388" t="s">
        <v>331</v>
      </c>
      <c r="C28" s="1389"/>
      <c r="D28" s="1389"/>
      <c r="E28" s="1389"/>
      <c r="F28" s="1389"/>
      <c r="G28" s="1389"/>
      <c r="H28" s="1389"/>
      <c r="I28" s="1389"/>
      <c r="J28" s="464">
        <f>December!W40</f>
        <v>0</v>
      </c>
    </row>
    <row r="29" spans="1:10">
      <c r="A29" s="1390"/>
      <c r="B29" s="1388" t="s">
        <v>332</v>
      </c>
      <c r="C29" s="1389"/>
      <c r="D29" s="1389"/>
      <c r="E29" s="1389"/>
      <c r="F29" s="1389"/>
      <c r="G29" s="1389"/>
      <c r="H29" s="1389"/>
      <c r="I29" s="1389"/>
      <c r="J29" s="464">
        <f>Januar!W40</f>
        <v>0</v>
      </c>
    </row>
    <row r="30" spans="1:10">
      <c r="A30" s="1390"/>
      <c r="B30" s="1388" t="s">
        <v>333</v>
      </c>
      <c r="C30" s="1389"/>
      <c r="D30" s="1389"/>
      <c r="E30" s="1389"/>
      <c r="F30" s="1389"/>
      <c r="G30" s="1389"/>
      <c r="H30" s="1389"/>
      <c r="I30" s="1389"/>
      <c r="J30" s="464">
        <f>Februar!W37</f>
        <v>0</v>
      </c>
    </row>
    <row r="31" spans="1:10">
      <c r="A31" s="1390"/>
      <c r="B31" s="1388" t="s">
        <v>334</v>
      </c>
      <c r="C31" s="1389"/>
      <c r="D31" s="1389"/>
      <c r="E31" s="1389"/>
      <c r="F31" s="1389"/>
      <c r="G31" s="1389"/>
      <c r="H31" s="1389"/>
      <c r="I31" s="1389"/>
      <c r="J31" s="464">
        <f>Marts!W40</f>
        <v>0</v>
      </c>
    </row>
    <row r="32" spans="1:10">
      <c r="A32" s="1390"/>
      <c r="B32" s="1388" t="s">
        <v>335</v>
      </c>
      <c r="C32" s="1389"/>
      <c r="D32" s="1389"/>
      <c r="E32" s="1389"/>
      <c r="F32" s="1389"/>
      <c r="G32" s="1389"/>
      <c r="H32" s="1389"/>
      <c r="I32" s="1389"/>
      <c r="J32" s="464">
        <f>April!W39</f>
        <v>0</v>
      </c>
    </row>
    <row r="33" spans="1:10">
      <c r="A33" s="1390"/>
      <c r="B33" s="1388" t="s">
        <v>336</v>
      </c>
      <c r="C33" s="1389"/>
      <c r="D33" s="1389"/>
      <c r="E33" s="1389"/>
      <c r="F33" s="1389"/>
      <c r="G33" s="1389"/>
      <c r="H33" s="1389"/>
      <c r="I33" s="1389"/>
      <c r="J33" s="464">
        <f>Maj!W40</f>
        <v>0</v>
      </c>
    </row>
    <row r="34" spans="1:10">
      <c r="A34" s="1390"/>
      <c r="B34" s="1388" t="s">
        <v>337</v>
      </c>
      <c r="C34" s="1389"/>
      <c r="D34" s="1389"/>
      <c r="E34" s="1389"/>
      <c r="F34" s="1389"/>
      <c r="G34" s="1389"/>
      <c r="H34" s="1389"/>
      <c r="I34" s="1389"/>
      <c r="J34" s="464">
        <f>Juni!W39</f>
        <v>0</v>
      </c>
    </row>
    <row r="35" spans="1:10" ht="17" thickBot="1">
      <c r="A35" s="1390"/>
      <c r="B35" s="1393" t="s">
        <v>338</v>
      </c>
      <c r="C35" s="1394"/>
      <c r="D35" s="1394"/>
      <c r="E35" s="1394"/>
      <c r="F35" s="1394"/>
      <c r="G35" s="1394"/>
      <c r="H35" s="1394"/>
      <c r="I35" s="1394"/>
      <c r="J35" s="591">
        <f>Juli!W40</f>
        <v>0</v>
      </c>
    </row>
    <row r="36" spans="1:10" ht="17" thickBot="1">
      <c r="A36" s="1390"/>
      <c r="B36" s="1395" t="s">
        <v>339</v>
      </c>
      <c r="C36" s="1396"/>
      <c r="D36" s="1396"/>
      <c r="E36" s="1396"/>
      <c r="F36" s="1396"/>
      <c r="G36" s="1396"/>
      <c r="H36" s="1396"/>
      <c r="I36" s="1396"/>
      <c r="J36" s="496">
        <f>SUM(J24:J35)</f>
        <v>0</v>
      </c>
    </row>
    <row r="37" spans="1:10" ht="51" customHeight="1" thickBot="1">
      <c r="A37" s="1390"/>
      <c r="B37" s="1391" t="s">
        <v>429</v>
      </c>
      <c r="C37" s="1392"/>
      <c r="D37" s="1392"/>
      <c r="E37" s="1392"/>
      <c r="F37" s="1392"/>
      <c r="G37" s="1392"/>
      <c r="H37" s="1392"/>
      <c r="I37" s="1392"/>
      <c r="J37" s="495">
        <f>J21+J36</f>
        <v>745.5</v>
      </c>
    </row>
  </sheetData>
  <sheetProtection sheet="1" objects="1" scenarios="1"/>
  <mergeCells count="38">
    <mergeCell ref="A1:A37"/>
    <mergeCell ref="B37:I37"/>
    <mergeCell ref="B31:I31"/>
    <mergeCell ref="B32:I32"/>
    <mergeCell ref="B33:I33"/>
    <mergeCell ref="B34:I34"/>
    <mergeCell ref="B35:I35"/>
    <mergeCell ref="B36:I36"/>
    <mergeCell ref="B30:I30"/>
    <mergeCell ref="B19:I19"/>
    <mergeCell ref="B20:I20"/>
    <mergeCell ref="B21:I21"/>
    <mergeCell ref="B22:J22"/>
    <mergeCell ref="B23:J23"/>
    <mergeCell ref="B24:I24"/>
    <mergeCell ref="B25:I25"/>
    <mergeCell ref="B11:I11"/>
    <mergeCell ref="B26:I26"/>
    <mergeCell ref="B27:I27"/>
    <mergeCell ref="B28:I28"/>
    <mergeCell ref="B29:I29"/>
    <mergeCell ref="B18:I18"/>
    <mergeCell ref="B17:I17"/>
    <mergeCell ref="B12:I12"/>
    <mergeCell ref="B13:I13"/>
    <mergeCell ref="B14:I14"/>
    <mergeCell ref="B15:I15"/>
    <mergeCell ref="B16:I16"/>
    <mergeCell ref="B1:J1"/>
    <mergeCell ref="B2:I2"/>
    <mergeCell ref="B3:I3"/>
    <mergeCell ref="B4:J4"/>
    <mergeCell ref="B5:I5"/>
    <mergeCell ref="B7:I7"/>
    <mergeCell ref="B8:I8"/>
    <mergeCell ref="B9:I9"/>
    <mergeCell ref="B10:I10"/>
    <mergeCell ref="B6:I6"/>
  </mergeCells>
  <conditionalFormatting sqref="J5:J20">
    <cfRule type="expression" dxfId="388" priority="1">
      <formula>OR($B5&gt;0,)</formula>
    </cfRule>
  </conditionalFormatting>
  <pageMargins left="0.7" right="0.7" top="0.75" bottom="0.75" header="0.3" footer="0.3"/>
  <pageSetup paperSize="9" scale="76"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4"/>
  <sheetViews>
    <sheetView zoomScale="125" zoomScaleNormal="125" zoomScalePageLayoutView="125" workbookViewId="0">
      <selection activeCell="C5" sqref="C5"/>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53" t="s">
        <v>78</v>
      </c>
    </row>
    <row r="2" spans="1:4" ht="19">
      <c r="A2" s="53"/>
    </row>
    <row r="3" spans="1:4" ht="19">
      <c r="A3" s="53" t="s">
        <v>79</v>
      </c>
      <c r="C3" s="54"/>
    </row>
    <row r="4" spans="1:4" ht="19">
      <c r="A4" s="53"/>
    </row>
    <row r="5" spans="1:4" ht="19">
      <c r="A5" s="53"/>
      <c r="C5" s="55" t="s">
        <v>26</v>
      </c>
      <c r="D5" s="52"/>
    </row>
    <row r="6" spans="1:4">
      <c r="A6" s="595" t="s">
        <v>80</v>
      </c>
      <c r="B6" s="56" t="s">
        <v>81</v>
      </c>
    </row>
    <row r="7" spans="1:4">
      <c r="A7" s="57">
        <v>1</v>
      </c>
      <c r="B7" s="58" t="s">
        <v>82</v>
      </c>
      <c r="C7" s="55"/>
      <c r="D7" s="59"/>
    </row>
    <row r="8" spans="1:4">
      <c r="A8" s="60">
        <v>2</v>
      </c>
      <c r="B8" s="61" t="s">
        <v>83</v>
      </c>
      <c r="C8" s="62"/>
      <c r="D8" s="59"/>
    </row>
    <row r="9" spans="1:4">
      <c r="A9" s="60">
        <v>3</v>
      </c>
      <c r="B9" s="61" t="s">
        <v>144</v>
      </c>
      <c r="C9" s="62"/>
      <c r="D9" s="59"/>
    </row>
    <row r="10" spans="1:4">
      <c r="A10" s="60">
        <v>4</v>
      </c>
      <c r="B10" s="61" t="s">
        <v>84</v>
      </c>
      <c r="C10" s="62"/>
      <c r="D10" s="59"/>
    </row>
    <row r="11" spans="1:4">
      <c r="A11" s="57">
        <v>5</v>
      </c>
      <c r="B11" s="61" t="s">
        <v>85</v>
      </c>
      <c r="C11" s="62"/>
      <c r="D11" s="59"/>
    </row>
    <row r="12" spans="1:4">
      <c r="A12" s="57">
        <v>6</v>
      </c>
      <c r="B12" s="61" t="s">
        <v>196</v>
      </c>
      <c r="C12" s="62"/>
      <c r="D12" s="59"/>
    </row>
    <row r="13" spans="1:4">
      <c r="A13" s="57">
        <v>7</v>
      </c>
      <c r="B13" s="61" t="s">
        <v>86</v>
      </c>
      <c r="C13" s="62"/>
      <c r="D13" s="59"/>
    </row>
    <row r="14" spans="1:4">
      <c r="A14" s="60">
        <v>8</v>
      </c>
      <c r="B14" s="61" t="s">
        <v>87</v>
      </c>
      <c r="C14" s="62"/>
      <c r="D14" s="59"/>
    </row>
    <row r="15" spans="1:4">
      <c r="A15" s="60">
        <v>9</v>
      </c>
      <c r="B15" s="61" t="s">
        <v>197</v>
      </c>
      <c r="C15" s="62"/>
      <c r="D15" s="59"/>
    </row>
    <row r="16" spans="1:4">
      <c r="A16" s="60">
        <v>10</v>
      </c>
      <c r="B16" s="61" t="s">
        <v>145</v>
      </c>
      <c r="C16" s="62"/>
      <c r="D16" s="59"/>
    </row>
    <row r="17" spans="1:4">
      <c r="A17" s="57">
        <v>11</v>
      </c>
      <c r="B17" s="61" t="s">
        <v>145</v>
      </c>
      <c r="C17" s="62"/>
      <c r="D17" s="59"/>
    </row>
    <row r="18" spans="1:4">
      <c r="A18" s="57">
        <v>12</v>
      </c>
      <c r="B18" s="61" t="s">
        <v>145</v>
      </c>
      <c r="C18" s="62"/>
      <c r="D18" s="59"/>
    </row>
    <row r="19" spans="1:4">
      <c r="A19" s="57">
        <v>13</v>
      </c>
      <c r="B19" s="61" t="s">
        <v>145</v>
      </c>
      <c r="C19" s="62"/>
      <c r="D19" s="59"/>
    </row>
    <row r="20" spans="1:4">
      <c r="A20" s="60">
        <v>14</v>
      </c>
      <c r="B20" s="61" t="s">
        <v>145</v>
      </c>
      <c r="C20" s="62"/>
      <c r="D20" s="59"/>
    </row>
    <row r="21" spans="1:4">
      <c r="A21" s="60">
        <v>15</v>
      </c>
      <c r="B21" t="s">
        <v>143</v>
      </c>
      <c r="D21" s="59"/>
    </row>
    <row r="22" spans="1:4">
      <c r="A22" s="60">
        <v>16</v>
      </c>
      <c r="B22" s="63" t="s">
        <v>140</v>
      </c>
      <c r="C22" s="63"/>
      <c r="D22" s="64">
        <f>SUM(D7:D21)</f>
        <v>0</v>
      </c>
    </row>
    <row r="24" spans="1:4">
      <c r="A24" s="57">
        <v>17</v>
      </c>
      <c r="B24" s="58" t="s">
        <v>88</v>
      </c>
      <c r="C24" s="55"/>
      <c r="D24" s="65">
        <f>IF(D5&gt;0,D22/D5,0)</f>
        <v>0</v>
      </c>
    </row>
    <row r="26" spans="1:4">
      <c r="A26" s="57">
        <v>18</v>
      </c>
      <c r="B26" s="58" t="s">
        <v>198</v>
      </c>
      <c r="C26" s="55"/>
      <c r="D26" s="64">
        <f>IF(D24&gt;0,D24/1924*12,0)</f>
        <v>0</v>
      </c>
    </row>
    <row r="27" spans="1:4">
      <c r="A27" s="595"/>
    </row>
    <row r="28" spans="1:4">
      <c r="A28" s="57">
        <v>19</v>
      </c>
      <c r="B28" s="58" t="s">
        <v>89</v>
      </c>
      <c r="C28" s="55"/>
      <c r="D28" s="65">
        <f>D$26*25%</f>
        <v>0</v>
      </c>
    </row>
    <row r="29" spans="1:4">
      <c r="A29" s="595"/>
      <c r="D29" s="66"/>
    </row>
    <row r="30" spans="1:4">
      <c r="A30" s="57">
        <v>20</v>
      </c>
      <c r="B30" s="58" t="s">
        <v>90</v>
      </c>
      <c r="C30" s="55"/>
      <c r="D30" s="65">
        <f>D$26*50%</f>
        <v>0</v>
      </c>
    </row>
    <row r="31" spans="1:4">
      <c r="A31" s="595"/>
      <c r="D31" s="66"/>
    </row>
    <row r="32" spans="1:4">
      <c r="A32" s="57">
        <v>21</v>
      </c>
      <c r="B32" s="58" t="s">
        <v>91</v>
      </c>
      <c r="C32" s="55"/>
      <c r="D32" s="65">
        <f>D$26</f>
        <v>0</v>
      </c>
    </row>
    <row r="34" spans="1:4">
      <c r="A34" s="57">
        <v>22</v>
      </c>
      <c r="B34" s="58" t="s">
        <v>92</v>
      </c>
      <c r="C34" s="55"/>
      <c r="D34" s="65">
        <f>SUM(D28:D32)</f>
        <v>0</v>
      </c>
    </row>
  </sheetData>
  <sheetProtection sheet="1" objects="1" scenarios="1" formatCells="0" formatColumns="0" formatRows="0"/>
  <pageMargins left="0.75" right="0.75" top="1" bottom="1" header="0.5" footer="0.5"/>
  <pageSetup paperSize="9" scale="84" orientation="portrait"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37"/>
  <sheetViews>
    <sheetView showZeros="0" view="pageLayout" topLeftCell="L18" workbookViewId="0">
      <selection activeCell="AG46" sqref="AG46"/>
    </sheetView>
  </sheetViews>
  <sheetFormatPr baseColWidth="10" defaultRowHeight="12"/>
  <cols>
    <col min="1" max="1" width="3" style="158" customWidth="1"/>
    <col min="2" max="2" width="3.33203125" style="158" customWidth="1"/>
    <col min="3" max="3" width="12.1640625" style="158" customWidth="1"/>
    <col min="4" max="5" width="3" style="158" customWidth="1"/>
    <col min="6" max="6" width="3.33203125" style="158" customWidth="1"/>
    <col min="7" max="7" width="12.1640625" style="158" customWidth="1"/>
    <col min="8" max="8" width="2.5" style="158" customWidth="1"/>
    <col min="9" max="9" width="3" style="158" customWidth="1"/>
    <col min="10" max="10" width="3.33203125" style="158" customWidth="1"/>
    <col min="11" max="11" width="12.1640625" style="158" customWidth="1"/>
    <col min="12" max="12" width="2.5" style="158" customWidth="1"/>
    <col min="13" max="13" width="3" style="158" customWidth="1"/>
    <col min="14" max="14" width="3.33203125" style="158" customWidth="1"/>
    <col min="15" max="15" width="12.1640625" style="158" customWidth="1"/>
    <col min="16" max="16" width="2.5" style="158" customWidth="1"/>
    <col min="17" max="17" width="3" style="158" customWidth="1"/>
    <col min="18" max="18" width="3.33203125" style="158" customWidth="1"/>
    <col min="19" max="19" width="12.1640625" style="158" customWidth="1"/>
    <col min="20" max="20" width="2.5" style="158" customWidth="1"/>
    <col min="21" max="21" width="3" style="158" customWidth="1"/>
    <col min="22" max="22" width="3.33203125" style="158" customWidth="1"/>
    <col min="23" max="23" width="12.1640625" style="158" customWidth="1"/>
    <col min="24" max="24" width="2.5" style="158" customWidth="1"/>
    <col min="25" max="25" width="3" style="158" customWidth="1"/>
    <col min="26" max="26" width="3.33203125" style="158" customWidth="1"/>
    <col min="27" max="27" width="12.1640625" style="158" customWidth="1"/>
    <col min="28" max="28" width="2.5" style="158" customWidth="1"/>
    <col min="29" max="29" width="3" style="158" customWidth="1"/>
    <col min="30" max="30" width="3.33203125" style="158" customWidth="1"/>
    <col min="31" max="31" width="12.1640625" style="158" customWidth="1"/>
    <col min="32" max="32" width="2.5" style="158" customWidth="1"/>
    <col min="33" max="33" width="3" style="158" customWidth="1"/>
    <col min="34" max="34" width="3.33203125" style="158" customWidth="1"/>
    <col min="35" max="35" width="12.1640625" style="158" customWidth="1"/>
    <col min="36" max="36" width="2.5" style="158" customWidth="1"/>
    <col min="37" max="37" width="3" style="158" customWidth="1"/>
    <col min="38" max="38" width="3.33203125" style="158" customWidth="1"/>
    <col min="39" max="39" width="12.1640625" style="158" customWidth="1"/>
    <col min="40" max="40" width="2.5" style="158" customWidth="1"/>
    <col min="41" max="41" width="3" style="158" customWidth="1"/>
    <col min="42" max="42" width="3.33203125" style="158" customWidth="1"/>
    <col min="43" max="43" width="12.1640625" style="158" customWidth="1"/>
    <col min="44" max="44" width="2.5" style="158" customWidth="1"/>
    <col min="45" max="45" width="3" style="158" customWidth="1"/>
    <col min="46" max="46" width="3.33203125" style="158" customWidth="1"/>
    <col min="47" max="47" width="12.1640625" style="158" customWidth="1"/>
    <col min="48" max="48" width="4.33203125" style="158" customWidth="1"/>
    <col min="49" max="16384" width="10.83203125" style="158"/>
  </cols>
  <sheetData>
    <row r="1" spans="1:48" ht="30" customHeight="1" thickBot="1">
      <c r="A1" s="175" t="str">
        <f>"ÅRSKALENDER  for  "&amp;Stamoplysninger!E8&amp;" vedr. skoleåret "&amp;Stamoplysninger!F6&amp;""</f>
        <v>ÅRSKALENDER  for  Beate Simonsen vedr. skoleåret 2022-2023</v>
      </c>
      <c r="B1" s="172"/>
      <c r="C1" s="171"/>
      <c r="D1" s="174"/>
      <c r="E1" s="173"/>
      <c r="F1" s="172"/>
      <c r="G1" s="171"/>
      <c r="H1" s="174"/>
      <c r="I1" s="173"/>
      <c r="J1" s="172"/>
      <c r="K1" s="171"/>
      <c r="L1" s="174"/>
      <c r="M1" s="173"/>
      <c r="N1" s="172"/>
      <c r="O1" s="171"/>
      <c r="P1" s="174"/>
      <c r="Q1" s="173"/>
      <c r="R1" s="172"/>
      <c r="S1" s="171"/>
      <c r="T1" s="174"/>
      <c r="U1" s="173"/>
      <c r="V1" s="172"/>
      <c r="W1" s="171"/>
      <c r="X1" s="174"/>
      <c r="Y1" s="173"/>
      <c r="Z1" s="172"/>
      <c r="AA1" s="171"/>
      <c r="AB1" s="174"/>
      <c r="AC1" s="173"/>
      <c r="AD1" s="172"/>
      <c r="AE1" s="171"/>
      <c r="AF1" s="174"/>
      <c r="AG1" s="173"/>
      <c r="AH1" s="172"/>
      <c r="AI1" s="171"/>
      <c r="AJ1" s="174"/>
      <c r="AK1" s="173"/>
      <c r="AL1" s="172"/>
      <c r="AM1" s="171"/>
      <c r="AN1" s="174"/>
      <c r="AO1" s="173"/>
      <c r="AP1" s="172"/>
      <c r="AQ1" s="171"/>
      <c r="AR1" s="174"/>
      <c r="AS1" s="173"/>
      <c r="AT1" s="172"/>
      <c r="AU1" s="171"/>
      <c r="AV1" s="170"/>
    </row>
    <row r="2" spans="1:48" ht="24" customHeight="1">
      <c r="A2" s="168" t="str">
        <f>Maaned!B4</f>
        <v>AUGUST</v>
      </c>
      <c r="B2" s="167"/>
      <c r="C2" s="166"/>
      <c r="D2" s="165"/>
      <c r="E2" s="168" t="str">
        <f>Maaned!I4</f>
        <v>SEPTEMBER</v>
      </c>
      <c r="F2" s="167"/>
      <c r="G2" s="166"/>
      <c r="H2" s="165"/>
      <c r="I2" s="169" t="str">
        <f>Maaned!P4</f>
        <v>OKTOBER</v>
      </c>
      <c r="J2" s="167"/>
      <c r="K2" s="166"/>
      <c r="L2" s="165"/>
      <c r="M2" s="168" t="str">
        <f>Maaned!W4</f>
        <v>NOVEMBER</v>
      </c>
      <c r="N2" s="167"/>
      <c r="O2" s="166"/>
      <c r="P2" s="165"/>
      <c r="Q2" s="168" t="str">
        <f>Maaned!AD4</f>
        <v>DECEMBER</v>
      </c>
      <c r="R2" s="167"/>
      <c r="S2" s="166"/>
      <c r="T2" s="165"/>
      <c r="U2" s="168" t="str">
        <f>Maaned!AK4</f>
        <v>JANUAR</v>
      </c>
      <c r="V2" s="167"/>
      <c r="W2" s="166"/>
      <c r="X2" s="165"/>
      <c r="Y2" s="169" t="str">
        <f>Maaned!AR4</f>
        <v>FEBRUAR</v>
      </c>
      <c r="Z2" s="167"/>
      <c r="AA2" s="166"/>
      <c r="AB2" s="165"/>
      <c r="AC2" s="168" t="str">
        <f>Maaned!AY4</f>
        <v>MARTS</v>
      </c>
      <c r="AD2" s="167"/>
      <c r="AE2" s="166"/>
      <c r="AF2" s="165"/>
      <c r="AG2" s="168" t="str">
        <f>Maaned!BF4</f>
        <v>APRIL</v>
      </c>
      <c r="AH2" s="167"/>
      <c r="AI2" s="166"/>
      <c r="AJ2" s="165"/>
      <c r="AK2" s="168" t="str">
        <f>Maaned!BM4</f>
        <v>MAJ</v>
      </c>
      <c r="AL2" s="167"/>
      <c r="AM2" s="166"/>
      <c r="AN2" s="165"/>
      <c r="AO2" s="168" t="str">
        <f>Maaned!BT4</f>
        <v>JUNI</v>
      </c>
      <c r="AP2" s="167"/>
      <c r="AQ2" s="166"/>
      <c r="AR2" s="165"/>
      <c r="AS2" s="168" t="str">
        <f>Maaned!CA4</f>
        <v>JULI</v>
      </c>
      <c r="AT2" s="167"/>
      <c r="AU2" s="166"/>
      <c r="AV2" s="165"/>
    </row>
    <row r="3" spans="1:48" ht="24" customHeight="1">
      <c r="A3" s="76">
        <f>Maaned!B5</f>
        <v>1</v>
      </c>
      <c r="B3" s="77" t="str">
        <f>Maaned!C5</f>
        <v>ma</v>
      </c>
      <c r="C3" s="203" t="str">
        <f>August!C10</f>
        <v>Feriedag</v>
      </c>
      <c r="D3" s="77">
        <f>Maaned!E5</f>
        <v>31.285714285714285</v>
      </c>
      <c r="E3" s="76">
        <f>Maaned!I5</f>
        <v>1</v>
      </c>
      <c r="F3" s="77" t="str">
        <f>Maaned!J5</f>
        <v>to</v>
      </c>
      <c r="G3" s="203" t="str">
        <f>September!C9</f>
        <v>Skema 1</v>
      </c>
      <c r="H3" s="205" t="str">
        <f>Maaned!L5</f>
        <v/>
      </c>
      <c r="I3" s="76">
        <f>Maaned!P5</f>
        <v>1</v>
      </c>
      <c r="J3" s="77" t="str">
        <f>Maaned!Q5</f>
        <v>lø</v>
      </c>
      <c r="K3" s="203" t="str">
        <f>Oktober!C9</f>
        <v>Weekend</v>
      </c>
      <c r="L3" s="205" t="str">
        <f>Maaned!S5</f>
        <v/>
      </c>
      <c r="M3" s="76">
        <f>Maaned!W5</f>
        <v>1</v>
      </c>
      <c r="N3" s="77" t="str">
        <f>Maaned!X5</f>
        <v>ti</v>
      </c>
      <c r="O3" s="203" t="str">
        <f>November!C9</f>
        <v>Skema 1</v>
      </c>
      <c r="P3" s="205" t="str">
        <f>Maaned!Z5</f>
        <v/>
      </c>
      <c r="Q3" s="76">
        <f>Maaned!AD5</f>
        <v>1</v>
      </c>
      <c r="R3" s="77" t="str">
        <f>Maaned!AE5</f>
        <v>to</v>
      </c>
      <c r="S3" s="203" t="str">
        <f>December!C9</f>
        <v>Emnedag</v>
      </c>
      <c r="T3" s="205" t="str">
        <f>Maaned!AG5</f>
        <v/>
      </c>
      <c r="U3" s="76">
        <f>Maaned!AK5</f>
        <v>1</v>
      </c>
      <c r="V3" s="77" t="str">
        <f>Maaned!AL5</f>
        <v>sø</v>
      </c>
      <c r="W3" s="203" t="str">
        <f>Januar!C9</f>
        <v>Weekend</v>
      </c>
      <c r="X3" s="205" t="str">
        <f>Maaned!AN5</f>
        <v/>
      </c>
      <c r="Y3" s="76">
        <f>Maaned!AR5</f>
        <v>1</v>
      </c>
      <c r="Z3" s="77" t="str">
        <f>Maaned!AS5</f>
        <v>on</v>
      </c>
      <c r="AA3" s="203" t="str">
        <f>Februar!C9</f>
        <v>Skema 2</v>
      </c>
      <c r="AB3" s="205" t="str">
        <f>Maaned!AU5</f>
        <v/>
      </c>
      <c r="AC3" s="76">
        <f>Maaned!AY5</f>
        <v>1</v>
      </c>
      <c r="AD3" s="77" t="str">
        <f>Maaned!AZ5</f>
        <v>on</v>
      </c>
      <c r="AE3" s="203" t="str">
        <f>Marts!C9</f>
        <v>Skema 2</v>
      </c>
      <c r="AF3" s="205" t="str">
        <f>Maaned!BB5</f>
        <v/>
      </c>
      <c r="AG3" s="76">
        <f>Maaned!BF5</f>
        <v>1</v>
      </c>
      <c r="AH3" s="77" t="str">
        <f>Maaned!BG5</f>
        <v>lø</v>
      </c>
      <c r="AI3" s="203" t="str">
        <f>April!C9</f>
        <v>Weekend</v>
      </c>
      <c r="AJ3" s="205" t="str">
        <f>Maaned!BI5</f>
        <v/>
      </c>
      <c r="AK3" s="76">
        <f>Maaned!BM5</f>
        <v>1</v>
      </c>
      <c r="AL3" s="843" t="str">
        <f>Maaned!BN5</f>
        <v>ma</v>
      </c>
      <c r="AM3" s="203" t="str">
        <f>Maj!C9</f>
        <v>Skema 2</v>
      </c>
      <c r="AN3" s="844">
        <f>Maaned!BP5</f>
        <v>18.142857142857142</v>
      </c>
      <c r="AO3" s="845">
        <f>Maaned!BT5</f>
        <v>1</v>
      </c>
      <c r="AP3" s="843" t="str">
        <f>Maaned!BU5</f>
        <v>to</v>
      </c>
      <c r="AQ3" s="203" t="str">
        <f>Juni!C9</f>
        <v>Skema 2</v>
      </c>
      <c r="AR3" s="844" t="str">
        <f>Maaned!BW5</f>
        <v/>
      </c>
      <c r="AS3" s="845">
        <f>Maaned!CA5</f>
        <v>1</v>
      </c>
      <c r="AT3" s="843" t="str">
        <f>Maaned!CB5</f>
        <v>lø</v>
      </c>
      <c r="AU3" s="203" t="str">
        <f>Juli!C9</f>
        <v>Weekend</v>
      </c>
      <c r="AV3" s="206" t="str">
        <f>Maaned!CD5</f>
        <v/>
      </c>
    </row>
    <row r="4" spans="1:48" ht="24" customHeight="1">
      <c r="A4" s="76">
        <f>Maaned!B6</f>
        <v>2</v>
      </c>
      <c r="B4" s="77" t="str">
        <f>Maaned!C6</f>
        <v>ti</v>
      </c>
      <c r="C4" s="204" t="str">
        <f>August!C11</f>
        <v>Feriedag</v>
      </c>
      <c r="D4" s="77" t="str">
        <f>Maaned!E6</f>
        <v/>
      </c>
      <c r="E4" s="76">
        <f>Maaned!I6</f>
        <v>2</v>
      </c>
      <c r="F4" s="77" t="str">
        <f>Maaned!J6</f>
        <v>fr</v>
      </c>
      <c r="G4" s="204" t="str">
        <f>September!C10</f>
        <v>Skema 1</v>
      </c>
      <c r="H4" s="205" t="str">
        <f>Maaned!L6</f>
        <v/>
      </c>
      <c r="I4" s="76">
        <f>Maaned!P6</f>
        <v>2</v>
      </c>
      <c r="J4" s="77" t="str">
        <f>Maaned!Q6</f>
        <v>sø</v>
      </c>
      <c r="K4" s="204" t="str">
        <f>Oktober!C10</f>
        <v>Weekend</v>
      </c>
      <c r="L4" s="205" t="str">
        <f>Maaned!S6</f>
        <v/>
      </c>
      <c r="M4" s="76">
        <f>Maaned!W6</f>
        <v>2</v>
      </c>
      <c r="N4" s="77" t="str">
        <f>Maaned!X6</f>
        <v>on</v>
      </c>
      <c r="O4" s="204" t="str">
        <f>November!C10</f>
        <v>Skema 1</v>
      </c>
      <c r="P4" s="205" t="str">
        <f>Maaned!Z6</f>
        <v/>
      </c>
      <c r="Q4" s="76">
        <f>Maaned!AD6</f>
        <v>2</v>
      </c>
      <c r="R4" s="77" t="str">
        <f>Maaned!AE6</f>
        <v>fr</v>
      </c>
      <c r="S4" s="204" t="str">
        <f>December!C10</f>
        <v>Skema 1</v>
      </c>
      <c r="T4" s="205" t="str">
        <f>Maaned!AG6</f>
        <v/>
      </c>
      <c r="U4" s="76">
        <f>Maaned!AK6</f>
        <v>2</v>
      </c>
      <c r="V4" s="77" t="str">
        <f>Maaned!AL6</f>
        <v>ma</v>
      </c>
      <c r="W4" s="204" t="str">
        <f>Januar!C10</f>
        <v>Nul-dag</v>
      </c>
      <c r="X4" s="205">
        <f>Maaned!AN6</f>
        <v>1.1428571428571428</v>
      </c>
      <c r="Y4" s="76">
        <f>Maaned!AR6</f>
        <v>2</v>
      </c>
      <c r="Z4" s="77" t="str">
        <f>Maaned!AS6</f>
        <v>to</v>
      </c>
      <c r="AA4" s="204" t="str">
        <f>Februar!C10</f>
        <v>Skema 2</v>
      </c>
      <c r="AB4" s="205" t="str">
        <f>Maaned!AU6</f>
        <v/>
      </c>
      <c r="AC4" s="76">
        <f>Maaned!AY6</f>
        <v>2</v>
      </c>
      <c r="AD4" s="77" t="str">
        <f>Maaned!AZ6</f>
        <v>to</v>
      </c>
      <c r="AE4" s="204" t="str">
        <f>Marts!C10</f>
        <v>Skema 2</v>
      </c>
      <c r="AF4" s="205" t="str">
        <f>Maaned!BB6</f>
        <v/>
      </c>
      <c r="AG4" s="76">
        <f>Maaned!BF6</f>
        <v>2</v>
      </c>
      <c r="AH4" s="77" t="str">
        <f>Maaned!BG6</f>
        <v>sø</v>
      </c>
      <c r="AI4" s="204" t="str">
        <f>April!C10</f>
        <v>Weekend</v>
      </c>
      <c r="AJ4" s="205" t="str">
        <f>Maaned!BI6</f>
        <v/>
      </c>
      <c r="AK4" s="76">
        <f>Maaned!BM6</f>
        <v>2</v>
      </c>
      <c r="AL4" s="846" t="str">
        <f>Maaned!BN6</f>
        <v>ti</v>
      </c>
      <c r="AM4" s="204" t="str">
        <f>Maj!C10</f>
        <v>Skema 2</v>
      </c>
      <c r="AN4" s="847" t="str">
        <f>Maaned!BP6</f>
        <v/>
      </c>
      <c r="AO4" s="848">
        <f>Maaned!BT6</f>
        <v>2</v>
      </c>
      <c r="AP4" s="846" t="str">
        <f>Maaned!BU6</f>
        <v>fr</v>
      </c>
      <c r="AQ4" s="204" t="str">
        <f>Juni!C10</f>
        <v>Skema 2</v>
      </c>
      <c r="AR4" s="847" t="str">
        <f>Maaned!BW6</f>
        <v/>
      </c>
      <c r="AS4" s="848">
        <f>Maaned!CA6</f>
        <v>2</v>
      </c>
      <c r="AT4" s="846" t="str">
        <f>Maaned!CB6</f>
        <v>sø</v>
      </c>
      <c r="AU4" s="204" t="str">
        <f>Juli!C10</f>
        <v>Weekend</v>
      </c>
      <c r="AV4" s="207" t="str">
        <f>Maaned!CD6</f>
        <v/>
      </c>
    </row>
    <row r="5" spans="1:48" ht="24" customHeight="1">
      <c r="A5" s="76">
        <f>Maaned!B7</f>
        <v>3</v>
      </c>
      <c r="B5" s="77" t="str">
        <f>Maaned!C7</f>
        <v>on</v>
      </c>
      <c r="C5" s="204" t="str">
        <f>August!C12</f>
        <v>Pæd.dag</v>
      </c>
      <c r="D5" s="77" t="str">
        <f>Maaned!E7</f>
        <v/>
      </c>
      <c r="E5" s="76">
        <f>Maaned!I7</f>
        <v>3</v>
      </c>
      <c r="F5" s="77" t="str">
        <f>Maaned!J7</f>
        <v>lø</v>
      </c>
      <c r="G5" s="204" t="str">
        <f>September!C11</f>
        <v>Weekend</v>
      </c>
      <c r="H5" s="205" t="str">
        <f>Maaned!L7</f>
        <v/>
      </c>
      <c r="I5" s="76">
        <f>Maaned!P7</f>
        <v>3</v>
      </c>
      <c r="J5" s="77" t="str">
        <f>Maaned!Q7</f>
        <v>ma</v>
      </c>
      <c r="K5" s="204" t="str">
        <f>Oktober!C11</f>
        <v>Skema 1</v>
      </c>
      <c r="L5" s="205">
        <f>Maaned!S7</f>
        <v>40.285714285714285</v>
      </c>
      <c r="M5" s="76">
        <f>Maaned!W7</f>
        <v>3</v>
      </c>
      <c r="N5" s="77" t="str">
        <f>Maaned!X7</f>
        <v>to</v>
      </c>
      <c r="O5" s="204" t="str">
        <f>November!C11</f>
        <v>Skema 1</v>
      </c>
      <c r="P5" s="205" t="str">
        <f>Maaned!Z7</f>
        <v/>
      </c>
      <c r="Q5" s="76">
        <f>Maaned!AD7</f>
        <v>3</v>
      </c>
      <c r="R5" s="77" t="str">
        <f>Maaned!AE7</f>
        <v>lø</v>
      </c>
      <c r="S5" s="204" t="str">
        <f>December!C11</f>
        <v>Weekend</v>
      </c>
      <c r="T5" s="205" t="str">
        <f>Maaned!AG7</f>
        <v/>
      </c>
      <c r="U5" s="76">
        <f>Maaned!AK7</f>
        <v>3</v>
      </c>
      <c r="V5" s="77" t="str">
        <f>Maaned!AL7</f>
        <v>ti</v>
      </c>
      <c r="W5" s="204" t="str">
        <f>Januar!C11</f>
        <v>Nul-dag</v>
      </c>
      <c r="X5" s="205" t="str">
        <f>Maaned!AN7</f>
        <v/>
      </c>
      <c r="Y5" s="76">
        <f>Maaned!AR7</f>
        <v>3</v>
      </c>
      <c r="Z5" s="77" t="str">
        <f>Maaned!AS7</f>
        <v>fr</v>
      </c>
      <c r="AA5" s="204" t="str">
        <f>Februar!C11</f>
        <v>Skema 2</v>
      </c>
      <c r="AB5" s="205" t="str">
        <f>Maaned!AU7</f>
        <v/>
      </c>
      <c r="AC5" s="76">
        <f>Maaned!AY7</f>
        <v>3</v>
      </c>
      <c r="AD5" s="77" t="str">
        <f>Maaned!AZ7</f>
        <v>fr</v>
      </c>
      <c r="AE5" s="204" t="str">
        <f>Marts!C11</f>
        <v>Skema 2</v>
      </c>
      <c r="AF5" s="205" t="str">
        <f>Maaned!BB7</f>
        <v/>
      </c>
      <c r="AG5" s="76">
        <f>Maaned!BF7</f>
        <v>3</v>
      </c>
      <c r="AH5" s="77" t="str">
        <f>Maaned!BG7</f>
        <v>ma</v>
      </c>
      <c r="AI5" s="204" t="str">
        <f>April!C11</f>
        <v>Nul-dag</v>
      </c>
      <c r="AJ5" s="205">
        <f>Maaned!BI7</f>
        <v>14.142857142857142</v>
      </c>
      <c r="AK5" s="76">
        <f>Maaned!BM7</f>
        <v>3</v>
      </c>
      <c r="AL5" s="846" t="str">
        <f>Maaned!BN7</f>
        <v>on</v>
      </c>
      <c r="AM5" s="204" t="str">
        <f>Maj!C11</f>
        <v>Skema 2</v>
      </c>
      <c r="AN5" s="847" t="str">
        <f>Maaned!BP7</f>
        <v/>
      </c>
      <c r="AO5" s="848">
        <f>Maaned!BT7</f>
        <v>3</v>
      </c>
      <c r="AP5" s="846" t="str">
        <f>Maaned!BU7</f>
        <v>lø</v>
      </c>
      <c r="AQ5" s="204" t="str">
        <f>Juni!C11</f>
        <v>Weekend</v>
      </c>
      <c r="AR5" s="847" t="str">
        <f>Maaned!BW7</f>
        <v/>
      </c>
      <c r="AS5" s="848">
        <f>Maaned!CA7</f>
        <v>3</v>
      </c>
      <c r="AT5" s="846" t="str">
        <f>Maaned!CB7</f>
        <v>ma</v>
      </c>
      <c r="AU5" s="204" t="str">
        <f>Juli!C11</f>
        <v>Nul-dag</v>
      </c>
      <c r="AV5" s="207">
        <f>Maaned!CD7</f>
        <v>27.142857142857142</v>
      </c>
    </row>
    <row r="6" spans="1:48" ht="24" customHeight="1">
      <c r="A6" s="76">
        <f>Maaned!B8</f>
        <v>4</v>
      </c>
      <c r="B6" s="77" t="str">
        <f>Maaned!C8</f>
        <v>to</v>
      </c>
      <c r="C6" s="204" t="str">
        <f>August!C13</f>
        <v>Pæd.dag</v>
      </c>
      <c r="D6" s="77" t="str">
        <f>Maaned!E8</f>
        <v/>
      </c>
      <c r="E6" s="76">
        <f>Maaned!I8</f>
        <v>4</v>
      </c>
      <c r="F6" s="77" t="str">
        <f>Maaned!J8</f>
        <v>sø</v>
      </c>
      <c r="G6" s="204" t="str">
        <f>September!C12</f>
        <v>Weekend</v>
      </c>
      <c r="H6" s="205" t="str">
        <f>Maaned!L8</f>
        <v/>
      </c>
      <c r="I6" s="76">
        <f>Maaned!P8</f>
        <v>4</v>
      </c>
      <c r="J6" s="77" t="str">
        <f>Maaned!Q8</f>
        <v>ti</v>
      </c>
      <c r="K6" s="204" t="str">
        <f>Oktober!C12</f>
        <v>Skema 1</v>
      </c>
      <c r="L6" s="205" t="str">
        <f>Maaned!S8</f>
        <v/>
      </c>
      <c r="M6" s="76">
        <f>Maaned!W8</f>
        <v>4</v>
      </c>
      <c r="N6" s="77" t="str">
        <f>Maaned!X8</f>
        <v>fr</v>
      </c>
      <c r="O6" s="204" t="str">
        <f>November!C12</f>
        <v>Skema 1</v>
      </c>
      <c r="P6" s="205" t="str">
        <f>Maaned!Z8</f>
        <v/>
      </c>
      <c r="Q6" s="76">
        <f>Maaned!AD8</f>
        <v>4</v>
      </c>
      <c r="R6" s="77" t="str">
        <f>Maaned!AE8</f>
        <v>sø</v>
      </c>
      <c r="S6" s="204" t="str">
        <f>December!C12</f>
        <v>Weekend</v>
      </c>
      <c r="T6" s="205" t="str">
        <f>Maaned!AG8</f>
        <v/>
      </c>
      <c r="U6" s="76">
        <f>Maaned!AK8</f>
        <v>4</v>
      </c>
      <c r="V6" s="77" t="str">
        <f>Maaned!AL8</f>
        <v>on</v>
      </c>
      <c r="W6" s="204" t="str">
        <f>Januar!C12</f>
        <v>Skema 2</v>
      </c>
      <c r="X6" s="205" t="str">
        <f>Maaned!AN8</f>
        <v/>
      </c>
      <c r="Y6" s="76">
        <f>Maaned!AR8</f>
        <v>4</v>
      </c>
      <c r="Z6" s="77" t="str">
        <f>Maaned!AS8</f>
        <v>lø</v>
      </c>
      <c r="AA6" s="204" t="str">
        <f>Februar!C12</f>
        <v>Weekend</v>
      </c>
      <c r="AB6" s="205" t="str">
        <f>Maaned!AU8</f>
        <v/>
      </c>
      <c r="AC6" s="76">
        <f>Maaned!AY8</f>
        <v>4</v>
      </c>
      <c r="AD6" s="77" t="str">
        <f>Maaned!AZ8</f>
        <v>lø</v>
      </c>
      <c r="AE6" s="204" t="str">
        <f>Marts!C12</f>
        <v>Weekend</v>
      </c>
      <c r="AF6" s="205" t="str">
        <f>Maaned!BB8</f>
        <v/>
      </c>
      <c r="AG6" s="76">
        <f>Maaned!BF8</f>
        <v>4</v>
      </c>
      <c r="AH6" s="77" t="str">
        <f>Maaned!BG8</f>
        <v>ti</v>
      </c>
      <c r="AI6" s="204" t="str">
        <f>April!C12</f>
        <v>Nul-dag</v>
      </c>
      <c r="AJ6" s="205" t="str">
        <f>Maaned!BI8</f>
        <v/>
      </c>
      <c r="AK6" s="76">
        <f>Maaned!BM8</f>
        <v>4</v>
      </c>
      <c r="AL6" s="846" t="str">
        <f>Maaned!BN8</f>
        <v>to</v>
      </c>
      <c r="AM6" s="204" t="str">
        <f>Maj!C12</f>
        <v>Skema 2</v>
      </c>
      <c r="AN6" s="847" t="str">
        <f>Maaned!BP8</f>
        <v/>
      </c>
      <c r="AO6" s="848">
        <f>Maaned!BT8</f>
        <v>4</v>
      </c>
      <c r="AP6" s="846" t="str">
        <f>Maaned!BU8</f>
        <v>sø</v>
      </c>
      <c r="AQ6" s="204" t="str">
        <f>Juni!C12</f>
        <v>Weekend</v>
      </c>
      <c r="AR6" s="847" t="str">
        <f>Maaned!BW8</f>
        <v/>
      </c>
      <c r="AS6" s="848">
        <f>Maaned!CA8</f>
        <v>4</v>
      </c>
      <c r="AT6" s="846" t="str">
        <f>Maaned!CB8</f>
        <v>ti</v>
      </c>
      <c r="AU6" s="204" t="str">
        <f>Juli!C12</f>
        <v>Nul-dag</v>
      </c>
      <c r="AV6" s="207" t="str">
        <f>Maaned!CD8</f>
        <v/>
      </c>
    </row>
    <row r="7" spans="1:48" ht="24" customHeight="1">
      <c r="A7" s="76">
        <f>Maaned!B9</f>
        <v>5</v>
      </c>
      <c r="B7" s="77" t="str">
        <f>Maaned!C9</f>
        <v>fr</v>
      </c>
      <c r="C7" s="204" t="str">
        <f>August!C14</f>
        <v>Pæd.dag</v>
      </c>
      <c r="D7" s="209" t="str">
        <f>Maaned!E9</f>
        <v/>
      </c>
      <c r="E7" s="76">
        <f>Maaned!I9</f>
        <v>5</v>
      </c>
      <c r="F7" s="77" t="str">
        <f>Maaned!J9</f>
        <v>ma</v>
      </c>
      <c r="G7" s="204" t="str">
        <f>September!C13</f>
        <v>Lejrskole</v>
      </c>
      <c r="H7" s="205">
        <f>Maaned!L9</f>
        <v>36.285714285714285</v>
      </c>
      <c r="I7" s="76">
        <f>Maaned!P9</f>
        <v>5</v>
      </c>
      <c r="J7" s="77" t="str">
        <f>Maaned!Q9</f>
        <v>on</v>
      </c>
      <c r="K7" s="204" t="str">
        <f>Oktober!C13</f>
        <v>Skema 1</v>
      </c>
      <c r="L7" s="205" t="str">
        <f>Maaned!S9</f>
        <v/>
      </c>
      <c r="M7" s="76">
        <f>Maaned!W9</f>
        <v>5</v>
      </c>
      <c r="N7" s="77" t="str">
        <f>Maaned!X9</f>
        <v>lø</v>
      </c>
      <c r="O7" s="204" t="str">
        <f>November!C13</f>
        <v>Weekend</v>
      </c>
      <c r="P7" s="205" t="str">
        <f>Maaned!Z9</f>
        <v/>
      </c>
      <c r="Q7" s="76">
        <f>Maaned!AD9</f>
        <v>5</v>
      </c>
      <c r="R7" s="77" t="str">
        <f>Maaned!AE9</f>
        <v>ma</v>
      </c>
      <c r="S7" s="204" t="str">
        <f>December!C13</f>
        <v>Skema 1</v>
      </c>
      <c r="T7" s="205">
        <f>Maaned!AG9</f>
        <v>49.285714285714285</v>
      </c>
      <c r="U7" s="76">
        <f>Maaned!AK9</f>
        <v>5</v>
      </c>
      <c r="V7" s="77" t="str">
        <f>Maaned!AL9</f>
        <v>to</v>
      </c>
      <c r="W7" s="204" t="str">
        <f>Januar!C13</f>
        <v>Skema 2</v>
      </c>
      <c r="X7" s="205" t="str">
        <f>Maaned!AN9</f>
        <v/>
      </c>
      <c r="Y7" s="76">
        <f>Maaned!AR9</f>
        <v>5</v>
      </c>
      <c r="Z7" s="77" t="str">
        <f>Maaned!AS9</f>
        <v>sø</v>
      </c>
      <c r="AA7" s="204" t="str">
        <f>Februar!C13</f>
        <v>Weekend</v>
      </c>
      <c r="AB7" s="205" t="str">
        <f>Maaned!AU9</f>
        <v/>
      </c>
      <c r="AC7" s="76">
        <f>Maaned!AY9</f>
        <v>5</v>
      </c>
      <c r="AD7" s="77" t="str">
        <f>Maaned!AZ9</f>
        <v>sø</v>
      </c>
      <c r="AE7" s="204" t="str">
        <f>Marts!C13</f>
        <v>Weekend</v>
      </c>
      <c r="AF7" s="205" t="str">
        <f>Maaned!BB9</f>
        <v/>
      </c>
      <c r="AG7" s="76">
        <f>Maaned!BF9</f>
        <v>5</v>
      </c>
      <c r="AH7" s="77" t="str">
        <f>Maaned!BG9</f>
        <v>on</v>
      </c>
      <c r="AI7" s="204" t="str">
        <f>April!C13</f>
        <v>Nul-dag</v>
      </c>
      <c r="AJ7" s="205" t="str">
        <f>Maaned!BI9</f>
        <v/>
      </c>
      <c r="AK7" s="76">
        <f>Maaned!BM9</f>
        <v>5</v>
      </c>
      <c r="AL7" s="846" t="str">
        <f>Maaned!BN9</f>
        <v>fr</v>
      </c>
      <c r="AM7" s="204" t="str">
        <f>Maj!C13</f>
        <v>SH-dag</v>
      </c>
      <c r="AN7" s="847" t="str">
        <f>Maaned!BP9</f>
        <v/>
      </c>
      <c r="AO7" s="848">
        <f>Maaned!BT9</f>
        <v>5</v>
      </c>
      <c r="AP7" s="846" t="str">
        <f>Maaned!BU9</f>
        <v>ma</v>
      </c>
      <c r="AQ7" s="204" t="str">
        <f>Juni!C13</f>
        <v>Nul-dag</v>
      </c>
      <c r="AR7" s="847">
        <f>Maaned!BW9</f>
        <v>23.142857142857142</v>
      </c>
      <c r="AS7" s="848">
        <f>Maaned!CA9</f>
        <v>5</v>
      </c>
      <c r="AT7" s="846" t="str">
        <f>Maaned!CB9</f>
        <v>on</v>
      </c>
      <c r="AU7" s="204" t="str">
        <f>Juli!C13</f>
        <v>Nul-dag</v>
      </c>
      <c r="AV7" s="207" t="str">
        <f>Maaned!CD9</f>
        <v/>
      </c>
    </row>
    <row r="8" spans="1:48" ht="24" customHeight="1">
      <c r="A8" s="76">
        <f>Maaned!B10</f>
        <v>6</v>
      </c>
      <c r="B8" s="77" t="str">
        <f>Maaned!C10</f>
        <v>lø</v>
      </c>
      <c r="C8" s="204" t="str">
        <f>August!C15</f>
        <v>Weekend</v>
      </c>
      <c r="D8" s="209" t="str">
        <f>Maaned!E10</f>
        <v/>
      </c>
      <c r="E8" s="76">
        <f>Maaned!I10</f>
        <v>6</v>
      </c>
      <c r="F8" s="77" t="str">
        <f>Maaned!J10</f>
        <v>ti</v>
      </c>
      <c r="G8" s="204" t="str">
        <f>September!C14</f>
        <v>Lejrskole</v>
      </c>
      <c r="H8" s="205" t="str">
        <f>Maaned!L10</f>
        <v/>
      </c>
      <c r="I8" s="76">
        <f>Maaned!P10</f>
        <v>6</v>
      </c>
      <c r="J8" s="77" t="str">
        <f>Maaned!Q10</f>
        <v>to</v>
      </c>
      <c r="K8" s="204" t="str">
        <f>Oktober!C14</f>
        <v>Skema 1</v>
      </c>
      <c r="L8" s="205" t="str">
        <f>Maaned!S10</f>
        <v/>
      </c>
      <c r="M8" s="76">
        <f>Maaned!W10</f>
        <v>6</v>
      </c>
      <c r="N8" s="77" t="str">
        <f>Maaned!X10</f>
        <v>sø</v>
      </c>
      <c r="O8" s="204" t="str">
        <f>November!C14</f>
        <v>Weekend</v>
      </c>
      <c r="P8" s="205" t="str">
        <f>Maaned!Z10</f>
        <v/>
      </c>
      <c r="Q8" s="76">
        <f>Maaned!AD10</f>
        <v>6</v>
      </c>
      <c r="R8" s="77" t="str">
        <f>Maaned!AE10</f>
        <v>ti</v>
      </c>
      <c r="S8" s="204" t="str">
        <f>December!C14</f>
        <v>Skema 1</v>
      </c>
      <c r="T8" s="205" t="str">
        <f>Maaned!AG10</f>
        <v/>
      </c>
      <c r="U8" s="76">
        <f>Maaned!AK10</f>
        <v>6</v>
      </c>
      <c r="V8" s="77" t="str">
        <f>Maaned!AL10</f>
        <v>fr</v>
      </c>
      <c r="W8" s="204" t="str">
        <f>Januar!C14</f>
        <v>Skema 2</v>
      </c>
      <c r="X8" s="205" t="str">
        <f>Maaned!AN10</f>
        <v/>
      </c>
      <c r="Y8" s="76">
        <f>Maaned!AR10</f>
        <v>6</v>
      </c>
      <c r="Z8" s="77" t="str">
        <f>Maaned!AS10</f>
        <v>ma</v>
      </c>
      <c r="AA8" s="204" t="str">
        <f>Februar!C14</f>
        <v>Skema 2</v>
      </c>
      <c r="AB8" s="205">
        <f>Maaned!AU10</f>
        <v>6.1428571428571432</v>
      </c>
      <c r="AC8" s="76">
        <f>Maaned!AY10</f>
        <v>6</v>
      </c>
      <c r="AD8" s="77" t="str">
        <f>Maaned!AZ10</f>
        <v>ma</v>
      </c>
      <c r="AE8" s="204" t="str">
        <f>Marts!C14</f>
        <v>Skema 2</v>
      </c>
      <c r="AF8" s="205">
        <f>Maaned!BB10</f>
        <v>10.142857142857142</v>
      </c>
      <c r="AG8" s="76">
        <f>Maaned!BF10</f>
        <v>6</v>
      </c>
      <c r="AH8" s="77" t="str">
        <f>Maaned!BG10</f>
        <v>to</v>
      </c>
      <c r="AI8" s="204" t="str">
        <f>April!C14</f>
        <v>SH-dag</v>
      </c>
      <c r="AJ8" s="205" t="str">
        <f>Maaned!BI10</f>
        <v/>
      </c>
      <c r="AK8" s="76">
        <f>Maaned!BM10</f>
        <v>6</v>
      </c>
      <c r="AL8" s="846" t="str">
        <f>Maaned!BN10</f>
        <v>lø</v>
      </c>
      <c r="AM8" s="204" t="str">
        <f>Maj!C14</f>
        <v>Weekend</v>
      </c>
      <c r="AN8" s="847" t="str">
        <f>Maaned!BP10</f>
        <v/>
      </c>
      <c r="AO8" s="848">
        <f>Maaned!BT10</f>
        <v>6</v>
      </c>
      <c r="AP8" s="846" t="str">
        <f>Maaned!BU10</f>
        <v>ti</v>
      </c>
      <c r="AQ8" s="204" t="str">
        <f>Juni!C14</f>
        <v>Skema 2</v>
      </c>
      <c r="AR8" s="847" t="str">
        <f>Maaned!BW10</f>
        <v/>
      </c>
      <c r="AS8" s="848">
        <f>Maaned!CA10</f>
        <v>6</v>
      </c>
      <c r="AT8" s="846" t="str">
        <f>Maaned!CB10</f>
        <v>to</v>
      </c>
      <c r="AU8" s="204" t="str">
        <f>Juli!C14</f>
        <v>Feriedag</v>
      </c>
      <c r="AV8" s="207" t="str">
        <f>Maaned!CD10</f>
        <v/>
      </c>
    </row>
    <row r="9" spans="1:48" ht="24" customHeight="1">
      <c r="A9" s="76">
        <f>Maaned!B11</f>
        <v>7</v>
      </c>
      <c r="B9" s="77" t="str">
        <f>Maaned!C11</f>
        <v>sø</v>
      </c>
      <c r="C9" s="204" t="str">
        <f>August!C16</f>
        <v>Weekend</v>
      </c>
      <c r="D9" s="209" t="str">
        <f>Maaned!E11</f>
        <v/>
      </c>
      <c r="E9" s="76">
        <f>Maaned!I11</f>
        <v>7</v>
      </c>
      <c r="F9" s="77" t="str">
        <f>Maaned!J11</f>
        <v>on</v>
      </c>
      <c r="G9" s="204" t="str">
        <f>September!C15</f>
        <v>Lejrskole</v>
      </c>
      <c r="H9" s="205" t="str">
        <f>Maaned!L11</f>
        <v/>
      </c>
      <c r="I9" s="76">
        <f>Maaned!P11</f>
        <v>7</v>
      </c>
      <c r="J9" s="77" t="str">
        <f>Maaned!Q11</f>
        <v>fr</v>
      </c>
      <c r="K9" s="204" t="str">
        <f>Oktober!C15</f>
        <v>Skema 1</v>
      </c>
      <c r="L9" s="205" t="str">
        <f>Maaned!S11</f>
        <v/>
      </c>
      <c r="M9" s="76">
        <f>Maaned!W11</f>
        <v>7</v>
      </c>
      <c r="N9" s="77" t="str">
        <f>Maaned!X11</f>
        <v>ma</v>
      </c>
      <c r="O9" s="204" t="str">
        <f>November!C15</f>
        <v>Skema 1</v>
      </c>
      <c r="P9" s="205">
        <f>Maaned!Z11</f>
        <v>45.285714285714285</v>
      </c>
      <c r="Q9" s="76">
        <f>Maaned!AD11</f>
        <v>7</v>
      </c>
      <c r="R9" s="77" t="str">
        <f>Maaned!AE11</f>
        <v>on</v>
      </c>
      <c r="S9" s="204" t="str">
        <f>December!C15</f>
        <v>Skema 1</v>
      </c>
      <c r="T9" s="205" t="str">
        <f>Maaned!AG11</f>
        <v/>
      </c>
      <c r="U9" s="76">
        <f>Maaned!AK11</f>
        <v>7</v>
      </c>
      <c r="V9" s="77" t="str">
        <f>Maaned!AL11</f>
        <v>lø</v>
      </c>
      <c r="W9" s="204" t="str">
        <f>Januar!C15</f>
        <v>Weekend</v>
      </c>
      <c r="X9" s="205" t="str">
        <f>Maaned!AN11</f>
        <v/>
      </c>
      <c r="Y9" s="76">
        <f>Maaned!AR11</f>
        <v>7</v>
      </c>
      <c r="Z9" s="77" t="str">
        <f>Maaned!AS11</f>
        <v>ti</v>
      </c>
      <c r="AA9" s="204" t="str">
        <f>Februar!C15</f>
        <v>Skema 2</v>
      </c>
      <c r="AB9" s="205" t="str">
        <f>Maaned!AU11</f>
        <v/>
      </c>
      <c r="AC9" s="76">
        <f>Maaned!AY11</f>
        <v>7</v>
      </c>
      <c r="AD9" s="77" t="str">
        <f>Maaned!AZ11</f>
        <v>ti</v>
      </c>
      <c r="AE9" s="204" t="str">
        <f>Marts!C15</f>
        <v>Skema 2</v>
      </c>
      <c r="AF9" s="205" t="str">
        <f>Maaned!BB11</f>
        <v/>
      </c>
      <c r="AG9" s="76">
        <f>Maaned!BF11</f>
        <v>7</v>
      </c>
      <c r="AH9" s="77" t="str">
        <f>Maaned!BG11</f>
        <v>fr</v>
      </c>
      <c r="AI9" s="204" t="str">
        <f>April!C15</f>
        <v>SH-dag</v>
      </c>
      <c r="AJ9" s="205" t="str">
        <f>Maaned!BI11</f>
        <v/>
      </c>
      <c r="AK9" s="76">
        <f>Maaned!BM11</f>
        <v>7</v>
      </c>
      <c r="AL9" s="846" t="str">
        <f>Maaned!BN11</f>
        <v>sø</v>
      </c>
      <c r="AM9" s="204" t="str">
        <f>Maj!C15</f>
        <v>Weekend</v>
      </c>
      <c r="AN9" s="847" t="str">
        <f>Maaned!BP11</f>
        <v/>
      </c>
      <c r="AO9" s="848">
        <f>Maaned!BT11</f>
        <v>7</v>
      </c>
      <c r="AP9" s="846" t="str">
        <f>Maaned!BU11</f>
        <v>on</v>
      </c>
      <c r="AQ9" s="204" t="str">
        <f>Juni!C15</f>
        <v>Lejrskole</v>
      </c>
      <c r="AR9" s="847" t="str">
        <f>Maaned!BW11</f>
        <v/>
      </c>
      <c r="AS9" s="848">
        <f>Maaned!CA11</f>
        <v>7</v>
      </c>
      <c r="AT9" s="846" t="str">
        <f>Maaned!CB11</f>
        <v>fr</v>
      </c>
      <c r="AU9" s="204" t="str">
        <f>Juli!C15</f>
        <v>Feriedag</v>
      </c>
      <c r="AV9" s="207" t="str">
        <f>Maaned!CD11</f>
        <v/>
      </c>
    </row>
    <row r="10" spans="1:48" ht="24" customHeight="1">
      <c r="A10" s="76">
        <f>Maaned!B12</f>
        <v>8</v>
      </c>
      <c r="B10" s="77" t="str">
        <f>Maaned!C12</f>
        <v>ma</v>
      </c>
      <c r="C10" s="204" t="str">
        <f>August!C17</f>
        <v>Emnedag</v>
      </c>
      <c r="D10" s="77">
        <f>Maaned!E12</f>
        <v>32.285714285714285</v>
      </c>
      <c r="E10" s="76">
        <f>Maaned!I12</f>
        <v>8</v>
      </c>
      <c r="F10" s="77" t="str">
        <f>Maaned!J12</f>
        <v>to</v>
      </c>
      <c r="G10" s="204" t="str">
        <f>September!C16</f>
        <v>Lejrskole</v>
      </c>
      <c r="H10" s="205" t="str">
        <f>Maaned!L12</f>
        <v/>
      </c>
      <c r="I10" s="76">
        <f>Maaned!P12</f>
        <v>8</v>
      </c>
      <c r="J10" s="77" t="str">
        <f>Maaned!Q12</f>
        <v>lø</v>
      </c>
      <c r="K10" s="204" t="str">
        <f>Oktober!C16</f>
        <v>Weekend</v>
      </c>
      <c r="L10" s="205" t="str">
        <f>Maaned!S12</f>
        <v/>
      </c>
      <c r="M10" s="76">
        <f>Maaned!W12</f>
        <v>8</v>
      </c>
      <c r="N10" s="77" t="str">
        <f>Maaned!X12</f>
        <v>ti</v>
      </c>
      <c r="O10" s="204" t="str">
        <f>November!C16</f>
        <v>Skema 1</v>
      </c>
      <c r="P10" s="205" t="str">
        <f>Maaned!Z12</f>
        <v/>
      </c>
      <c r="Q10" s="76">
        <f>Maaned!AD12</f>
        <v>8</v>
      </c>
      <c r="R10" s="77" t="str">
        <f>Maaned!AE12</f>
        <v>to</v>
      </c>
      <c r="S10" s="204" t="str">
        <f>December!C16</f>
        <v>Skema 1</v>
      </c>
      <c r="T10" s="205" t="str">
        <f>Maaned!AG12</f>
        <v/>
      </c>
      <c r="U10" s="76">
        <f>Maaned!AK12</f>
        <v>8</v>
      </c>
      <c r="V10" s="77" t="str">
        <f>Maaned!AL12</f>
        <v>sø</v>
      </c>
      <c r="W10" s="204" t="str">
        <f>Januar!C16</f>
        <v>Weekend</v>
      </c>
      <c r="X10" s="205" t="str">
        <f>Maaned!AN12</f>
        <v/>
      </c>
      <c r="Y10" s="76">
        <f>Maaned!AR12</f>
        <v>8</v>
      </c>
      <c r="Z10" s="77" t="str">
        <f>Maaned!AS12</f>
        <v>on</v>
      </c>
      <c r="AA10" s="204" t="str">
        <f>Februar!C16</f>
        <v>Skema 2</v>
      </c>
      <c r="AB10" s="205" t="str">
        <f>Maaned!AU12</f>
        <v/>
      </c>
      <c r="AC10" s="76">
        <f>Maaned!AY12</f>
        <v>8</v>
      </c>
      <c r="AD10" s="77" t="str">
        <f>Maaned!AZ12</f>
        <v>on</v>
      </c>
      <c r="AE10" s="204" t="str">
        <f>Marts!C16</f>
        <v>Skema 2</v>
      </c>
      <c r="AF10" s="205" t="str">
        <f>Maaned!BB12</f>
        <v/>
      </c>
      <c r="AG10" s="76">
        <f>Maaned!BF12</f>
        <v>8</v>
      </c>
      <c r="AH10" s="77" t="str">
        <f>Maaned!BG12</f>
        <v>lø</v>
      </c>
      <c r="AI10" s="204" t="str">
        <f>April!C16</f>
        <v>Weekend</v>
      </c>
      <c r="AJ10" s="205" t="str">
        <f>Maaned!BI12</f>
        <v/>
      </c>
      <c r="AK10" s="76">
        <f>Maaned!BM12</f>
        <v>8</v>
      </c>
      <c r="AL10" s="846" t="str">
        <f>Maaned!BN12</f>
        <v>ma</v>
      </c>
      <c r="AM10" s="204" t="str">
        <f>Maj!C16</f>
        <v>Skema 2</v>
      </c>
      <c r="AN10" s="847">
        <f>Maaned!BP12</f>
        <v>19.142857142857142</v>
      </c>
      <c r="AO10" s="848">
        <f>Maaned!BT12</f>
        <v>8</v>
      </c>
      <c r="AP10" s="846" t="str">
        <f>Maaned!BU12</f>
        <v>to</v>
      </c>
      <c r="AQ10" s="204" t="str">
        <f>Juni!C16</f>
        <v>Lejrskole</v>
      </c>
      <c r="AR10" s="847" t="str">
        <f>Maaned!BW12</f>
        <v/>
      </c>
      <c r="AS10" s="848">
        <f>Maaned!CA12</f>
        <v>8</v>
      </c>
      <c r="AT10" s="846" t="str">
        <f>Maaned!CB12</f>
        <v>lø</v>
      </c>
      <c r="AU10" s="204" t="str">
        <f>Juli!C16</f>
        <v>Weekend</v>
      </c>
      <c r="AV10" s="207" t="str">
        <f>Maaned!CD12</f>
        <v/>
      </c>
    </row>
    <row r="11" spans="1:48" ht="24" customHeight="1">
      <c r="A11" s="76">
        <f>Maaned!B13</f>
        <v>9</v>
      </c>
      <c r="B11" s="77" t="str">
        <f>Maaned!C13</f>
        <v>ti</v>
      </c>
      <c r="C11" s="204" t="str">
        <f>August!C18</f>
        <v>Skema 1</v>
      </c>
      <c r="D11" s="77" t="str">
        <f>Maaned!E13</f>
        <v/>
      </c>
      <c r="E11" s="76">
        <f>Maaned!I13</f>
        <v>9</v>
      </c>
      <c r="F11" s="77" t="str">
        <f>Maaned!J13</f>
        <v>fr</v>
      </c>
      <c r="G11" s="204" t="str">
        <f>September!C17</f>
        <v>Lejrskole</v>
      </c>
      <c r="H11" s="205" t="str">
        <f>Maaned!L13</f>
        <v/>
      </c>
      <c r="I11" s="76">
        <f>Maaned!P13</f>
        <v>9</v>
      </c>
      <c r="J11" s="77" t="str">
        <f>Maaned!Q13</f>
        <v>sø</v>
      </c>
      <c r="K11" s="204" t="str">
        <f>Oktober!C17</f>
        <v>Weekend</v>
      </c>
      <c r="L11" s="205" t="str">
        <f>Maaned!S13</f>
        <v/>
      </c>
      <c r="M11" s="76">
        <f>Maaned!W13</f>
        <v>9</v>
      </c>
      <c r="N11" s="77" t="str">
        <f>Maaned!X13</f>
        <v>on</v>
      </c>
      <c r="O11" s="204" t="str">
        <f>November!C17</f>
        <v>Skema 1</v>
      </c>
      <c r="P11" s="205" t="str">
        <f>Maaned!Z13</f>
        <v/>
      </c>
      <c r="Q11" s="76">
        <f>Maaned!AD13</f>
        <v>9</v>
      </c>
      <c r="R11" s="77" t="str">
        <f>Maaned!AE13</f>
        <v>fr</v>
      </c>
      <c r="S11" s="204" t="str">
        <f>December!C17</f>
        <v>Skema 1</v>
      </c>
      <c r="T11" s="205" t="str">
        <f>Maaned!AG13</f>
        <v/>
      </c>
      <c r="U11" s="76">
        <f>Maaned!AK13</f>
        <v>9</v>
      </c>
      <c r="V11" s="77" t="str">
        <f>Maaned!AL13</f>
        <v>ma</v>
      </c>
      <c r="W11" s="204" t="str">
        <f>Januar!C17</f>
        <v>Skema 2</v>
      </c>
      <c r="X11" s="205">
        <f>Maaned!AN13</f>
        <v>2.1428571428571428</v>
      </c>
      <c r="Y11" s="76">
        <f>Maaned!AR13</f>
        <v>9</v>
      </c>
      <c r="Z11" s="77" t="str">
        <f>Maaned!AS13</f>
        <v>to</v>
      </c>
      <c r="AA11" s="204" t="str">
        <f>Februar!C17</f>
        <v>Skema 2</v>
      </c>
      <c r="AB11" s="205" t="str">
        <f>Maaned!AU13</f>
        <v/>
      </c>
      <c r="AC11" s="76">
        <f>Maaned!AY13</f>
        <v>9</v>
      </c>
      <c r="AD11" s="77" t="str">
        <f>Maaned!AZ13</f>
        <v>to</v>
      </c>
      <c r="AE11" s="204" t="str">
        <f>Marts!C17</f>
        <v>Skema 2</v>
      </c>
      <c r="AF11" s="205" t="str">
        <f>Maaned!BB13</f>
        <v/>
      </c>
      <c r="AG11" s="76">
        <f>Maaned!BF13</f>
        <v>9</v>
      </c>
      <c r="AH11" s="77" t="str">
        <f>Maaned!BG13</f>
        <v>sø</v>
      </c>
      <c r="AI11" s="204" t="str">
        <f>April!C17</f>
        <v>Weekend</v>
      </c>
      <c r="AJ11" s="205" t="str">
        <f>Maaned!BI13</f>
        <v/>
      </c>
      <c r="AK11" s="76">
        <f>Maaned!BM13</f>
        <v>9</v>
      </c>
      <c r="AL11" s="846" t="str">
        <f>Maaned!BN13</f>
        <v>ti</v>
      </c>
      <c r="AM11" s="204" t="str">
        <f>Maj!C17</f>
        <v>Skema 2</v>
      </c>
      <c r="AN11" s="847" t="str">
        <f>Maaned!BP13</f>
        <v/>
      </c>
      <c r="AO11" s="848">
        <f>Maaned!BT13</f>
        <v>9</v>
      </c>
      <c r="AP11" s="846" t="str">
        <f>Maaned!BU13</f>
        <v>fr</v>
      </c>
      <c r="AQ11" s="204" t="str">
        <f>Juni!C17</f>
        <v>Lejrskole</v>
      </c>
      <c r="AR11" s="847" t="str">
        <f>Maaned!BW13</f>
        <v/>
      </c>
      <c r="AS11" s="848">
        <f>Maaned!CA13</f>
        <v>9</v>
      </c>
      <c r="AT11" s="846" t="str">
        <f>Maaned!CB13</f>
        <v>sø</v>
      </c>
      <c r="AU11" s="204" t="str">
        <f>Juli!C17</f>
        <v>Weekend</v>
      </c>
      <c r="AV11" s="207" t="str">
        <f>Maaned!CD13</f>
        <v/>
      </c>
    </row>
    <row r="12" spans="1:48" ht="24" customHeight="1">
      <c r="A12" s="76">
        <f>Maaned!B14</f>
        <v>10</v>
      </c>
      <c r="B12" s="77" t="str">
        <f>Maaned!C14</f>
        <v>on</v>
      </c>
      <c r="C12" s="204" t="str">
        <f>August!C19</f>
        <v>Skema 1</v>
      </c>
      <c r="D12" s="77" t="str">
        <f>Maaned!E14</f>
        <v/>
      </c>
      <c r="E12" s="76">
        <f>Maaned!I14</f>
        <v>10</v>
      </c>
      <c r="F12" s="77" t="str">
        <f>Maaned!J14</f>
        <v>lø</v>
      </c>
      <c r="G12" s="204" t="str">
        <f>September!C18</f>
        <v>Weekend</v>
      </c>
      <c r="H12" s="205" t="str">
        <f>Maaned!L14</f>
        <v/>
      </c>
      <c r="I12" s="76">
        <f>Maaned!P14</f>
        <v>10</v>
      </c>
      <c r="J12" s="77" t="str">
        <f>Maaned!Q14</f>
        <v>ma</v>
      </c>
      <c r="K12" s="204" t="str">
        <f>Oktober!C18</f>
        <v>Fagdag</v>
      </c>
      <c r="L12" s="205">
        <f>Maaned!S14</f>
        <v>41.285714285714285</v>
      </c>
      <c r="M12" s="76">
        <f>Maaned!W14</f>
        <v>10</v>
      </c>
      <c r="N12" s="77" t="str">
        <f>Maaned!X14</f>
        <v>to</v>
      </c>
      <c r="O12" s="204" t="str">
        <f>November!C18</f>
        <v>Skema 1</v>
      </c>
      <c r="P12" s="205" t="str">
        <f>Maaned!Z14</f>
        <v/>
      </c>
      <c r="Q12" s="76">
        <f>Maaned!AD14</f>
        <v>10</v>
      </c>
      <c r="R12" s="77" t="str">
        <f>Maaned!AE14</f>
        <v>lø</v>
      </c>
      <c r="S12" s="204" t="str">
        <f>December!C18</f>
        <v>Weekend</v>
      </c>
      <c r="T12" s="205" t="str">
        <f>Maaned!AG14</f>
        <v/>
      </c>
      <c r="U12" s="76">
        <f>Maaned!AK14</f>
        <v>10</v>
      </c>
      <c r="V12" s="77" t="str">
        <f>Maaned!AL14</f>
        <v>ti</v>
      </c>
      <c r="W12" s="204" t="str">
        <f>Januar!C18</f>
        <v>Skema 2</v>
      </c>
      <c r="X12" s="205" t="str">
        <f>Maaned!AN14</f>
        <v/>
      </c>
      <c r="Y12" s="76">
        <f>Maaned!AR14</f>
        <v>10</v>
      </c>
      <c r="Z12" s="77" t="str">
        <f>Maaned!AS14</f>
        <v>fr</v>
      </c>
      <c r="AA12" s="204" t="str">
        <f>Februar!C18</f>
        <v>Skema 2</v>
      </c>
      <c r="AB12" s="205" t="str">
        <f>Maaned!AU14</f>
        <v/>
      </c>
      <c r="AC12" s="76">
        <f>Maaned!AY14</f>
        <v>10</v>
      </c>
      <c r="AD12" s="77" t="str">
        <f>Maaned!AZ14</f>
        <v>fr</v>
      </c>
      <c r="AE12" s="204" t="str">
        <f>Marts!C18</f>
        <v>Skema 2</v>
      </c>
      <c r="AF12" s="205" t="str">
        <f>Maaned!BB14</f>
        <v/>
      </c>
      <c r="AG12" s="76">
        <f>Maaned!BF14</f>
        <v>10</v>
      </c>
      <c r="AH12" s="77" t="str">
        <f>Maaned!BG14</f>
        <v>ma</v>
      </c>
      <c r="AI12" s="204" t="str">
        <f>April!C18</f>
        <v>SH-dag</v>
      </c>
      <c r="AJ12" s="205">
        <f>Maaned!BI14</f>
        <v>15.142857142857142</v>
      </c>
      <c r="AK12" s="76">
        <f>Maaned!BM14</f>
        <v>10</v>
      </c>
      <c r="AL12" s="846" t="str">
        <f>Maaned!BN14</f>
        <v>on</v>
      </c>
      <c r="AM12" s="204" t="str">
        <f>Maj!C18</f>
        <v>Skema 2</v>
      </c>
      <c r="AN12" s="847" t="str">
        <f>Maaned!BP14</f>
        <v/>
      </c>
      <c r="AO12" s="848">
        <f>Maaned!BT14</f>
        <v>10</v>
      </c>
      <c r="AP12" s="846" t="str">
        <f>Maaned!BU14</f>
        <v>lø</v>
      </c>
      <c r="AQ12" s="204" t="str">
        <f>Juni!C18</f>
        <v>Weekend</v>
      </c>
      <c r="AR12" s="847" t="str">
        <f>Maaned!BW14</f>
        <v/>
      </c>
      <c r="AS12" s="848">
        <f>Maaned!CA14</f>
        <v>10</v>
      </c>
      <c r="AT12" s="846" t="str">
        <f>Maaned!CB14</f>
        <v>ma</v>
      </c>
      <c r="AU12" s="204" t="str">
        <f>Juli!C18</f>
        <v>Feriedag</v>
      </c>
      <c r="AV12" s="207">
        <f>Maaned!CD14</f>
        <v>28.142857142857142</v>
      </c>
    </row>
    <row r="13" spans="1:48" ht="24" customHeight="1">
      <c r="A13" s="76">
        <f>Maaned!B15</f>
        <v>11</v>
      </c>
      <c r="B13" s="77" t="str">
        <f>Maaned!C15</f>
        <v>to</v>
      </c>
      <c r="C13" s="204" t="str">
        <f>August!C20</f>
        <v>Skema 1</v>
      </c>
      <c r="D13" s="77" t="str">
        <f>Maaned!E15</f>
        <v/>
      </c>
      <c r="E13" s="76">
        <f>Maaned!I15</f>
        <v>11</v>
      </c>
      <c r="F13" s="77" t="str">
        <f>Maaned!J15</f>
        <v>sø</v>
      </c>
      <c r="G13" s="204" t="str">
        <f>September!C19</f>
        <v>Weekend</v>
      </c>
      <c r="H13" s="205" t="str">
        <f>Maaned!L15</f>
        <v/>
      </c>
      <c r="I13" s="76">
        <f>Maaned!P15</f>
        <v>11</v>
      </c>
      <c r="J13" s="77" t="str">
        <f>Maaned!Q15</f>
        <v>ti</v>
      </c>
      <c r="K13" s="204" t="str">
        <f>Oktober!C19</f>
        <v>Fagdag</v>
      </c>
      <c r="L13" s="205" t="str">
        <f>Maaned!S15</f>
        <v/>
      </c>
      <c r="M13" s="76">
        <f>Maaned!W15</f>
        <v>11</v>
      </c>
      <c r="N13" s="77" t="str">
        <f>Maaned!X15</f>
        <v>fr</v>
      </c>
      <c r="O13" s="204" t="str">
        <f>November!C19</f>
        <v>Skema 1</v>
      </c>
      <c r="P13" s="205" t="str">
        <f>Maaned!Z15</f>
        <v/>
      </c>
      <c r="Q13" s="76">
        <f>Maaned!AD15</f>
        <v>11</v>
      </c>
      <c r="R13" s="77" t="str">
        <f>Maaned!AE15</f>
        <v>sø</v>
      </c>
      <c r="S13" s="204" t="str">
        <f>December!C19</f>
        <v>Weekend</v>
      </c>
      <c r="T13" s="205" t="str">
        <f>Maaned!AG15</f>
        <v/>
      </c>
      <c r="U13" s="76">
        <f>Maaned!AK15</f>
        <v>11</v>
      </c>
      <c r="V13" s="77" t="str">
        <f>Maaned!AL15</f>
        <v>on</v>
      </c>
      <c r="W13" s="204" t="str">
        <f>Januar!C19</f>
        <v>Skema 2</v>
      </c>
      <c r="X13" s="205" t="str">
        <f>Maaned!AN15</f>
        <v/>
      </c>
      <c r="Y13" s="76">
        <f>Maaned!AR15</f>
        <v>11</v>
      </c>
      <c r="Z13" s="77" t="str">
        <f>Maaned!AS15</f>
        <v>lø</v>
      </c>
      <c r="AA13" s="204" t="str">
        <f>Februar!C19</f>
        <v>Weekend</v>
      </c>
      <c r="AB13" s="205" t="str">
        <f>Maaned!AU15</f>
        <v/>
      </c>
      <c r="AC13" s="76">
        <f>Maaned!AY15</f>
        <v>11</v>
      </c>
      <c r="AD13" s="77" t="str">
        <f>Maaned!AZ15</f>
        <v>lø</v>
      </c>
      <c r="AE13" s="204" t="str">
        <f>Marts!C19</f>
        <v>Pæd.dag</v>
      </c>
      <c r="AF13" s="205" t="str">
        <f>Maaned!BB15</f>
        <v/>
      </c>
      <c r="AG13" s="76">
        <f>Maaned!BF15</f>
        <v>11</v>
      </c>
      <c r="AH13" s="77" t="str">
        <f>Maaned!BG15</f>
        <v>ti</v>
      </c>
      <c r="AI13" s="204" t="str">
        <f>April!C19</f>
        <v>Skema 2</v>
      </c>
      <c r="AJ13" s="205" t="str">
        <f>Maaned!BI15</f>
        <v/>
      </c>
      <c r="AK13" s="76">
        <f>Maaned!BM15</f>
        <v>11</v>
      </c>
      <c r="AL13" s="846" t="str">
        <f>Maaned!BN15</f>
        <v>to</v>
      </c>
      <c r="AM13" s="204" t="str">
        <f>Maj!C19</f>
        <v>Skema 2</v>
      </c>
      <c r="AN13" s="847" t="str">
        <f>Maaned!BP15</f>
        <v/>
      </c>
      <c r="AO13" s="848">
        <f>Maaned!BT15</f>
        <v>11</v>
      </c>
      <c r="AP13" s="846" t="str">
        <f>Maaned!BU15</f>
        <v>sø</v>
      </c>
      <c r="AQ13" s="204" t="str">
        <f>Juni!C19</f>
        <v>Weekend</v>
      </c>
      <c r="AR13" s="847" t="str">
        <f>Maaned!BW15</f>
        <v/>
      </c>
      <c r="AS13" s="848">
        <f>Maaned!CA15</f>
        <v>11</v>
      </c>
      <c r="AT13" s="846" t="str">
        <f>Maaned!CB15</f>
        <v>ti</v>
      </c>
      <c r="AU13" s="204" t="str">
        <f>Juli!C19</f>
        <v>Feriedag</v>
      </c>
      <c r="AV13" s="207" t="str">
        <f>Maaned!CD15</f>
        <v/>
      </c>
    </row>
    <row r="14" spans="1:48" ht="24" customHeight="1">
      <c r="A14" s="76">
        <f>Maaned!B16</f>
        <v>12</v>
      </c>
      <c r="B14" s="77" t="str">
        <f>Maaned!C16</f>
        <v>fr</v>
      </c>
      <c r="C14" s="204" t="str">
        <f>August!C21</f>
        <v>Skema 1</v>
      </c>
      <c r="D14" s="209" t="str">
        <f>Maaned!E16</f>
        <v/>
      </c>
      <c r="E14" s="76">
        <f>Maaned!I16</f>
        <v>12</v>
      </c>
      <c r="F14" s="77" t="str">
        <f>Maaned!J16</f>
        <v>ma</v>
      </c>
      <c r="G14" s="204" t="str">
        <f>September!C20</f>
        <v>Skema 1</v>
      </c>
      <c r="H14" s="205">
        <f>Maaned!L16</f>
        <v>37.285714285714285</v>
      </c>
      <c r="I14" s="76">
        <f>Maaned!P16</f>
        <v>12</v>
      </c>
      <c r="J14" s="77" t="str">
        <f>Maaned!Q16</f>
        <v>on</v>
      </c>
      <c r="K14" s="204" t="str">
        <f>Oktober!C20</f>
        <v>Fagdag</v>
      </c>
      <c r="L14" s="205" t="str">
        <f>Maaned!S16</f>
        <v/>
      </c>
      <c r="M14" s="76">
        <f>Maaned!W16</f>
        <v>12</v>
      </c>
      <c r="N14" s="77" t="str">
        <f>Maaned!X16</f>
        <v>lø</v>
      </c>
      <c r="O14" s="204" t="str">
        <f>November!C20</f>
        <v>Weekend</v>
      </c>
      <c r="P14" s="205" t="str">
        <f>Maaned!Z16</f>
        <v/>
      </c>
      <c r="Q14" s="76">
        <f>Maaned!AD16</f>
        <v>12</v>
      </c>
      <c r="R14" s="77" t="str">
        <f>Maaned!AE16</f>
        <v>ma</v>
      </c>
      <c r="S14" s="204" t="str">
        <f>December!C20</f>
        <v>Skema 1</v>
      </c>
      <c r="T14" s="205">
        <f>Maaned!AG16</f>
        <v>50.285714285714285</v>
      </c>
      <c r="U14" s="76">
        <f>Maaned!AK16</f>
        <v>12</v>
      </c>
      <c r="V14" s="77" t="str">
        <f>Maaned!AL16</f>
        <v>to</v>
      </c>
      <c r="W14" s="204" t="str">
        <f>Januar!C20</f>
        <v>Skema 2</v>
      </c>
      <c r="X14" s="205" t="str">
        <f>Maaned!AN16</f>
        <v/>
      </c>
      <c r="Y14" s="76">
        <f>Maaned!AR16</f>
        <v>12</v>
      </c>
      <c r="Z14" s="77" t="str">
        <f>Maaned!AS16</f>
        <v>sø</v>
      </c>
      <c r="AA14" s="204" t="str">
        <f>Februar!C20</f>
        <v>Weekend</v>
      </c>
      <c r="AB14" s="205" t="str">
        <f>Maaned!AU16</f>
        <v/>
      </c>
      <c r="AC14" s="76">
        <f>Maaned!AY16</f>
        <v>12</v>
      </c>
      <c r="AD14" s="77" t="str">
        <f>Maaned!AZ16</f>
        <v>sø</v>
      </c>
      <c r="AE14" s="204" t="str">
        <f>Marts!C20</f>
        <v>Weekend</v>
      </c>
      <c r="AF14" s="205" t="str">
        <f>Maaned!BB16</f>
        <v/>
      </c>
      <c r="AG14" s="76">
        <f>Maaned!BF16</f>
        <v>12</v>
      </c>
      <c r="AH14" s="77" t="str">
        <f>Maaned!BG16</f>
        <v>on</v>
      </c>
      <c r="AI14" s="204" t="str">
        <f>April!C20</f>
        <v>Skema 2</v>
      </c>
      <c r="AJ14" s="205" t="str">
        <f>Maaned!BI16</f>
        <v/>
      </c>
      <c r="AK14" s="76">
        <f>Maaned!BM16</f>
        <v>12</v>
      </c>
      <c r="AL14" s="846" t="str">
        <f>Maaned!BN16</f>
        <v>fr</v>
      </c>
      <c r="AM14" s="204" t="str">
        <f>Maj!C20</f>
        <v>Skema 2</v>
      </c>
      <c r="AN14" s="847" t="str">
        <f>Maaned!BP16</f>
        <v/>
      </c>
      <c r="AO14" s="848">
        <f>Maaned!BT16</f>
        <v>12</v>
      </c>
      <c r="AP14" s="846" t="str">
        <f>Maaned!BU16</f>
        <v>ma</v>
      </c>
      <c r="AQ14" s="204" t="str">
        <f>Juni!C20</f>
        <v>Skema 2</v>
      </c>
      <c r="AR14" s="847">
        <f>Maaned!BW16</f>
        <v>24.142857142857142</v>
      </c>
      <c r="AS14" s="848">
        <f>Maaned!CA16</f>
        <v>12</v>
      </c>
      <c r="AT14" s="846" t="str">
        <f>Maaned!CB16</f>
        <v>on</v>
      </c>
      <c r="AU14" s="204" t="str">
        <f>Juli!C20</f>
        <v>Feriedag</v>
      </c>
      <c r="AV14" s="207" t="str">
        <f>Maaned!CD16</f>
        <v/>
      </c>
    </row>
    <row r="15" spans="1:48" ht="24" customHeight="1">
      <c r="A15" s="76">
        <f>Maaned!B17</f>
        <v>13</v>
      </c>
      <c r="B15" s="77" t="str">
        <f>Maaned!C17</f>
        <v>lø</v>
      </c>
      <c r="C15" s="204" t="str">
        <f>August!C22</f>
        <v>Weekend</v>
      </c>
      <c r="D15" s="209" t="str">
        <f>Maaned!E17</f>
        <v/>
      </c>
      <c r="E15" s="76">
        <f>Maaned!I17</f>
        <v>13</v>
      </c>
      <c r="F15" s="77" t="str">
        <f>Maaned!J17</f>
        <v>ti</v>
      </c>
      <c r="G15" s="204" t="str">
        <f>September!C21</f>
        <v>Skema 1</v>
      </c>
      <c r="H15" s="205" t="str">
        <f>Maaned!L17</f>
        <v/>
      </c>
      <c r="I15" s="76">
        <f>Maaned!P17</f>
        <v>13</v>
      </c>
      <c r="J15" s="77" t="str">
        <f>Maaned!Q17</f>
        <v>to</v>
      </c>
      <c r="K15" s="204" t="str">
        <f>Oktober!C21</f>
        <v>Fagdag</v>
      </c>
      <c r="L15" s="205" t="str">
        <f>Maaned!S17</f>
        <v/>
      </c>
      <c r="M15" s="76">
        <f>Maaned!W17</f>
        <v>13</v>
      </c>
      <c r="N15" s="77" t="str">
        <f>Maaned!X17</f>
        <v>sø</v>
      </c>
      <c r="O15" s="204" t="str">
        <f>November!C21</f>
        <v>Weekend</v>
      </c>
      <c r="P15" s="205" t="str">
        <f>Maaned!Z17</f>
        <v/>
      </c>
      <c r="Q15" s="76">
        <f>Maaned!AD17</f>
        <v>13</v>
      </c>
      <c r="R15" s="77" t="str">
        <f>Maaned!AE17</f>
        <v>ti</v>
      </c>
      <c r="S15" s="204" t="str">
        <f>December!C21</f>
        <v>Skema 1</v>
      </c>
      <c r="T15" s="205" t="str">
        <f>Maaned!AG17</f>
        <v/>
      </c>
      <c r="U15" s="76">
        <f>Maaned!AK17</f>
        <v>13</v>
      </c>
      <c r="V15" s="77" t="str">
        <f>Maaned!AL17</f>
        <v>fr</v>
      </c>
      <c r="W15" s="204" t="str">
        <f>Januar!C21</f>
        <v>Skema 2</v>
      </c>
      <c r="X15" s="205" t="str">
        <f>Maaned!AN17</f>
        <v/>
      </c>
      <c r="Y15" s="76">
        <f>Maaned!AR17</f>
        <v>13</v>
      </c>
      <c r="Z15" s="77" t="str">
        <f>Maaned!AS17</f>
        <v>ma</v>
      </c>
      <c r="AA15" s="204" t="str">
        <f>Februar!C21</f>
        <v>Nul-dag</v>
      </c>
      <c r="AB15" s="205">
        <f>Maaned!AU17</f>
        <v>7.1428571428571432</v>
      </c>
      <c r="AC15" s="76">
        <f>Maaned!AY17</f>
        <v>13</v>
      </c>
      <c r="AD15" s="77" t="str">
        <f>Maaned!AZ17</f>
        <v>ma</v>
      </c>
      <c r="AE15" s="204" t="str">
        <f>Marts!C21</f>
        <v>Skema 2</v>
      </c>
      <c r="AF15" s="205">
        <f>Maaned!BB17</f>
        <v>11.142857142857142</v>
      </c>
      <c r="AG15" s="76">
        <f>Maaned!BF17</f>
        <v>13</v>
      </c>
      <c r="AH15" s="77" t="str">
        <f>Maaned!BG17</f>
        <v>to</v>
      </c>
      <c r="AI15" s="204" t="str">
        <f>April!C21</f>
        <v>Skema 2</v>
      </c>
      <c r="AJ15" s="205" t="str">
        <f>Maaned!BI17</f>
        <v/>
      </c>
      <c r="AK15" s="76">
        <f>Maaned!BM17</f>
        <v>13</v>
      </c>
      <c r="AL15" s="846" t="str">
        <f>Maaned!BN17</f>
        <v>lø</v>
      </c>
      <c r="AM15" s="204" t="str">
        <f>Maj!C21</f>
        <v>Weekend</v>
      </c>
      <c r="AN15" s="847" t="str">
        <f>Maaned!BP17</f>
        <v/>
      </c>
      <c r="AO15" s="848">
        <f>Maaned!BT17</f>
        <v>13</v>
      </c>
      <c r="AP15" s="846" t="str">
        <f>Maaned!BU17</f>
        <v>ti</v>
      </c>
      <c r="AQ15" s="204" t="str">
        <f>Juni!C21</f>
        <v>Skema 2</v>
      </c>
      <c r="AR15" s="847" t="str">
        <f>Maaned!BW17</f>
        <v/>
      </c>
      <c r="AS15" s="848">
        <f>Maaned!CA17</f>
        <v>13</v>
      </c>
      <c r="AT15" s="846" t="str">
        <f>Maaned!CB17</f>
        <v>to</v>
      </c>
      <c r="AU15" s="204" t="str">
        <f>Juli!C21</f>
        <v>Feriedag</v>
      </c>
      <c r="AV15" s="207" t="str">
        <f>Maaned!CD17</f>
        <v/>
      </c>
    </row>
    <row r="16" spans="1:48" ht="24" customHeight="1">
      <c r="A16" s="76">
        <f>Maaned!B18</f>
        <v>14</v>
      </c>
      <c r="B16" s="77" t="str">
        <f>Maaned!C18</f>
        <v>sø</v>
      </c>
      <c r="C16" s="204" t="str">
        <f>August!C23</f>
        <v>Weekend</v>
      </c>
      <c r="D16" s="209" t="str">
        <f>Maaned!E18</f>
        <v/>
      </c>
      <c r="E16" s="76">
        <f>Maaned!I18</f>
        <v>14</v>
      </c>
      <c r="F16" s="77" t="str">
        <f>Maaned!J18</f>
        <v>on</v>
      </c>
      <c r="G16" s="204" t="str">
        <f>September!C22</f>
        <v>Skema 1</v>
      </c>
      <c r="H16" s="205" t="str">
        <f>Maaned!L18</f>
        <v/>
      </c>
      <c r="I16" s="76">
        <f>Maaned!P18</f>
        <v>14</v>
      </c>
      <c r="J16" s="77" t="str">
        <f>Maaned!Q18</f>
        <v>fr</v>
      </c>
      <c r="K16" s="204" t="str">
        <f>Oktober!C22</f>
        <v>Fagdag</v>
      </c>
      <c r="L16" s="205" t="str">
        <f>Maaned!S18</f>
        <v/>
      </c>
      <c r="M16" s="76">
        <f>Maaned!W18</f>
        <v>14</v>
      </c>
      <c r="N16" s="77" t="str">
        <f>Maaned!X18</f>
        <v>ma</v>
      </c>
      <c r="O16" s="204" t="str">
        <f>November!C22</f>
        <v>Skema 1</v>
      </c>
      <c r="P16" s="205">
        <f>Maaned!Z18</f>
        <v>46.285714285714285</v>
      </c>
      <c r="Q16" s="76">
        <f>Maaned!AD18</f>
        <v>14</v>
      </c>
      <c r="R16" s="77" t="str">
        <f>Maaned!AE18</f>
        <v>on</v>
      </c>
      <c r="S16" s="204" t="str">
        <f>December!C22</f>
        <v>Skema 1</v>
      </c>
      <c r="T16" s="205" t="str">
        <f>Maaned!AG18</f>
        <v/>
      </c>
      <c r="U16" s="76">
        <f>Maaned!AK18</f>
        <v>14</v>
      </c>
      <c r="V16" s="77" t="str">
        <f>Maaned!AL18</f>
        <v>lø</v>
      </c>
      <c r="W16" s="204" t="str">
        <f>Januar!C22</f>
        <v>Weekend</v>
      </c>
      <c r="X16" s="205" t="str">
        <f>Maaned!AN18</f>
        <v/>
      </c>
      <c r="Y16" s="76">
        <f>Maaned!AR18</f>
        <v>14</v>
      </c>
      <c r="Z16" s="77" t="str">
        <f>Maaned!AS18</f>
        <v>ti</v>
      </c>
      <c r="AA16" s="204" t="str">
        <f>Februar!C22</f>
        <v>Nul-dag</v>
      </c>
      <c r="AB16" s="205" t="str">
        <f>Maaned!AU18</f>
        <v/>
      </c>
      <c r="AC16" s="76">
        <f>Maaned!AY18</f>
        <v>14</v>
      </c>
      <c r="AD16" s="77" t="str">
        <f>Maaned!AZ18</f>
        <v>ti</v>
      </c>
      <c r="AE16" s="204" t="str">
        <f>Marts!C22</f>
        <v>Skema 2</v>
      </c>
      <c r="AF16" s="205" t="str">
        <f>Maaned!BB18</f>
        <v/>
      </c>
      <c r="AG16" s="76">
        <f>Maaned!BF18</f>
        <v>14</v>
      </c>
      <c r="AH16" s="77" t="str">
        <f>Maaned!BG18</f>
        <v>fr</v>
      </c>
      <c r="AI16" s="204" t="str">
        <f>April!C22</f>
        <v>Skema 2</v>
      </c>
      <c r="AJ16" s="205" t="str">
        <f>Maaned!BI18</f>
        <v/>
      </c>
      <c r="AK16" s="76">
        <f>Maaned!BM18</f>
        <v>14</v>
      </c>
      <c r="AL16" s="846" t="str">
        <f>Maaned!BN18</f>
        <v>sø</v>
      </c>
      <c r="AM16" s="204" t="str">
        <f>Maj!C22</f>
        <v>Weekend</v>
      </c>
      <c r="AN16" s="847" t="str">
        <f>Maaned!BP18</f>
        <v/>
      </c>
      <c r="AO16" s="848">
        <f>Maaned!BT18</f>
        <v>14</v>
      </c>
      <c r="AP16" s="846" t="str">
        <f>Maaned!BU18</f>
        <v>on</v>
      </c>
      <c r="AQ16" s="204" t="str">
        <f>Juni!C22</f>
        <v>Skema 2</v>
      </c>
      <c r="AR16" s="847" t="str">
        <f>Maaned!BW18</f>
        <v/>
      </c>
      <c r="AS16" s="848">
        <f>Maaned!CA18</f>
        <v>14</v>
      </c>
      <c r="AT16" s="846" t="str">
        <f>Maaned!CB18</f>
        <v>fr</v>
      </c>
      <c r="AU16" s="204" t="str">
        <f>Juli!C22</f>
        <v>Feriedag</v>
      </c>
      <c r="AV16" s="207" t="str">
        <f>Maaned!CD18</f>
        <v/>
      </c>
    </row>
    <row r="17" spans="1:48" ht="24" customHeight="1">
      <c r="A17" s="76">
        <f>Maaned!B19</f>
        <v>15</v>
      </c>
      <c r="B17" s="77" t="str">
        <f>Maaned!C19</f>
        <v>ma</v>
      </c>
      <c r="C17" s="204" t="str">
        <f>August!C24</f>
        <v>Skema 1</v>
      </c>
      <c r="D17" s="77">
        <f>Maaned!E19</f>
        <v>33.285714285714285</v>
      </c>
      <c r="E17" s="76">
        <f>Maaned!I19</f>
        <v>15</v>
      </c>
      <c r="F17" s="77" t="str">
        <f>Maaned!J19</f>
        <v>to</v>
      </c>
      <c r="G17" s="204" t="str">
        <f>September!C23</f>
        <v>Skema 1</v>
      </c>
      <c r="H17" s="205" t="str">
        <f>Maaned!L19</f>
        <v/>
      </c>
      <c r="I17" s="76">
        <f>Maaned!P19</f>
        <v>15</v>
      </c>
      <c r="J17" s="77" t="str">
        <f>Maaned!Q19</f>
        <v>lø</v>
      </c>
      <c r="K17" s="204" t="str">
        <f>Oktober!C23</f>
        <v>Weekend</v>
      </c>
      <c r="L17" s="205" t="str">
        <f>Maaned!S19</f>
        <v/>
      </c>
      <c r="M17" s="76">
        <f>Maaned!W19</f>
        <v>15</v>
      </c>
      <c r="N17" s="77" t="str">
        <f>Maaned!X19</f>
        <v>ti</v>
      </c>
      <c r="O17" s="204" t="str">
        <f>November!C23</f>
        <v>Skema 1</v>
      </c>
      <c r="P17" s="205" t="str">
        <f>Maaned!Z19</f>
        <v/>
      </c>
      <c r="Q17" s="76">
        <f>Maaned!AD19</f>
        <v>15</v>
      </c>
      <c r="R17" s="77" t="str">
        <f>Maaned!AE19</f>
        <v>to</v>
      </c>
      <c r="S17" s="204" t="str">
        <f>December!C23</f>
        <v>Skema 1</v>
      </c>
      <c r="T17" s="205" t="str">
        <f>Maaned!AG19</f>
        <v/>
      </c>
      <c r="U17" s="76">
        <f>Maaned!AK19</f>
        <v>15</v>
      </c>
      <c r="V17" s="77" t="str">
        <f>Maaned!AL19</f>
        <v>sø</v>
      </c>
      <c r="W17" s="204" t="str">
        <f>Januar!C23</f>
        <v>Weekend</v>
      </c>
      <c r="X17" s="205" t="str">
        <f>Maaned!AN19</f>
        <v/>
      </c>
      <c r="Y17" s="76">
        <f>Maaned!AR19</f>
        <v>15</v>
      </c>
      <c r="Z17" s="77" t="str">
        <f>Maaned!AS19</f>
        <v>on</v>
      </c>
      <c r="AA17" s="204" t="str">
        <f>Februar!C23</f>
        <v>Nul-dag</v>
      </c>
      <c r="AB17" s="205" t="str">
        <f>Maaned!AU19</f>
        <v/>
      </c>
      <c r="AC17" s="76">
        <f>Maaned!AY19</f>
        <v>15</v>
      </c>
      <c r="AD17" s="77" t="str">
        <f>Maaned!AZ19</f>
        <v>on</v>
      </c>
      <c r="AE17" s="204" t="str">
        <f>Marts!C23</f>
        <v>Skema 2</v>
      </c>
      <c r="AF17" s="205" t="str">
        <f>Maaned!BB19</f>
        <v/>
      </c>
      <c r="AG17" s="76">
        <f>Maaned!BF19</f>
        <v>15</v>
      </c>
      <c r="AH17" s="77" t="str">
        <f>Maaned!BG19</f>
        <v>lø</v>
      </c>
      <c r="AI17" s="204" t="str">
        <f>April!C23</f>
        <v>Weekend</v>
      </c>
      <c r="AJ17" s="205" t="str">
        <f>Maaned!BI19</f>
        <v/>
      </c>
      <c r="AK17" s="76">
        <f>Maaned!BM19</f>
        <v>15</v>
      </c>
      <c r="AL17" s="846" t="str">
        <f>Maaned!BN19</f>
        <v>ma</v>
      </c>
      <c r="AM17" s="204" t="str">
        <f>Maj!C23</f>
        <v>Skema 2</v>
      </c>
      <c r="AN17" s="847">
        <f>Maaned!BP19</f>
        <v>20.142857142857142</v>
      </c>
      <c r="AO17" s="848">
        <f>Maaned!BT19</f>
        <v>15</v>
      </c>
      <c r="AP17" s="846" t="str">
        <f>Maaned!BU19</f>
        <v>to</v>
      </c>
      <c r="AQ17" s="204" t="str">
        <f>Juni!C23</f>
        <v>Skema 2</v>
      </c>
      <c r="AR17" s="847" t="str">
        <f>Maaned!BW19</f>
        <v/>
      </c>
      <c r="AS17" s="848">
        <f>Maaned!CA19</f>
        <v>15</v>
      </c>
      <c r="AT17" s="846" t="str">
        <f>Maaned!CB19</f>
        <v>lø</v>
      </c>
      <c r="AU17" s="204" t="str">
        <f>Juli!C23</f>
        <v>Weekend</v>
      </c>
      <c r="AV17" s="207" t="str">
        <f>Maaned!CD19</f>
        <v/>
      </c>
    </row>
    <row r="18" spans="1:48" ht="24" customHeight="1">
      <c r="A18" s="76">
        <f>Maaned!B20</f>
        <v>16</v>
      </c>
      <c r="B18" s="77" t="str">
        <f>Maaned!C20</f>
        <v>ti</v>
      </c>
      <c r="C18" s="204" t="str">
        <f>August!C25</f>
        <v>Skema 1</v>
      </c>
      <c r="D18" s="77" t="str">
        <f>Maaned!E20</f>
        <v/>
      </c>
      <c r="E18" s="76">
        <f>Maaned!I20</f>
        <v>16</v>
      </c>
      <c r="F18" s="77" t="str">
        <f>Maaned!J20</f>
        <v>fr</v>
      </c>
      <c r="G18" s="204" t="str">
        <f>September!C24</f>
        <v>Skema 1</v>
      </c>
      <c r="H18" s="205" t="str">
        <f>Maaned!L20</f>
        <v/>
      </c>
      <c r="I18" s="76">
        <f>Maaned!P20</f>
        <v>16</v>
      </c>
      <c r="J18" s="77" t="str">
        <f>Maaned!Q20</f>
        <v>sø</v>
      </c>
      <c r="K18" s="204" t="str">
        <f>Oktober!C24</f>
        <v>Weekend</v>
      </c>
      <c r="L18" s="205" t="str">
        <f>Maaned!S20</f>
        <v/>
      </c>
      <c r="M18" s="76">
        <f>Maaned!W20</f>
        <v>16</v>
      </c>
      <c r="N18" s="77" t="str">
        <f>Maaned!X20</f>
        <v>on</v>
      </c>
      <c r="O18" s="204" t="str">
        <f>November!C24</f>
        <v>Skema 1</v>
      </c>
      <c r="P18" s="205" t="str">
        <f>Maaned!Z20</f>
        <v/>
      </c>
      <c r="Q18" s="76">
        <f>Maaned!AD20</f>
        <v>16</v>
      </c>
      <c r="R18" s="77" t="str">
        <f>Maaned!AE20</f>
        <v>fr</v>
      </c>
      <c r="S18" s="204" t="str">
        <f>December!C24</f>
        <v>Skema 1</v>
      </c>
      <c r="T18" s="205" t="str">
        <f>Maaned!AG20</f>
        <v/>
      </c>
      <c r="U18" s="76">
        <f>Maaned!AK20</f>
        <v>16</v>
      </c>
      <c r="V18" s="77" t="str">
        <f>Maaned!AL20</f>
        <v>ma</v>
      </c>
      <c r="W18" s="204" t="str">
        <f>Januar!C24</f>
        <v>Skema 2</v>
      </c>
      <c r="X18" s="205">
        <f>Maaned!AN20</f>
        <v>3.1428571428571428</v>
      </c>
      <c r="Y18" s="76">
        <f>Maaned!AR20</f>
        <v>16</v>
      </c>
      <c r="Z18" s="77" t="str">
        <f>Maaned!AS20</f>
        <v>to</v>
      </c>
      <c r="AA18" s="204" t="str">
        <f>Februar!C24</f>
        <v>Nul-dag</v>
      </c>
      <c r="AB18" s="205" t="str">
        <f>Maaned!AU20</f>
        <v/>
      </c>
      <c r="AC18" s="76">
        <f>Maaned!AY20</f>
        <v>16</v>
      </c>
      <c r="AD18" s="77" t="str">
        <f>Maaned!AZ20</f>
        <v>to</v>
      </c>
      <c r="AE18" s="204" t="str">
        <f>Marts!C24</f>
        <v>Skema 2</v>
      </c>
      <c r="AF18" s="205" t="str">
        <f>Maaned!BB20</f>
        <v/>
      </c>
      <c r="AG18" s="76">
        <f>Maaned!BF20</f>
        <v>16</v>
      </c>
      <c r="AH18" s="77" t="str">
        <f>Maaned!BG20</f>
        <v>sø</v>
      </c>
      <c r="AI18" s="204" t="str">
        <f>April!C24</f>
        <v>Weekend</v>
      </c>
      <c r="AJ18" s="205" t="str">
        <f>Maaned!BI20</f>
        <v/>
      </c>
      <c r="AK18" s="76">
        <f>Maaned!BM20</f>
        <v>16</v>
      </c>
      <c r="AL18" s="846" t="str">
        <f>Maaned!BN20</f>
        <v>ti</v>
      </c>
      <c r="AM18" s="204" t="str">
        <f>Maj!C24</f>
        <v>Skema 2</v>
      </c>
      <c r="AN18" s="847" t="str">
        <f>Maaned!BP20</f>
        <v/>
      </c>
      <c r="AO18" s="848">
        <f>Maaned!BT20</f>
        <v>16</v>
      </c>
      <c r="AP18" s="846" t="str">
        <f>Maaned!BU20</f>
        <v>fr</v>
      </c>
      <c r="AQ18" s="204" t="str">
        <f>Juni!C24</f>
        <v>Skema 2</v>
      </c>
      <c r="AR18" s="847" t="str">
        <f>Maaned!BW20</f>
        <v/>
      </c>
      <c r="AS18" s="848">
        <f>Maaned!CA20</f>
        <v>16</v>
      </c>
      <c r="AT18" s="846" t="str">
        <f>Maaned!CB20</f>
        <v>sø</v>
      </c>
      <c r="AU18" s="204" t="str">
        <f>Juli!C24</f>
        <v>Weekend</v>
      </c>
      <c r="AV18" s="207" t="str">
        <f>Maaned!CD20</f>
        <v/>
      </c>
    </row>
    <row r="19" spans="1:48" ht="24" customHeight="1">
      <c r="A19" s="76">
        <f>Maaned!B21</f>
        <v>17</v>
      </c>
      <c r="B19" s="77" t="str">
        <f>Maaned!C21</f>
        <v>on</v>
      </c>
      <c r="C19" s="204" t="str">
        <f>August!C26</f>
        <v>Skema 1</v>
      </c>
      <c r="D19" s="77" t="str">
        <f>Maaned!E21</f>
        <v/>
      </c>
      <c r="E19" s="76">
        <f>Maaned!I21</f>
        <v>17</v>
      </c>
      <c r="F19" s="77" t="str">
        <f>Maaned!J21</f>
        <v>lø</v>
      </c>
      <c r="G19" s="204" t="str">
        <f>September!C25</f>
        <v>Weekend</v>
      </c>
      <c r="H19" s="205" t="str">
        <f>Maaned!L21</f>
        <v/>
      </c>
      <c r="I19" s="76">
        <f>Maaned!P21</f>
        <v>17</v>
      </c>
      <c r="J19" s="77" t="str">
        <f>Maaned!Q21</f>
        <v>ma</v>
      </c>
      <c r="K19" s="204" t="str">
        <f>Oktober!C25</f>
        <v>Feriedag</v>
      </c>
      <c r="L19" s="205">
        <f>Maaned!S21</f>
        <v>42.285714285714285</v>
      </c>
      <c r="M19" s="76">
        <f>Maaned!W21</f>
        <v>17</v>
      </c>
      <c r="N19" s="77" t="str">
        <f>Maaned!X21</f>
        <v>to</v>
      </c>
      <c r="O19" s="204" t="str">
        <f>November!C25</f>
        <v>Skema 1</v>
      </c>
      <c r="P19" s="205" t="str">
        <f>Maaned!Z21</f>
        <v/>
      </c>
      <c r="Q19" s="76">
        <f>Maaned!AD21</f>
        <v>17</v>
      </c>
      <c r="R19" s="77" t="str">
        <f>Maaned!AE21</f>
        <v>lø</v>
      </c>
      <c r="S19" s="204" t="str">
        <f>December!C25</f>
        <v>Weekend</v>
      </c>
      <c r="T19" s="205" t="str">
        <f>Maaned!AG21</f>
        <v/>
      </c>
      <c r="U19" s="76">
        <f>Maaned!AK21</f>
        <v>17</v>
      </c>
      <c r="V19" s="77" t="str">
        <f>Maaned!AL21</f>
        <v>ti</v>
      </c>
      <c r="W19" s="204" t="str">
        <f>Januar!C25</f>
        <v>Skema 2</v>
      </c>
      <c r="X19" s="205" t="str">
        <f>Maaned!AN21</f>
        <v/>
      </c>
      <c r="Y19" s="76">
        <f>Maaned!AR21</f>
        <v>17</v>
      </c>
      <c r="Z19" s="77" t="str">
        <f>Maaned!AS21</f>
        <v>fr</v>
      </c>
      <c r="AA19" s="204" t="str">
        <f>Februar!C25</f>
        <v>Nul-dag</v>
      </c>
      <c r="AB19" s="205" t="str">
        <f>Maaned!AU21</f>
        <v/>
      </c>
      <c r="AC19" s="76">
        <f>Maaned!AY21</f>
        <v>17</v>
      </c>
      <c r="AD19" s="77" t="str">
        <f>Maaned!AZ21</f>
        <v>fr</v>
      </c>
      <c r="AE19" s="204" t="str">
        <f>Marts!C25</f>
        <v>Skema 2</v>
      </c>
      <c r="AF19" s="205" t="str">
        <f>Maaned!BB21</f>
        <v/>
      </c>
      <c r="AG19" s="76">
        <f>Maaned!BF21</f>
        <v>17</v>
      </c>
      <c r="AH19" s="77" t="str">
        <f>Maaned!BG21</f>
        <v>ma</v>
      </c>
      <c r="AI19" s="204" t="str">
        <f>April!C25</f>
        <v>Skema 2</v>
      </c>
      <c r="AJ19" s="205">
        <f>Maaned!BI21</f>
        <v>16.142857142857142</v>
      </c>
      <c r="AK19" s="76">
        <f>Maaned!BM21</f>
        <v>17</v>
      </c>
      <c r="AL19" s="846" t="str">
        <f>Maaned!BN21</f>
        <v>on</v>
      </c>
      <c r="AM19" s="204" t="str">
        <f>Maj!C25</f>
        <v>Skema 2</v>
      </c>
      <c r="AN19" s="847" t="str">
        <f>Maaned!BP21</f>
        <v/>
      </c>
      <c r="AO19" s="848">
        <f>Maaned!BT21</f>
        <v>17</v>
      </c>
      <c r="AP19" s="846" t="str">
        <f>Maaned!BU21</f>
        <v>lø</v>
      </c>
      <c r="AQ19" s="204" t="str">
        <f>Juni!C25</f>
        <v>Weekend</v>
      </c>
      <c r="AR19" s="847" t="str">
        <f>Maaned!BW21</f>
        <v/>
      </c>
      <c r="AS19" s="848">
        <f>Maaned!CA21</f>
        <v>17</v>
      </c>
      <c r="AT19" s="846" t="str">
        <f>Maaned!CB21</f>
        <v>ma</v>
      </c>
      <c r="AU19" s="204" t="str">
        <f>Juli!C25</f>
        <v>Feriedag</v>
      </c>
      <c r="AV19" s="207">
        <f>Maaned!CD21</f>
        <v>29.142857142857142</v>
      </c>
    </row>
    <row r="20" spans="1:48" ht="24" customHeight="1">
      <c r="A20" s="76">
        <f>Maaned!B22</f>
        <v>18</v>
      </c>
      <c r="B20" s="77" t="str">
        <f>Maaned!C22</f>
        <v>to</v>
      </c>
      <c r="C20" s="204" t="str">
        <f>August!C27</f>
        <v>Skema 1</v>
      </c>
      <c r="D20" s="77" t="str">
        <f>Maaned!E22</f>
        <v/>
      </c>
      <c r="E20" s="76">
        <f>Maaned!I22</f>
        <v>18</v>
      </c>
      <c r="F20" s="77" t="str">
        <f>Maaned!J22</f>
        <v>sø</v>
      </c>
      <c r="G20" s="204" t="str">
        <f>September!C26</f>
        <v>Weekend</v>
      </c>
      <c r="H20" s="205" t="str">
        <f>Maaned!L22</f>
        <v/>
      </c>
      <c r="I20" s="76">
        <f>Maaned!P22</f>
        <v>18</v>
      </c>
      <c r="J20" s="77" t="str">
        <f>Maaned!Q22</f>
        <v>ti</v>
      </c>
      <c r="K20" s="204" t="str">
        <f>Oktober!C26</f>
        <v>Feriedag</v>
      </c>
      <c r="L20" s="205" t="str">
        <f>Maaned!S22</f>
        <v/>
      </c>
      <c r="M20" s="76">
        <f>Maaned!W22</f>
        <v>18</v>
      </c>
      <c r="N20" s="77" t="str">
        <f>Maaned!X22</f>
        <v>fr</v>
      </c>
      <c r="O20" s="204" t="str">
        <f>November!C26</f>
        <v>Skema 1</v>
      </c>
      <c r="P20" s="205" t="str">
        <f>Maaned!Z22</f>
        <v/>
      </c>
      <c r="Q20" s="76">
        <f>Maaned!AD22</f>
        <v>18</v>
      </c>
      <c r="R20" s="77" t="str">
        <f>Maaned!AE22</f>
        <v>sø</v>
      </c>
      <c r="S20" s="204" t="str">
        <f>December!C26</f>
        <v>Weekend</v>
      </c>
      <c r="T20" s="205" t="str">
        <f>Maaned!AG22</f>
        <v/>
      </c>
      <c r="U20" s="76">
        <f>Maaned!AK22</f>
        <v>18</v>
      </c>
      <c r="V20" s="77" t="str">
        <f>Maaned!AL22</f>
        <v>on</v>
      </c>
      <c r="W20" s="204" t="str">
        <f>Januar!C26</f>
        <v>Skema 2</v>
      </c>
      <c r="X20" s="205" t="str">
        <f>Maaned!AN22</f>
        <v/>
      </c>
      <c r="Y20" s="76">
        <f>Maaned!AR22</f>
        <v>18</v>
      </c>
      <c r="Z20" s="77" t="str">
        <f>Maaned!AS22</f>
        <v>lø</v>
      </c>
      <c r="AA20" s="204" t="str">
        <f>Februar!C26</f>
        <v>Weekend</v>
      </c>
      <c r="AB20" s="205" t="str">
        <f>Maaned!AU22</f>
        <v/>
      </c>
      <c r="AC20" s="76">
        <f>Maaned!AY22</f>
        <v>18</v>
      </c>
      <c r="AD20" s="77" t="str">
        <f>Maaned!AZ22</f>
        <v>lø</v>
      </c>
      <c r="AE20" s="204" t="str">
        <f>Marts!C26</f>
        <v>Weekend</v>
      </c>
      <c r="AF20" s="205" t="str">
        <f>Maaned!BB22</f>
        <v/>
      </c>
      <c r="AG20" s="76">
        <f>Maaned!BF22</f>
        <v>18</v>
      </c>
      <c r="AH20" s="77" t="str">
        <f>Maaned!BG22</f>
        <v>ti</v>
      </c>
      <c r="AI20" s="204" t="str">
        <f>April!C26</f>
        <v>Emnedag</v>
      </c>
      <c r="AJ20" s="205" t="str">
        <f>Maaned!BI22</f>
        <v/>
      </c>
      <c r="AK20" s="76">
        <f>Maaned!BM22</f>
        <v>18</v>
      </c>
      <c r="AL20" s="846" t="str">
        <f>Maaned!BN22</f>
        <v>to</v>
      </c>
      <c r="AM20" s="204" t="str">
        <f>Maj!C26</f>
        <v>SH-dag</v>
      </c>
      <c r="AN20" s="847" t="str">
        <f>Maaned!BP22</f>
        <v/>
      </c>
      <c r="AO20" s="848">
        <f>Maaned!BT22</f>
        <v>18</v>
      </c>
      <c r="AP20" s="846" t="str">
        <f>Maaned!BU22</f>
        <v>sø</v>
      </c>
      <c r="AQ20" s="204" t="str">
        <f>Juni!C26</f>
        <v>Weekend</v>
      </c>
      <c r="AR20" s="847" t="str">
        <f>Maaned!BW22</f>
        <v/>
      </c>
      <c r="AS20" s="848">
        <f>Maaned!CA22</f>
        <v>18</v>
      </c>
      <c r="AT20" s="846" t="str">
        <f>Maaned!CB22</f>
        <v>ti</v>
      </c>
      <c r="AU20" s="204" t="str">
        <f>Juli!C26</f>
        <v>Feriedag</v>
      </c>
      <c r="AV20" s="207" t="str">
        <f>Maaned!CD22</f>
        <v/>
      </c>
    </row>
    <row r="21" spans="1:48" ht="24" customHeight="1">
      <c r="A21" s="76">
        <f>Maaned!B23</f>
        <v>19</v>
      </c>
      <c r="B21" s="77" t="str">
        <f>Maaned!C23</f>
        <v>fr</v>
      </c>
      <c r="C21" s="204" t="str">
        <f>August!C28</f>
        <v>Skema 1</v>
      </c>
      <c r="D21" s="209" t="str">
        <f>Maaned!E23</f>
        <v/>
      </c>
      <c r="E21" s="76">
        <f>Maaned!I23</f>
        <v>19</v>
      </c>
      <c r="F21" s="77" t="str">
        <f>Maaned!J23</f>
        <v>ma</v>
      </c>
      <c r="G21" s="204" t="str">
        <f>September!C27</f>
        <v>Skema 1</v>
      </c>
      <c r="H21" s="205">
        <f>Maaned!L23</f>
        <v>38.285714285714285</v>
      </c>
      <c r="I21" s="76">
        <f>Maaned!P23</f>
        <v>19</v>
      </c>
      <c r="J21" s="77" t="str">
        <f>Maaned!Q23</f>
        <v>on</v>
      </c>
      <c r="K21" s="204" t="str">
        <f>Oktober!C27</f>
        <v>Feriedag</v>
      </c>
      <c r="L21" s="205" t="str">
        <f>Maaned!S23</f>
        <v/>
      </c>
      <c r="M21" s="76">
        <f>Maaned!W23</f>
        <v>19</v>
      </c>
      <c r="N21" s="77" t="str">
        <f>Maaned!X23</f>
        <v>lø</v>
      </c>
      <c r="O21" s="204" t="str">
        <f>November!C27</f>
        <v>Weekend</v>
      </c>
      <c r="P21" s="205" t="str">
        <f>Maaned!Z23</f>
        <v/>
      </c>
      <c r="Q21" s="76">
        <f>Maaned!AD23</f>
        <v>19</v>
      </c>
      <c r="R21" s="77" t="str">
        <f>Maaned!AE23</f>
        <v>ma</v>
      </c>
      <c r="S21" s="204" t="str">
        <f>December!C27</f>
        <v>Skema 1</v>
      </c>
      <c r="T21" s="205">
        <f>Maaned!AG23</f>
        <v>51.285714285714285</v>
      </c>
      <c r="U21" s="76">
        <f>Maaned!AK23</f>
        <v>19</v>
      </c>
      <c r="V21" s="77" t="str">
        <f>Maaned!AL23</f>
        <v>to</v>
      </c>
      <c r="W21" s="204" t="str">
        <f>Januar!C27</f>
        <v>Skema 2</v>
      </c>
      <c r="X21" s="205" t="str">
        <f>Maaned!AN23</f>
        <v/>
      </c>
      <c r="Y21" s="76">
        <f>Maaned!AR23</f>
        <v>19</v>
      </c>
      <c r="Z21" s="77" t="str">
        <f>Maaned!AS23</f>
        <v>sø</v>
      </c>
      <c r="AA21" s="204" t="str">
        <f>Februar!C27</f>
        <v>Weekend</v>
      </c>
      <c r="AB21" s="205" t="str">
        <f>Maaned!AU23</f>
        <v/>
      </c>
      <c r="AC21" s="76">
        <f>Maaned!AY23</f>
        <v>19</v>
      </c>
      <c r="AD21" s="77" t="str">
        <f>Maaned!AZ23</f>
        <v>sø</v>
      </c>
      <c r="AE21" s="204" t="str">
        <f>Marts!C27</f>
        <v>Weekend</v>
      </c>
      <c r="AF21" s="205" t="str">
        <f>Maaned!BB23</f>
        <v/>
      </c>
      <c r="AG21" s="76">
        <f>Maaned!BF23</f>
        <v>19</v>
      </c>
      <c r="AH21" s="77" t="str">
        <f>Maaned!BG23</f>
        <v>on</v>
      </c>
      <c r="AI21" s="204" t="str">
        <f>April!C27</f>
        <v>Emnedag</v>
      </c>
      <c r="AJ21" s="205" t="str">
        <f>Maaned!BI23</f>
        <v/>
      </c>
      <c r="AK21" s="76">
        <f>Maaned!BM23</f>
        <v>19</v>
      </c>
      <c r="AL21" s="846" t="str">
        <f>Maaned!BN23</f>
        <v>fr</v>
      </c>
      <c r="AM21" s="204" t="str">
        <f>Maj!C27</f>
        <v>Nul-dag</v>
      </c>
      <c r="AN21" s="847" t="str">
        <f>Maaned!BP23</f>
        <v/>
      </c>
      <c r="AO21" s="848">
        <f>Maaned!BT23</f>
        <v>19</v>
      </c>
      <c r="AP21" s="846" t="str">
        <f>Maaned!BU23</f>
        <v>ma</v>
      </c>
      <c r="AQ21" s="204" t="str">
        <f>Juni!C27</f>
        <v>Skema 2</v>
      </c>
      <c r="AR21" s="847">
        <f>Maaned!BW23</f>
        <v>25.142857142857142</v>
      </c>
      <c r="AS21" s="848">
        <f>Maaned!CA23</f>
        <v>19</v>
      </c>
      <c r="AT21" s="846" t="str">
        <f>Maaned!CB23</f>
        <v>on</v>
      </c>
      <c r="AU21" s="204" t="str">
        <f>Juli!C27</f>
        <v>Feriedag</v>
      </c>
      <c r="AV21" s="207" t="str">
        <f>Maaned!CD23</f>
        <v/>
      </c>
    </row>
    <row r="22" spans="1:48" ht="24" customHeight="1">
      <c r="A22" s="76">
        <f>Maaned!B24</f>
        <v>20</v>
      </c>
      <c r="B22" s="77" t="str">
        <f>Maaned!C24</f>
        <v>lø</v>
      </c>
      <c r="C22" s="204" t="str">
        <f>August!C29</f>
        <v>Weekend</v>
      </c>
      <c r="D22" s="209" t="str">
        <f>Maaned!E24</f>
        <v/>
      </c>
      <c r="E22" s="76">
        <f>Maaned!I24</f>
        <v>20</v>
      </c>
      <c r="F22" s="77" t="str">
        <f>Maaned!J24</f>
        <v>ti</v>
      </c>
      <c r="G22" s="204" t="str">
        <f>September!C28</f>
        <v>Skema 1</v>
      </c>
      <c r="H22" s="205" t="str">
        <f>Maaned!L24</f>
        <v/>
      </c>
      <c r="I22" s="76">
        <f>Maaned!P24</f>
        <v>20</v>
      </c>
      <c r="J22" s="77" t="str">
        <f>Maaned!Q24</f>
        <v>to</v>
      </c>
      <c r="K22" s="204" t="str">
        <f>Oktober!C28</f>
        <v>Feriedag</v>
      </c>
      <c r="L22" s="205" t="str">
        <f>Maaned!S24</f>
        <v/>
      </c>
      <c r="M22" s="76">
        <f>Maaned!W24</f>
        <v>20</v>
      </c>
      <c r="N22" s="77" t="str">
        <f>Maaned!X24</f>
        <v>sø</v>
      </c>
      <c r="O22" s="204" t="str">
        <f>November!C28</f>
        <v>Weekend</v>
      </c>
      <c r="P22" s="205" t="str">
        <f>Maaned!Z24</f>
        <v/>
      </c>
      <c r="Q22" s="76">
        <f>Maaned!AD24</f>
        <v>20</v>
      </c>
      <c r="R22" s="77" t="str">
        <f>Maaned!AE24</f>
        <v>ti</v>
      </c>
      <c r="S22" s="204" t="str">
        <f>December!C28</f>
        <v>Skema 1</v>
      </c>
      <c r="T22" s="205" t="str">
        <f>Maaned!AG24</f>
        <v/>
      </c>
      <c r="U22" s="76">
        <f>Maaned!AK24</f>
        <v>20</v>
      </c>
      <c r="V22" s="77" t="str">
        <f>Maaned!AL24</f>
        <v>fr</v>
      </c>
      <c r="W22" s="204" t="str">
        <f>Januar!C28</f>
        <v>Skema 2</v>
      </c>
      <c r="X22" s="205" t="str">
        <f>Maaned!AN24</f>
        <v/>
      </c>
      <c r="Y22" s="76">
        <f>Maaned!AR24</f>
        <v>20</v>
      </c>
      <c r="Z22" s="77" t="str">
        <f>Maaned!AS24</f>
        <v>ma</v>
      </c>
      <c r="AA22" s="204" t="str">
        <f>Februar!C28</f>
        <v>Skema 2</v>
      </c>
      <c r="AB22" s="205">
        <f>Maaned!AU24</f>
        <v>8.1428571428571423</v>
      </c>
      <c r="AC22" s="76">
        <f>Maaned!AY24</f>
        <v>20</v>
      </c>
      <c r="AD22" s="77" t="str">
        <f>Maaned!AZ24</f>
        <v>ma</v>
      </c>
      <c r="AE22" s="204" t="str">
        <f>Marts!C28</f>
        <v>Skema 2</v>
      </c>
      <c r="AF22" s="205">
        <f>Maaned!BB24</f>
        <v>12.142857142857142</v>
      </c>
      <c r="AG22" s="76">
        <f>Maaned!BF24</f>
        <v>20</v>
      </c>
      <c r="AH22" s="77" t="str">
        <f>Maaned!BG24</f>
        <v>to</v>
      </c>
      <c r="AI22" s="204" t="str">
        <f>April!C28</f>
        <v>Skema 2</v>
      </c>
      <c r="AJ22" s="205" t="str">
        <f>Maaned!BI24</f>
        <v/>
      </c>
      <c r="AK22" s="76">
        <f>Maaned!BM24</f>
        <v>20</v>
      </c>
      <c r="AL22" s="846" t="str">
        <f>Maaned!BN24</f>
        <v>lø</v>
      </c>
      <c r="AM22" s="204" t="str">
        <f>Maj!C28</f>
        <v>Weekend</v>
      </c>
      <c r="AN22" s="847" t="str">
        <f>Maaned!BP24</f>
        <v/>
      </c>
      <c r="AO22" s="848">
        <f>Maaned!BT24</f>
        <v>20</v>
      </c>
      <c r="AP22" s="846" t="str">
        <f>Maaned!BU24</f>
        <v>ti</v>
      </c>
      <c r="AQ22" s="204" t="str">
        <f>Juni!C28</f>
        <v>Skema 2</v>
      </c>
      <c r="AR22" s="847" t="str">
        <f>Maaned!BW24</f>
        <v/>
      </c>
      <c r="AS22" s="848">
        <f>Maaned!CA24</f>
        <v>20</v>
      </c>
      <c r="AT22" s="846" t="str">
        <f>Maaned!CB24</f>
        <v>to</v>
      </c>
      <c r="AU22" s="204" t="str">
        <f>Juli!C28</f>
        <v>Feriedag</v>
      </c>
      <c r="AV22" s="207" t="str">
        <f>Maaned!CD24</f>
        <v/>
      </c>
    </row>
    <row r="23" spans="1:48" ht="24" customHeight="1">
      <c r="A23" s="76">
        <f>Maaned!B25</f>
        <v>21</v>
      </c>
      <c r="B23" s="77" t="str">
        <f>Maaned!C25</f>
        <v>sø</v>
      </c>
      <c r="C23" s="204" t="str">
        <f>August!C30</f>
        <v>Weekend</v>
      </c>
      <c r="D23" s="209" t="str">
        <f>Maaned!E25</f>
        <v/>
      </c>
      <c r="E23" s="76">
        <f>Maaned!I25</f>
        <v>21</v>
      </c>
      <c r="F23" s="77" t="str">
        <f>Maaned!J25</f>
        <v>on</v>
      </c>
      <c r="G23" s="204" t="str">
        <f>September!C29</f>
        <v>Skema 1</v>
      </c>
      <c r="H23" s="205" t="str">
        <f>Maaned!L25</f>
        <v/>
      </c>
      <c r="I23" s="76">
        <f>Maaned!P25</f>
        <v>21</v>
      </c>
      <c r="J23" s="77" t="str">
        <f>Maaned!Q25</f>
        <v>fr</v>
      </c>
      <c r="K23" s="204" t="str">
        <f>Oktober!C29</f>
        <v>Feriedag</v>
      </c>
      <c r="L23" s="205" t="str">
        <f>Maaned!S25</f>
        <v/>
      </c>
      <c r="M23" s="76">
        <f>Maaned!W25</f>
        <v>21</v>
      </c>
      <c r="N23" s="77" t="str">
        <f>Maaned!X25</f>
        <v>ma</v>
      </c>
      <c r="O23" s="204" t="str">
        <f>November!C29</f>
        <v>Skema 1</v>
      </c>
      <c r="P23" s="205">
        <f>Maaned!Z25</f>
        <v>47.285714285714285</v>
      </c>
      <c r="Q23" s="76">
        <f>Maaned!AD25</f>
        <v>21</v>
      </c>
      <c r="R23" s="77" t="str">
        <f>Maaned!AE25</f>
        <v>on</v>
      </c>
      <c r="S23" s="204" t="str">
        <f>December!C29</f>
        <v>Emnedag</v>
      </c>
      <c r="T23" s="205" t="str">
        <f>Maaned!AG25</f>
        <v/>
      </c>
      <c r="U23" s="76">
        <f>Maaned!AK25</f>
        <v>21</v>
      </c>
      <c r="V23" s="77" t="str">
        <f>Maaned!AL25</f>
        <v>lø</v>
      </c>
      <c r="W23" s="204" t="str">
        <f>Januar!C29</f>
        <v>Weekend</v>
      </c>
      <c r="X23" s="205" t="str">
        <f>Maaned!AN25</f>
        <v/>
      </c>
      <c r="Y23" s="76">
        <f>Maaned!AR25</f>
        <v>21</v>
      </c>
      <c r="Z23" s="77" t="str">
        <f>Maaned!AS25</f>
        <v>ti</v>
      </c>
      <c r="AA23" s="204" t="str">
        <f>Februar!C29</f>
        <v>Skema 2</v>
      </c>
      <c r="AB23" s="205" t="str">
        <f>Maaned!AU25</f>
        <v/>
      </c>
      <c r="AC23" s="76">
        <f>Maaned!AY25</f>
        <v>21</v>
      </c>
      <c r="AD23" s="77" t="str">
        <f>Maaned!AZ25</f>
        <v>ti</v>
      </c>
      <c r="AE23" s="204" t="str">
        <f>Marts!C29</f>
        <v>Skema 2</v>
      </c>
      <c r="AF23" s="205" t="str">
        <f>Maaned!BB25</f>
        <v/>
      </c>
      <c r="AG23" s="76">
        <f>Maaned!BF25</f>
        <v>21</v>
      </c>
      <c r="AH23" s="77" t="str">
        <f>Maaned!BG25</f>
        <v>fr</v>
      </c>
      <c r="AI23" s="204" t="str">
        <f>April!C29</f>
        <v>Skema 2</v>
      </c>
      <c r="AJ23" s="205" t="str">
        <f>Maaned!BI25</f>
        <v/>
      </c>
      <c r="AK23" s="76">
        <f>Maaned!BM25</f>
        <v>21</v>
      </c>
      <c r="AL23" s="846" t="str">
        <f>Maaned!BN25</f>
        <v>sø</v>
      </c>
      <c r="AM23" s="204" t="str">
        <f>Maj!C29</f>
        <v>Weekend</v>
      </c>
      <c r="AN23" s="847" t="str">
        <f>Maaned!BP25</f>
        <v/>
      </c>
      <c r="AO23" s="848">
        <f>Maaned!BT25</f>
        <v>21</v>
      </c>
      <c r="AP23" s="846" t="str">
        <f>Maaned!BU25</f>
        <v>on</v>
      </c>
      <c r="AQ23" s="204" t="str">
        <f>Juni!C29</f>
        <v>Skema 2</v>
      </c>
      <c r="AR23" s="847" t="str">
        <f>Maaned!BW25</f>
        <v/>
      </c>
      <c r="AS23" s="848">
        <f>Maaned!CA25</f>
        <v>21</v>
      </c>
      <c r="AT23" s="846" t="str">
        <f>Maaned!CB25</f>
        <v>fr</v>
      </c>
      <c r="AU23" s="204" t="str">
        <f>Juli!C29</f>
        <v>Feriedag</v>
      </c>
      <c r="AV23" s="207" t="str">
        <f>Maaned!CD25</f>
        <v/>
      </c>
    </row>
    <row r="24" spans="1:48" ht="24" customHeight="1">
      <c r="A24" s="76">
        <f>Maaned!B26</f>
        <v>22</v>
      </c>
      <c r="B24" s="77" t="str">
        <f>Maaned!C26</f>
        <v>ma</v>
      </c>
      <c r="C24" s="204" t="str">
        <f>August!C31</f>
        <v>Skema 1</v>
      </c>
      <c r="D24" s="209">
        <f>Maaned!E26</f>
        <v>34.285714285714285</v>
      </c>
      <c r="E24" s="76">
        <f>Maaned!I26</f>
        <v>22</v>
      </c>
      <c r="F24" s="77" t="str">
        <f>Maaned!J26</f>
        <v>to</v>
      </c>
      <c r="G24" s="204" t="str">
        <f>September!C30</f>
        <v>Skema 1</v>
      </c>
      <c r="H24" s="205" t="str">
        <f>Maaned!L26</f>
        <v/>
      </c>
      <c r="I24" s="76">
        <f>Maaned!P26</f>
        <v>22</v>
      </c>
      <c r="J24" s="77" t="str">
        <f>Maaned!Q26</f>
        <v>lø</v>
      </c>
      <c r="K24" s="204" t="str">
        <f>Oktober!C30</f>
        <v>Weekend</v>
      </c>
      <c r="L24" s="205" t="str">
        <f>Maaned!S26</f>
        <v/>
      </c>
      <c r="M24" s="76">
        <f>Maaned!W26</f>
        <v>22</v>
      </c>
      <c r="N24" s="77" t="str">
        <f>Maaned!X26</f>
        <v>ti</v>
      </c>
      <c r="O24" s="204" t="str">
        <f>November!C30</f>
        <v>Skema 1</v>
      </c>
      <c r="P24" s="205" t="str">
        <f>Maaned!Z26</f>
        <v/>
      </c>
      <c r="Q24" s="76">
        <f>Maaned!AD26</f>
        <v>22</v>
      </c>
      <c r="R24" s="77" t="str">
        <f>Maaned!AE26</f>
        <v>to</v>
      </c>
      <c r="S24" s="204" t="str">
        <f>December!C30</f>
        <v>Nul-dag</v>
      </c>
      <c r="T24" s="205" t="str">
        <f>Maaned!AG26</f>
        <v/>
      </c>
      <c r="U24" s="76">
        <f>Maaned!AK26</f>
        <v>22</v>
      </c>
      <c r="V24" s="77" t="str">
        <f>Maaned!AL26</f>
        <v>sø</v>
      </c>
      <c r="W24" s="204" t="str">
        <f>Januar!C30</f>
        <v>Weekend</v>
      </c>
      <c r="X24" s="205" t="str">
        <f>Maaned!AN26</f>
        <v/>
      </c>
      <c r="Y24" s="76">
        <f>Maaned!AR26</f>
        <v>22</v>
      </c>
      <c r="Z24" s="77" t="str">
        <f>Maaned!AS26</f>
        <v>on</v>
      </c>
      <c r="AA24" s="204" t="str">
        <f>Februar!C30</f>
        <v>Skema 2</v>
      </c>
      <c r="AB24" s="205" t="str">
        <f>Maaned!AU26</f>
        <v/>
      </c>
      <c r="AC24" s="76">
        <f>Maaned!AY26</f>
        <v>22</v>
      </c>
      <c r="AD24" s="77" t="str">
        <f>Maaned!AZ26</f>
        <v>on</v>
      </c>
      <c r="AE24" s="204" t="str">
        <f>Marts!C30</f>
        <v>Skema 2</v>
      </c>
      <c r="AF24" s="205" t="str">
        <f>Maaned!BB26</f>
        <v/>
      </c>
      <c r="AG24" s="76">
        <f>Maaned!BF26</f>
        <v>22</v>
      </c>
      <c r="AH24" s="77" t="str">
        <f>Maaned!BG26</f>
        <v>lø</v>
      </c>
      <c r="AI24" s="204" t="str">
        <f>April!C30</f>
        <v>Weekend</v>
      </c>
      <c r="AJ24" s="205" t="str">
        <f>Maaned!BI26</f>
        <v/>
      </c>
      <c r="AK24" s="76">
        <f>Maaned!BM26</f>
        <v>22</v>
      </c>
      <c r="AL24" s="846" t="str">
        <f>Maaned!BN26</f>
        <v>ma</v>
      </c>
      <c r="AM24" s="204" t="str">
        <f>Maj!C30</f>
        <v>Skema 2</v>
      </c>
      <c r="AN24" s="847">
        <f>Maaned!BP26</f>
        <v>21.142857142857142</v>
      </c>
      <c r="AO24" s="848">
        <f>Maaned!BT26</f>
        <v>22</v>
      </c>
      <c r="AP24" s="846" t="str">
        <f>Maaned!BU26</f>
        <v>to</v>
      </c>
      <c r="AQ24" s="204" t="str">
        <f>Juni!C30</f>
        <v>Skema 2</v>
      </c>
      <c r="AR24" s="847" t="str">
        <f>Maaned!BW26</f>
        <v/>
      </c>
      <c r="AS24" s="848">
        <f>Maaned!CA26</f>
        <v>22</v>
      </c>
      <c r="AT24" s="846" t="str">
        <f>Maaned!CB26</f>
        <v>lø</v>
      </c>
      <c r="AU24" s="204" t="str">
        <f>Juli!C30</f>
        <v>Weekend</v>
      </c>
      <c r="AV24" s="207" t="str">
        <f>Maaned!CD26</f>
        <v/>
      </c>
    </row>
    <row r="25" spans="1:48" ht="24" customHeight="1">
      <c r="A25" s="76">
        <f>Maaned!B27</f>
        <v>23</v>
      </c>
      <c r="B25" s="77" t="str">
        <f>Maaned!C27</f>
        <v>ti</v>
      </c>
      <c r="C25" s="204" t="str">
        <f>August!C32</f>
        <v>Skema 1</v>
      </c>
      <c r="D25" s="209" t="str">
        <f>Maaned!E27</f>
        <v/>
      </c>
      <c r="E25" s="76">
        <f>Maaned!I27</f>
        <v>23</v>
      </c>
      <c r="F25" s="77" t="str">
        <f>Maaned!J27</f>
        <v>fr</v>
      </c>
      <c r="G25" s="204" t="str">
        <f>September!C31</f>
        <v>Skema 1</v>
      </c>
      <c r="H25" s="205" t="str">
        <f>Maaned!L27</f>
        <v/>
      </c>
      <c r="I25" s="76">
        <f>Maaned!P27</f>
        <v>23</v>
      </c>
      <c r="J25" s="77" t="str">
        <f>Maaned!Q27</f>
        <v>sø</v>
      </c>
      <c r="K25" s="204" t="str">
        <f>Oktober!C31</f>
        <v>Weekend</v>
      </c>
      <c r="L25" s="205" t="str">
        <f>Maaned!S27</f>
        <v/>
      </c>
      <c r="M25" s="76">
        <f>Maaned!W27</f>
        <v>23</v>
      </c>
      <c r="N25" s="77" t="str">
        <f>Maaned!X27</f>
        <v>on</v>
      </c>
      <c r="O25" s="204" t="str">
        <f>November!C31</f>
        <v>Skema 1</v>
      </c>
      <c r="P25" s="205" t="str">
        <f>Maaned!Z27</f>
        <v/>
      </c>
      <c r="Q25" s="76">
        <f>Maaned!AD27</f>
        <v>23</v>
      </c>
      <c r="R25" s="77" t="str">
        <f>Maaned!AE27</f>
        <v>fr</v>
      </c>
      <c r="S25" s="204" t="str">
        <f>December!C31</f>
        <v>Nul-dag</v>
      </c>
      <c r="T25" s="205" t="str">
        <f>Maaned!AG27</f>
        <v/>
      </c>
      <c r="U25" s="76">
        <f>Maaned!AK27</f>
        <v>23</v>
      </c>
      <c r="V25" s="77" t="str">
        <f>Maaned!AL27</f>
        <v>ma</v>
      </c>
      <c r="W25" s="204" t="str">
        <f>Januar!C31</f>
        <v>Emnedag</v>
      </c>
      <c r="X25" s="205">
        <f>Maaned!AN27</f>
        <v>4.1428571428571432</v>
      </c>
      <c r="Y25" s="76">
        <f>Maaned!AR27</f>
        <v>23</v>
      </c>
      <c r="Z25" s="77" t="str">
        <f>Maaned!AS27</f>
        <v>to</v>
      </c>
      <c r="AA25" s="204" t="str">
        <f>Februar!C31</f>
        <v>Fagdag</v>
      </c>
      <c r="AB25" s="205" t="str">
        <f>Maaned!AU27</f>
        <v/>
      </c>
      <c r="AC25" s="76">
        <f>Maaned!AY27</f>
        <v>23</v>
      </c>
      <c r="AD25" s="77" t="str">
        <f>Maaned!AZ27</f>
        <v>to</v>
      </c>
      <c r="AE25" s="204" t="str">
        <f>Marts!C31</f>
        <v>Skema 2</v>
      </c>
      <c r="AF25" s="205" t="str">
        <f>Maaned!BB27</f>
        <v/>
      </c>
      <c r="AG25" s="76">
        <f>Maaned!BF27</f>
        <v>23</v>
      </c>
      <c r="AH25" s="77" t="str">
        <f>Maaned!BG27</f>
        <v>sø</v>
      </c>
      <c r="AI25" s="204" t="str">
        <f>April!C31</f>
        <v>Weekend</v>
      </c>
      <c r="AJ25" s="205" t="str">
        <f>Maaned!BI27</f>
        <v/>
      </c>
      <c r="AK25" s="76">
        <f>Maaned!BM27</f>
        <v>23</v>
      </c>
      <c r="AL25" s="846" t="str">
        <f>Maaned!BN27</f>
        <v>ti</v>
      </c>
      <c r="AM25" s="204" t="str">
        <f>Maj!C31</f>
        <v>Skema 2</v>
      </c>
      <c r="AN25" s="847" t="str">
        <f>Maaned!BP27</f>
        <v/>
      </c>
      <c r="AO25" s="848">
        <f>Maaned!BT27</f>
        <v>23</v>
      </c>
      <c r="AP25" s="846" t="str">
        <f>Maaned!BU27</f>
        <v>fr</v>
      </c>
      <c r="AQ25" s="204" t="str">
        <f>Juni!C31</f>
        <v>Emnedag</v>
      </c>
      <c r="AR25" s="847" t="str">
        <f>Maaned!BW27</f>
        <v/>
      </c>
      <c r="AS25" s="848">
        <f>Maaned!CA27</f>
        <v>23</v>
      </c>
      <c r="AT25" s="846" t="str">
        <f>Maaned!CB27</f>
        <v>sø</v>
      </c>
      <c r="AU25" s="204" t="str">
        <f>Juli!C31</f>
        <v>Weekend</v>
      </c>
      <c r="AV25" s="207" t="str">
        <f>Maaned!CD27</f>
        <v/>
      </c>
    </row>
    <row r="26" spans="1:48" ht="24" customHeight="1">
      <c r="A26" s="76">
        <f>Maaned!B28</f>
        <v>24</v>
      </c>
      <c r="B26" s="77" t="str">
        <f>Maaned!C28</f>
        <v>on</v>
      </c>
      <c r="C26" s="204" t="str">
        <f>August!C33</f>
        <v>Skema 1</v>
      </c>
      <c r="D26" s="209" t="str">
        <f>Maaned!E28</f>
        <v/>
      </c>
      <c r="E26" s="76">
        <f>Maaned!I28</f>
        <v>24</v>
      </c>
      <c r="F26" s="77" t="str">
        <f>Maaned!J28</f>
        <v>lø</v>
      </c>
      <c r="G26" s="204" t="str">
        <f>September!C32</f>
        <v>Skema 1</v>
      </c>
      <c r="H26" s="205" t="str">
        <f>Maaned!L28</f>
        <v/>
      </c>
      <c r="I26" s="76">
        <f>Maaned!P28</f>
        <v>24</v>
      </c>
      <c r="J26" s="77" t="str">
        <f>Maaned!Q28</f>
        <v>ma</v>
      </c>
      <c r="K26" s="204" t="str">
        <f>Oktober!C32</f>
        <v>Skema 1</v>
      </c>
      <c r="L26" s="205">
        <f>Maaned!S28</f>
        <v>43.285714285714285</v>
      </c>
      <c r="M26" s="76">
        <f>Maaned!W28</f>
        <v>24</v>
      </c>
      <c r="N26" s="77" t="str">
        <f>Maaned!X28</f>
        <v>to</v>
      </c>
      <c r="O26" s="204" t="str">
        <f>November!C32</f>
        <v>Skema 1</v>
      </c>
      <c r="P26" s="205" t="str">
        <f>Maaned!Z28</f>
        <v/>
      </c>
      <c r="Q26" s="76">
        <f>Maaned!AD28</f>
        <v>24</v>
      </c>
      <c r="R26" s="77" t="str">
        <f>Maaned!AE28</f>
        <v>lø</v>
      </c>
      <c r="S26" s="204" t="str">
        <f>December!C32</f>
        <v>Weekend</v>
      </c>
      <c r="T26" s="205" t="str">
        <f>Maaned!AG28</f>
        <v/>
      </c>
      <c r="U26" s="76">
        <f>Maaned!AK28</f>
        <v>24</v>
      </c>
      <c r="V26" s="77" t="str">
        <f>Maaned!AL28</f>
        <v>ti</v>
      </c>
      <c r="W26" s="204" t="str">
        <f>Januar!C32</f>
        <v>Emnedag</v>
      </c>
      <c r="X26" s="205" t="str">
        <f>Maaned!AN28</f>
        <v/>
      </c>
      <c r="Y26" s="76">
        <f>Maaned!AR28</f>
        <v>24</v>
      </c>
      <c r="Z26" s="77" t="str">
        <f>Maaned!AS28</f>
        <v>fr</v>
      </c>
      <c r="AA26" s="204" t="str">
        <f>Februar!C32</f>
        <v>Skema 2</v>
      </c>
      <c r="AB26" s="205" t="str">
        <f>Maaned!AU28</f>
        <v/>
      </c>
      <c r="AC26" s="76">
        <f>Maaned!AY28</f>
        <v>24</v>
      </c>
      <c r="AD26" s="77" t="str">
        <f>Maaned!AZ28</f>
        <v>fr</v>
      </c>
      <c r="AE26" s="204" t="str">
        <f>Marts!C32</f>
        <v>Skema 2</v>
      </c>
      <c r="AF26" s="205" t="str">
        <f>Maaned!BB28</f>
        <v/>
      </c>
      <c r="AG26" s="76">
        <f>Maaned!BF28</f>
        <v>24</v>
      </c>
      <c r="AH26" s="77" t="str">
        <f>Maaned!BG28</f>
        <v>ma</v>
      </c>
      <c r="AI26" s="204" t="str">
        <f>April!C32</f>
        <v>Skema 2</v>
      </c>
      <c r="AJ26" s="205">
        <f>Maaned!BI28</f>
        <v>17.142857142857142</v>
      </c>
      <c r="AK26" s="76">
        <f>Maaned!BM28</f>
        <v>24</v>
      </c>
      <c r="AL26" s="846" t="str">
        <f>Maaned!BN28</f>
        <v>on</v>
      </c>
      <c r="AM26" s="204" t="str">
        <f>Maj!C32</f>
        <v>Skema 2</v>
      </c>
      <c r="AN26" s="847" t="str">
        <f>Maaned!BP28</f>
        <v/>
      </c>
      <c r="AO26" s="848">
        <f>Maaned!BT28</f>
        <v>24</v>
      </c>
      <c r="AP26" s="846" t="str">
        <f>Maaned!BU28</f>
        <v>lø</v>
      </c>
      <c r="AQ26" s="204" t="str">
        <f>Juni!C32</f>
        <v>Weekend</v>
      </c>
      <c r="AR26" s="847" t="str">
        <f>Maaned!BW28</f>
        <v/>
      </c>
      <c r="AS26" s="848">
        <f>Maaned!CA28</f>
        <v>24</v>
      </c>
      <c r="AT26" s="846" t="str">
        <f>Maaned!CB28</f>
        <v>ma</v>
      </c>
      <c r="AU26" s="204" t="str">
        <f>Juli!C32</f>
        <v>Feriedag</v>
      </c>
      <c r="AV26" s="207">
        <f>Maaned!CD28</f>
        <v>30.142857142857142</v>
      </c>
    </row>
    <row r="27" spans="1:48" ht="24" customHeight="1">
      <c r="A27" s="76">
        <f>Maaned!B29</f>
        <v>25</v>
      </c>
      <c r="B27" s="77" t="str">
        <f>Maaned!C29</f>
        <v>to</v>
      </c>
      <c r="C27" s="204" t="str">
        <f>August!C34</f>
        <v>Skema 1</v>
      </c>
      <c r="D27" s="209" t="str">
        <f>Maaned!E29</f>
        <v/>
      </c>
      <c r="E27" s="76">
        <f>Maaned!I29</f>
        <v>25</v>
      </c>
      <c r="F27" s="77" t="str">
        <f>Maaned!J29</f>
        <v>sø</v>
      </c>
      <c r="G27" s="204" t="str">
        <f>September!C33</f>
        <v>Weekend</v>
      </c>
      <c r="H27" s="205" t="str">
        <f>Maaned!L29</f>
        <v/>
      </c>
      <c r="I27" s="76">
        <f>Maaned!P29</f>
        <v>25</v>
      </c>
      <c r="J27" s="77" t="str">
        <f>Maaned!Q29</f>
        <v>ti</v>
      </c>
      <c r="K27" s="204" t="str">
        <f>Oktober!C33</f>
        <v>Fagdag</v>
      </c>
      <c r="L27" s="205" t="str">
        <f>Maaned!S29</f>
        <v/>
      </c>
      <c r="M27" s="76">
        <f>Maaned!W29</f>
        <v>25</v>
      </c>
      <c r="N27" s="77" t="str">
        <f>Maaned!X29</f>
        <v>fr</v>
      </c>
      <c r="O27" s="204" t="str">
        <f>November!C33</f>
        <v>Skema 1</v>
      </c>
      <c r="P27" s="205" t="str">
        <f>Maaned!Z29</f>
        <v/>
      </c>
      <c r="Q27" s="76">
        <f>Maaned!AD29</f>
        <v>25</v>
      </c>
      <c r="R27" s="77" t="str">
        <f>Maaned!AE29</f>
        <v>sø</v>
      </c>
      <c r="S27" s="204" t="str">
        <f>December!C33</f>
        <v>Weekend</v>
      </c>
      <c r="T27" s="205" t="str">
        <f>Maaned!AG29</f>
        <v/>
      </c>
      <c r="U27" s="76">
        <f>Maaned!AK29</f>
        <v>25</v>
      </c>
      <c r="V27" s="77" t="str">
        <f>Maaned!AL29</f>
        <v>on</v>
      </c>
      <c r="W27" s="204" t="str">
        <f>Januar!C33</f>
        <v>Emnedag</v>
      </c>
      <c r="X27" s="205" t="str">
        <f>Maaned!AN29</f>
        <v/>
      </c>
      <c r="Y27" s="76">
        <f>Maaned!AR29</f>
        <v>25</v>
      </c>
      <c r="Z27" s="77" t="str">
        <f>Maaned!AS29</f>
        <v>lø</v>
      </c>
      <c r="AA27" s="204" t="str">
        <f>Februar!C33</f>
        <v>Weekend</v>
      </c>
      <c r="AB27" s="205" t="str">
        <f>Maaned!AU29</f>
        <v/>
      </c>
      <c r="AC27" s="76">
        <f>Maaned!AY29</f>
        <v>25</v>
      </c>
      <c r="AD27" s="77" t="str">
        <f>Maaned!AZ29</f>
        <v>lø</v>
      </c>
      <c r="AE27" s="204" t="str">
        <f>Marts!C33</f>
        <v>Weekend</v>
      </c>
      <c r="AF27" s="205" t="str">
        <f>Maaned!BB29</f>
        <v/>
      </c>
      <c r="AG27" s="76">
        <f>Maaned!BF29</f>
        <v>25</v>
      </c>
      <c r="AH27" s="77" t="str">
        <f>Maaned!BG29</f>
        <v>ti</v>
      </c>
      <c r="AI27" s="204" t="str">
        <f>April!C33</f>
        <v>Skema 2</v>
      </c>
      <c r="AJ27" s="205" t="str">
        <f>Maaned!BI29</f>
        <v/>
      </c>
      <c r="AK27" s="76">
        <f>Maaned!BM29</f>
        <v>25</v>
      </c>
      <c r="AL27" s="846" t="str">
        <f>Maaned!BN29</f>
        <v>to</v>
      </c>
      <c r="AM27" s="204" t="str">
        <f>Maj!C33</f>
        <v>Skema 2</v>
      </c>
      <c r="AN27" s="847" t="str">
        <f>Maaned!BP29</f>
        <v/>
      </c>
      <c r="AO27" s="848">
        <f>Maaned!BT29</f>
        <v>25</v>
      </c>
      <c r="AP27" s="846" t="str">
        <f>Maaned!BU29</f>
        <v>sø</v>
      </c>
      <c r="AQ27" s="204" t="str">
        <f>Juni!C33</f>
        <v>Weekend</v>
      </c>
      <c r="AR27" s="847" t="str">
        <f>Maaned!BW29</f>
        <v/>
      </c>
      <c r="AS27" s="848">
        <f>Maaned!CA29</f>
        <v>25</v>
      </c>
      <c r="AT27" s="846" t="str">
        <f>Maaned!CB29</f>
        <v>ti</v>
      </c>
      <c r="AU27" s="204" t="str">
        <f>Juli!C33</f>
        <v>Feriedag</v>
      </c>
      <c r="AV27" s="207" t="str">
        <f>Maaned!CD29</f>
        <v/>
      </c>
    </row>
    <row r="28" spans="1:48" ht="24" customHeight="1">
      <c r="A28" s="76">
        <f>Maaned!B30</f>
        <v>26</v>
      </c>
      <c r="B28" s="77" t="str">
        <f>Maaned!C30</f>
        <v>fr</v>
      </c>
      <c r="C28" s="204" t="str">
        <f>August!C35</f>
        <v>Skema 1</v>
      </c>
      <c r="D28" s="209" t="str">
        <f>Maaned!E30</f>
        <v/>
      </c>
      <c r="E28" s="76">
        <f>Maaned!I30</f>
        <v>26</v>
      </c>
      <c r="F28" s="77" t="str">
        <f>Maaned!J30</f>
        <v>ma</v>
      </c>
      <c r="G28" s="204" t="str">
        <f>September!C34</f>
        <v>Fagdag</v>
      </c>
      <c r="H28" s="205">
        <f>Maaned!L30</f>
        <v>39.285714285714285</v>
      </c>
      <c r="I28" s="76">
        <f>Maaned!P30</f>
        <v>26</v>
      </c>
      <c r="J28" s="77" t="str">
        <f>Maaned!Q30</f>
        <v>on</v>
      </c>
      <c r="K28" s="204" t="str">
        <f>Oktober!C34</f>
        <v>Skema 1</v>
      </c>
      <c r="L28" s="205" t="str">
        <f>Maaned!S30</f>
        <v/>
      </c>
      <c r="M28" s="76">
        <f>Maaned!W30</f>
        <v>26</v>
      </c>
      <c r="N28" s="77" t="str">
        <f>Maaned!X30</f>
        <v>lø</v>
      </c>
      <c r="O28" s="204" t="str">
        <f>November!C34</f>
        <v>Weekend</v>
      </c>
      <c r="P28" s="205" t="str">
        <f>Maaned!Z30</f>
        <v/>
      </c>
      <c r="Q28" s="76">
        <f>Maaned!AD30</f>
        <v>26</v>
      </c>
      <c r="R28" s="77" t="str">
        <f>Maaned!AE30</f>
        <v>ma</v>
      </c>
      <c r="S28" s="204" t="str">
        <f>December!C34</f>
        <v>SH-dag</v>
      </c>
      <c r="T28" s="205">
        <f>Maaned!AG30</f>
        <v>52.285714285714285</v>
      </c>
      <c r="U28" s="76">
        <f>Maaned!AK30</f>
        <v>26</v>
      </c>
      <c r="V28" s="77" t="str">
        <f>Maaned!AL30</f>
        <v>to</v>
      </c>
      <c r="W28" s="204" t="str">
        <f>Januar!C34</f>
        <v>Emnedag</v>
      </c>
      <c r="X28" s="205" t="str">
        <f>Maaned!AN30</f>
        <v/>
      </c>
      <c r="Y28" s="76">
        <f>Maaned!AR30</f>
        <v>26</v>
      </c>
      <c r="Z28" s="77" t="str">
        <f>Maaned!AS30</f>
        <v>sø</v>
      </c>
      <c r="AA28" s="204" t="str">
        <f>Februar!C34</f>
        <v>Weekend</v>
      </c>
      <c r="AB28" s="205" t="str">
        <f>Maaned!AU30</f>
        <v/>
      </c>
      <c r="AC28" s="76">
        <f>Maaned!AY30</f>
        <v>26</v>
      </c>
      <c r="AD28" s="77" t="str">
        <f>Maaned!AZ30</f>
        <v>sø</v>
      </c>
      <c r="AE28" s="204" t="str">
        <f>Marts!C34</f>
        <v>Weekend</v>
      </c>
      <c r="AF28" s="205" t="str">
        <f>Maaned!BB30</f>
        <v/>
      </c>
      <c r="AG28" s="76">
        <f>Maaned!BF30</f>
        <v>26</v>
      </c>
      <c r="AH28" s="77" t="str">
        <f>Maaned!BG30</f>
        <v>on</v>
      </c>
      <c r="AI28" s="204" t="str">
        <f>April!C34</f>
        <v>Skema 2</v>
      </c>
      <c r="AJ28" s="205" t="str">
        <f>Maaned!BI30</f>
        <v/>
      </c>
      <c r="AK28" s="76">
        <f>Maaned!BM30</f>
        <v>26</v>
      </c>
      <c r="AL28" s="846" t="str">
        <f>Maaned!BN30</f>
        <v>fr</v>
      </c>
      <c r="AM28" s="204" t="str">
        <f>Maj!C34</f>
        <v>Skema 2</v>
      </c>
      <c r="AN28" s="847" t="str">
        <f>Maaned!BP30</f>
        <v/>
      </c>
      <c r="AO28" s="848">
        <f>Maaned!BT30</f>
        <v>26</v>
      </c>
      <c r="AP28" s="846" t="str">
        <f>Maaned!BU30</f>
        <v>ma</v>
      </c>
      <c r="AQ28" s="204" t="str">
        <f>Juni!C34</f>
        <v>Pæd.dag</v>
      </c>
      <c r="AR28" s="847">
        <f>Maaned!BW30</f>
        <v>26.142857142857142</v>
      </c>
      <c r="AS28" s="848">
        <f>Maaned!CA30</f>
        <v>26</v>
      </c>
      <c r="AT28" s="846" t="str">
        <f>Maaned!CB30</f>
        <v>on</v>
      </c>
      <c r="AU28" s="204" t="str">
        <f>Juli!C34</f>
        <v>Feriedag</v>
      </c>
      <c r="AV28" s="207" t="str">
        <f>Maaned!CD30</f>
        <v/>
      </c>
    </row>
    <row r="29" spans="1:48" ht="24" customHeight="1">
      <c r="A29" s="76">
        <f>Maaned!B31</f>
        <v>27</v>
      </c>
      <c r="B29" s="77" t="str">
        <f>Maaned!C31</f>
        <v>lø</v>
      </c>
      <c r="C29" s="204" t="str">
        <f>August!C36</f>
        <v>Weekend</v>
      </c>
      <c r="D29" s="209" t="str">
        <f>Maaned!E31</f>
        <v/>
      </c>
      <c r="E29" s="76">
        <f>Maaned!I31</f>
        <v>27</v>
      </c>
      <c r="F29" s="77" t="str">
        <f>Maaned!J31</f>
        <v>ti</v>
      </c>
      <c r="G29" s="204" t="str">
        <f>September!C35</f>
        <v>Skema 1</v>
      </c>
      <c r="H29" s="205" t="str">
        <f>Maaned!L31</f>
        <v/>
      </c>
      <c r="I29" s="76">
        <f>Maaned!P31</f>
        <v>27</v>
      </c>
      <c r="J29" s="77" t="str">
        <f>Maaned!Q31</f>
        <v>to</v>
      </c>
      <c r="K29" s="204" t="str">
        <f>Oktober!C35</f>
        <v>Skema 1</v>
      </c>
      <c r="L29" s="205" t="str">
        <f>Maaned!S31</f>
        <v/>
      </c>
      <c r="M29" s="76">
        <f>Maaned!W31</f>
        <v>27</v>
      </c>
      <c r="N29" s="77" t="str">
        <f>Maaned!X31</f>
        <v>sø</v>
      </c>
      <c r="O29" s="204" t="str">
        <f>November!C35</f>
        <v>Weekend</v>
      </c>
      <c r="P29" s="205" t="str">
        <f>Maaned!Z31</f>
        <v/>
      </c>
      <c r="Q29" s="76">
        <f>Maaned!AD31</f>
        <v>27</v>
      </c>
      <c r="R29" s="77" t="str">
        <f>Maaned!AE31</f>
        <v>ti</v>
      </c>
      <c r="S29" s="204" t="str">
        <f>December!C35</f>
        <v>Nul-dag</v>
      </c>
      <c r="T29" s="205" t="str">
        <f>Maaned!AG31</f>
        <v/>
      </c>
      <c r="U29" s="76">
        <f>Maaned!AK31</f>
        <v>27</v>
      </c>
      <c r="V29" s="77" t="str">
        <f>Maaned!AL31</f>
        <v>fr</v>
      </c>
      <c r="W29" s="204" t="str">
        <f>Januar!C35</f>
        <v>Emnedag</v>
      </c>
      <c r="X29" s="205" t="str">
        <f>Maaned!AN31</f>
        <v/>
      </c>
      <c r="Y29" s="76">
        <f>Maaned!AR31</f>
        <v>27</v>
      </c>
      <c r="Z29" s="77" t="str">
        <f>Maaned!AS31</f>
        <v>ma</v>
      </c>
      <c r="AA29" s="204" t="str">
        <f>Februar!C35</f>
        <v>Skema 2</v>
      </c>
      <c r="AB29" s="205">
        <f>Maaned!AU31</f>
        <v>9.1428571428571423</v>
      </c>
      <c r="AC29" s="76">
        <f>Maaned!AY31</f>
        <v>27</v>
      </c>
      <c r="AD29" s="77" t="str">
        <f>Maaned!AZ31</f>
        <v>ma</v>
      </c>
      <c r="AE29" s="204" t="str">
        <f>Marts!C35</f>
        <v>Skema 2</v>
      </c>
      <c r="AF29" s="205">
        <f>Maaned!BB31</f>
        <v>13.142857142857142</v>
      </c>
      <c r="AG29" s="76">
        <f>Maaned!BF31</f>
        <v>27</v>
      </c>
      <c r="AH29" s="77" t="str">
        <f>Maaned!BG31</f>
        <v>to</v>
      </c>
      <c r="AI29" s="204" t="str">
        <f>April!C35</f>
        <v>Skema 2</v>
      </c>
      <c r="AJ29" s="205" t="str">
        <f>Maaned!BI31</f>
        <v/>
      </c>
      <c r="AK29" s="76">
        <f>Maaned!BM31</f>
        <v>27</v>
      </c>
      <c r="AL29" s="846" t="str">
        <f>Maaned!BN31</f>
        <v>lø</v>
      </c>
      <c r="AM29" s="204" t="str">
        <f>Maj!C35</f>
        <v>Weekend</v>
      </c>
      <c r="AN29" s="847" t="str">
        <f>Maaned!BP31</f>
        <v/>
      </c>
      <c r="AO29" s="848">
        <f>Maaned!BT31</f>
        <v>27</v>
      </c>
      <c r="AP29" s="846" t="str">
        <f>Maaned!BU31</f>
        <v>ti</v>
      </c>
      <c r="AQ29" s="204" t="str">
        <f>Juni!C35</f>
        <v>Pæd.dag</v>
      </c>
      <c r="AR29" s="847" t="str">
        <f>Maaned!BW31</f>
        <v/>
      </c>
      <c r="AS29" s="848">
        <f>Maaned!CA31</f>
        <v>27</v>
      </c>
      <c r="AT29" s="846" t="str">
        <f>Maaned!CB31</f>
        <v>to</v>
      </c>
      <c r="AU29" s="204" t="str">
        <f>Juli!C35</f>
        <v>Feriedag</v>
      </c>
      <c r="AV29" s="207" t="str">
        <f>Maaned!CD31</f>
        <v/>
      </c>
    </row>
    <row r="30" spans="1:48" ht="24" customHeight="1">
      <c r="A30" s="76">
        <f>Maaned!B32</f>
        <v>28</v>
      </c>
      <c r="B30" s="77" t="str">
        <f>Maaned!C32</f>
        <v>sø</v>
      </c>
      <c r="C30" s="204" t="str">
        <f>August!C37</f>
        <v>Weekend</v>
      </c>
      <c r="D30" s="209" t="str">
        <f>Maaned!E32</f>
        <v/>
      </c>
      <c r="E30" s="76">
        <f>Maaned!I32</f>
        <v>28</v>
      </c>
      <c r="F30" s="77" t="str">
        <f>Maaned!J32</f>
        <v>on</v>
      </c>
      <c r="G30" s="204" t="str">
        <f>September!C36</f>
        <v>Skema 1</v>
      </c>
      <c r="H30" s="205" t="str">
        <f>Maaned!L32</f>
        <v/>
      </c>
      <c r="I30" s="76">
        <f>Maaned!P32</f>
        <v>28</v>
      </c>
      <c r="J30" s="77" t="str">
        <f>Maaned!Q32</f>
        <v>fr</v>
      </c>
      <c r="K30" s="204" t="str">
        <f>Oktober!C36</f>
        <v>Skema 1</v>
      </c>
      <c r="L30" s="205" t="str">
        <f>Maaned!S32</f>
        <v/>
      </c>
      <c r="M30" s="76">
        <f>Maaned!W32</f>
        <v>28</v>
      </c>
      <c r="N30" s="77" t="str">
        <f>Maaned!X32</f>
        <v>ma</v>
      </c>
      <c r="O30" s="204" t="str">
        <f>November!C36</f>
        <v>Skema 1</v>
      </c>
      <c r="P30" s="205">
        <f>Maaned!Z32</f>
        <v>48.285714285714285</v>
      </c>
      <c r="Q30" s="76">
        <f>Maaned!AD32</f>
        <v>28</v>
      </c>
      <c r="R30" s="77" t="str">
        <f>Maaned!AE32</f>
        <v>on</v>
      </c>
      <c r="S30" s="204" t="str">
        <f>December!C36</f>
        <v>Nul-dag</v>
      </c>
      <c r="T30" s="205" t="str">
        <f>Maaned!AG32</f>
        <v/>
      </c>
      <c r="U30" s="76">
        <f>Maaned!AK32</f>
        <v>28</v>
      </c>
      <c r="V30" s="77" t="str">
        <f>Maaned!AL32</f>
        <v>lø</v>
      </c>
      <c r="W30" s="204" t="str">
        <f>Januar!C36</f>
        <v>Weekend</v>
      </c>
      <c r="X30" s="205" t="str">
        <f>Maaned!AN32</f>
        <v/>
      </c>
      <c r="Y30" s="76">
        <f>Maaned!AR32</f>
        <v>28</v>
      </c>
      <c r="Z30" s="77" t="str">
        <f>Maaned!AS32</f>
        <v>ti</v>
      </c>
      <c r="AA30" s="179" t="str">
        <f>Februar!C36</f>
        <v>Skema 2</v>
      </c>
      <c r="AB30" s="207" t="str">
        <f>Maaned!AU32</f>
        <v/>
      </c>
      <c r="AC30" s="76">
        <f>Maaned!AY32</f>
        <v>28</v>
      </c>
      <c r="AD30" s="77" t="str">
        <f>Maaned!AZ32</f>
        <v>ti</v>
      </c>
      <c r="AE30" s="204" t="str">
        <f>Marts!C36</f>
        <v>Fagdag</v>
      </c>
      <c r="AF30" s="205" t="str">
        <f>Maaned!BB32</f>
        <v/>
      </c>
      <c r="AG30" s="76">
        <f>Maaned!BF32</f>
        <v>28</v>
      </c>
      <c r="AH30" s="77" t="str">
        <f>Maaned!BG32</f>
        <v>fr</v>
      </c>
      <c r="AI30" s="204" t="str">
        <f>April!C36</f>
        <v>Skema 2</v>
      </c>
      <c r="AJ30" s="205" t="str">
        <f>Maaned!BI32</f>
        <v/>
      </c>
      <c r="AK30" s="76">
        <f>Maaned!BM32</f>
        <v>28</v>
      </c>
      <c r="AL30" s="846" t="str">
        <f>Maaned!BN32</f>
        <v>sø</v>
      </c>
      <c r="AM30" s="204" t="str">
        <f>Maj!C36</f>
        <v>Weekend</v>
      </c>
      <c r="AN30" s="847" t="str">
        <f>Maaned!BP32</f>
        <v/>
      </c>
      <c r="AO30" s="848">
        <f>Maaned!BT32</f>
        <v>28</v>
      </c>
      <c r="AP30" s="846" t="str">
        <f>Maaned!BU32</f>
        <v>on</v>
      </c>
      <c r="AQ30" s="204" t="str">
        <f>Juni!C36</f>
        <v>Pæd.dag</v>
      </c>
      <c r="AR30" s="847" t="str">
        <f>Maaned!BW32</f>
        <v/>
      </c>
      <c r="AS30" s="848">
        <f>Maaned!CA32</f>
        <v>28</v>
      </c>
      <c r="AT30" s="846" t="str">
        <f>Maaned!CB32</f>
        <v>fr</v>
      </c>
      <c r="AU30" s="204" t="str">
        <f>Juli!C36</f>
        <v>Feriedag</v>
      </c>
      <c r="AV30" s="207" t="str">
        <f>Maaned!CD32</f>
        <v/>
      </c>
    </row>
    <row r="31" spans="1:48" ht="24" customHeight="1">
      <c r="A31" s="76">
        <f>Maaned!B33</f>
        <v>29</v>
      </c>
      <c r="B31" s="77" t="str">
        <f>Maaned!C33</f>
        <v>ma</v>
      </c>
      <c r="C31" s="204" t="str">
        <f>August!C38</f>
        <v>Skema 1</v>
      </c>
      <c r="D31" s="77">
        <f>Maaned!E33</f>
        <v>35.285714285714285</v>
      </c>
      <c r="E31" s="76">
        <f>Maaned!I33</f>
        <v>29</v>
      </c>
      <c r="F31" s="77" t="str">
        <f>Maaned!J33</f>
        <v>to</v>
      </c>
      <c r="G31" s="204" t="str">
        <f>September!C37</f>
        <v>Skema 1</v>
      </c>
      <c r="H31" s="205" t="str">
        <f>Maaned!L33</f>
        <v/>
      </c>
      <c r="I31" s="76">
        <f>Maaned!P33</f>
        <v>29</v>
      </c>
      <c r="J31" s="77" t="str">
        <f>Maaned!Q33</f>
        <v>lø</v>
      </c>
      <c r="K31" s="204" t="str">
        <f>Oktober!C37</f>
        <v>Weekend</v>
      </c>
      <c r="L31" s="205" t="str">
        <f>Maaned!S33</f>
        <v/>
      </c>
      <c r="M31" s="76">
        <f>Maaned!W33</f>
        <v>29</v>
      </c>
      <c r="N31" s="77" t="str">
        <f>Maaned!X33</f>
        <v>ti</v>
      </c>
      <c r="O31" s="204" t="str">
        <f>November!C37</f>
        <v>Skema 1</v>
      </c>
      <c r="P31" s="205" t="str">
        <f>Maaned!Z33</f>
        <v/>
      </c>
      <c r="Q31" s="76">
        <f>Maaned!AD33</f>
        <v>29</v>
      </c>
      <c r="R31" s="77" t="str">
        <f>Maaned!AE33</f>
        <v>to</v>
      </c>
      <c r="S31" s="204" t="str">
        <f>December!C37</f>
        <v>Nul-dag</v>
      </c>
      <c r="T31" s="205" t="str">
        <f>Maaned!AG33</f>
        <v/>
      </c>
      <c r="U31" s="76">
        <f>Maaned!AK33</f>
        <v>29</v>
      </c>
      <c r="V31" s="77" t="str">
        <f>Maaned!AL33</f>
        <v>sø</v>
      </c>
      <c r="W31" s="204" t="str">
        <f>Januar!C37</f>
        <v>Weekend</v>
      </c>
      <c r="X31" s="205" t="str">
        <f>Maaned!AN33</f>
        <v/>
      </c>
      <c r="Y31" s="327"/>
      <c r="Z31" s="328"/>
      <c r="AA31" s="329"/>
      <c r="AB31" s="330"/>
      <c r="AC31" s="76">
        <f>Maaned!AY33</f>
        <v>29</v>
      </c>
      <c r="AD31" s="77" t="str">
        <f>Maaned!AZ33</f>
        <v>on</v>
      </c>
      <c r="AE31" s="204" t="str">
        <f>Marts!C37</f>
        <v>Skema 2</v>
      </c>
      <c r="AF31" s="205" t="str">
        <f>Maaned!BB33</f>
        <v/>
      </c>
      <c r="AG31" s="76">
        <f>Maaned!BF33</f>
        <v>29</v>
      </c>
      <c r="AH31" s="77" t="str">
        <f>Maaned!BG33</f>
        <v>lø</v>
      </c>
      <c r="AI31" s="204" t="str">
        <f>April!C37</f>
        <v>Weekend</v>
      </c>
      <c r="AJ31" s="205" t="str">
        <f>Maaned!BI33</f>
        <v/>
      </c>
      <c r="AK31" s="76">
        <f>Maaned!BM33</f>
        <v>29</v>
      </c>
      <c r="AL31" s="846" t="str">
        <f>Maaned!BN33</f>
        <v>ma</v>
      </c>
      <c r="AM31" s="204" t="str">
        <f>Maj!C37</f>
        <v>SH-dag</v>
      </c>
      <c r="AN31" s="847">
        <f>Maaned!BP33</f>
        <v>22.142857142857142</v>
      </c>
      <c r="AO31" s="848">
        <f>Maaned!BT33</f>
        <v>29</v>
      </c>
      <c r="AP31" s="846" t="str">
        <f>Maaned!BU33</f>
        <v>to</v>
      </c>
      <c r="AQ31" s="204" t="str">
        <f>Juni!C37</f>
        <v>Nul-dag</v>
      </c>
      <c r="AR31" s="847" t="str">
        <f>Maaned!BW33</f>
        <v/>
      </c>
      <c r="AS31" s="848">
        <f>Maaned!CA33</f>
        <v>29</v>
      </c>
      <c r="AT31" s="846" t="str">
        <f>Maaned!CB33</f>
        <v>lø</v>
      </c>
      <c r="AU31" s="204" t="str">
        <f>Juli!C37</f>
        <v>Weekend</v>
      </c>
      <c r="AV31" s="207" t="str">
        <f>Maaned!CD33</f>
        <v/>
      </c>
    </row>
    <row r="32" spans="1:48" ht="24" customHeight="1">
      <c r="A32" s="76">
        <f>Maaned!B34</f>
        <v>30</v>
      </c>
      <c r="B32" s="77" t="str">
        <f>Maaned!C34</f>
        <v>ti</v>
      </c>
      <c r="C32" s="204" t="str">
        <f>August!C39</f>
        <v>Skema 1</v>
      </c>
      <c r="D32" s="77" t="str">
        <f>Maaned!E34</f>
        <v/>
      </c>
      <c r="E32" s="76">
        <f>Maaned!I34</f>
        <v>30</v>
      </c>
      <c r="F32" s="77" t="str">
        <f>Maaned!J34</f>
        <v>fr</v>
      </c>
      <c r="G32" s="179" t="str">
        <f>September!C38</f>
        <v>Skema 1</v>
      </c>
      <c r="H32" s="205" t="str">
        <f>Maaned!L34</f>
        <v/>
      </c>
      <c r="I32" s="76">
        <f>Maaned!P34</f>
        <v>30</v>
      </c>
      <c r="J32" s="77" t="str">
        <f>Maaned!Q34</f>
        <v>sø</v>
      </c>
      <c r="K32" s="204" t="str">
        <f>Oktober!C38</f>
        <v>Weekend</v>
      </c>
      <c r="L32" s="205" t="str">
        <f>Maaned!S34</f>
        <v/>
      </c>
      <c r="M32" s="76">
        <f>Maaned!W34</f>
        <v>30</v>
      </c>
      <c r="N32" s="77" t="str">
        <f>Maaned!X34</f>
        <v>on</v>
      </c>
      <c r="O32" s="179" t="str">
        <f>November!C38</f>
        <v>Fagdag</v>
      </c>
      <c r="P32" s="205" t="str">
        <f>Maaned!Z34</f>
        <v/>
      </c>
      <c r="Q32" s="76">
        <f>Maaned!AD34</f>
        <v>30</v>
      </c>
      <c r="R32" s="77" t="str">
        <f>Maaned!AE34</f>
        <v>fr</v>
      </c>
      <c r="S32" s="204" t="str">
        <f>December!C38</f>
        <v>Nul-dag</v>
      </c>
      <c r="T32" s="205">
        <f>Maaned!AG34</f>
        <v>0</v>
      </c>
      <c r="U32" s="76">
        <f>Maaned!AK34</f>
        <v>30</v>
      </c>
      <c r="V32" s="77" t="str">
        <f>Maaned!AL34</f>
        <v>ma</v>
      </c>
      <c r="W32" s="204" t="str">
        <f>Januar!C38</f>
        <v>Fagdag</v>
      </c>
      <c r="X32" s="205">
        <f>Maaned!AN34</f>
        <v>5.1428571428571432</v>
      </c>
      <c r="Y32" s="91">
        <f>Maaned!AR34</f>
        <v>0</v>
      </c>
      <c r="Z32" s="92">
        <f>Maaned!AS34</f>
        <v>0</v>
      </c>
      <c r="AA32" s="93">
        <f>IF(AND(Maaned!AT34="fridag",Maaned!AV34&lt;&gt;""),Maaned!AV34,Maaned!AT34)</f>
        <v>0</v>
      </c>
      <c r="AB32" s="94"/>
      <c r="AC32" s="76">
        <f>Maaned!AY34</f>
        <v>30</v>
      </c>
      <c r="AD32" s="77" t="str">
        <f>Maaned!AZ34</f>
        <v>to</v>
      </c>
      <c r="AE32" s="204" t="str">
        <f>Marts!C38</f>
        <v>Skema 2</v>
      </c>
      <c r="AF32" s="205" t="str">
        <f>Maaned!BB34</f>
        <v/>
      </c>
      <c r="AG32" s="76">
        <f>Maaned!BF34</f>
        <v>30</v>
      </c>
      <c r="AH32" s="77" t="str">
        <f>Maaned!BG34</f>
        <v>sø</v>
      </c>
      <c r="AI32" s="179" t="str">
        <f>April!C38</f>
        <v>Weekend</v>
      </c>
      <c r="AJ32" s="205" t="str">
        <f>Maaned!BI34</f>
        <v/>
      </c>
      <c r="AK32" s="76">
        <f>Maaned!BM34</f>
        <v>30</v>
      </c>
      <c r="AL32" s="846" t="str">
        <f>Maaned!BN34</f>
        <v>ti</v>
      </c>
      <c r="AM32" s="204" t="str">
        <f>Maj!C38</f>
        <v>Skema 2</v>
      </c>
      <c r="AN32" s="847" t="str">
        <f>Maaned!BP34</f>
        <v/>
      </c>
      <c r="AO32" s="849">
        <f>Maaned!BT34</f>
        <v>30</v>
      </c>
      <c r="AP32" s="850" t="str">
        <f>Maaned!BU34</f>
        <v>fr</v>
      </c>
      <c r="AQ32" s="179" t="str">
        <f>Juni!C38</f>
        <v>Nul-dag</v>
      </c>
      <c r="AR32" s="208" t="str">
        <f>Maaned!BW34</f>
        <v/>
      </c>
      <c r="AS32" s="848">
        <f>Maaned!CA34</f>
        <v>30</v>
      </c>
      <c r="AT32" s="846" t="str">
        <f>Maaned!CB34</f>
        <v>sø</v>
      </c>
      <c r="AU32" s="204" t="str">
        <f>Juli!C38</f>
        <v>Weekend</v>
      </c>
      <c r="AV32" s="207" t="str">
        <f>Maaned!CD34</f>
        <v/>
      </c>
    </row>
    <row r="33" spans="1:48" ht="24" customHeight="1">
      <c r="A33" s="76">
        <f>Maaned!B35</f>
        <v>31</v>
      </c>
      <c r="B33" s="77" t="str">
        <f>Maaned!C35</f>
        <v>on</v>
      </c>
      <c r="C33" s="179" t="str">
        <f>August!C40</f>
        <v>Skema 1</v>
      </c>
      <c r="D33" s="77" t="str">
        <f>Maaned!E35</f>
        <v/>
      </c>
      <c r="E33" s="78">
        <f>Maaned!I35</f>
        <v>0</v>
      </c>
      <c r="F33" s="79">
        <f>Maaned!J35</f>
        <v>0</v>
      </c>
      <c r="G33" s="80">
        <f>IF(AND(Maaned!K35="fridag",Maaned!M35&lt;&gt;""),Maaned!M35,Maaned!K35)</f>
        <v>0</v>
      </c>
      <c r="H33" s="81">
        <f>Maaned!L35</f>
        <v>0</v>
      </c>
      <c r="I33" s="76">
        <f>Maaned!P35</f>
        <v>31</v>
      </c>
      <c r="J33" s="77" t="str">
        <f>Maaned!Q35</f>
        <v>ma</v>
      </c>
      <c r="K33" s="179" t="str">
        <f>Oktober!C39</f>
        <v>Skema 1</v>
      </c>
      <c r="L33" s="205">
        <f>Maaned!S35</f>
        <v>44.285714285714285</v>
      </c>
      <c r="M33" s="78">
        <f>Maaned!W35</f>
        <v>0</v>
      </c>
      <c r="N33" s="79">
        <f>Maaned!X35</f>
        <v>0</v>
      </c>
      <c r="O33" s="80">
        <f>IF(AND(Maaned!Y35="fridag",Maaned!AA35&lt;&gt;""),Maaned!AA35,Maaned!Y35)</f>
        <v>0</v>
      </c>
      <c r="P33" s="82">
        <f>Maaned!Z35</f>
        <v>0</v>
      </c>
      <c r="Q33" s="76">
        <f>Maaned!AD35</f>
        <v>31</v>
      </c>
      <c r="R33" s="77" t="str">
        <f>Maaned!AE35</f>
        <v>lø</v>
      </c>
      <c r="S33" s="179" t="str">
        <f>December!C39</f>
        <v>Weekend</v>
      </c>
      <c r="T33" s="205" t="str">
        <f>Maaned!AG35</f>
        <v/>
      </c>
      <c r="U33" s="76">
        <f>Maaned!AK35</f>
        <v>31</v>
      </c>
      <c r="V33" s="77" t="str">
        <f>Maaned!AL35</f>
        <v>ti</v>
      </c>
      <c r="W33" s="179" t="str">
        <f>Januar!C39</f>
        <v>Skema 2</v>
      </c>
      <c r="X33" s="205" t="str">
        <f>Maaned!AN35</f>
        <v/>
      </c>
      <c r="Y33" s="91">
        <f>Maaned!AR35</f>
        <v>0</v>
      </c>
      <c r="Z33" s="92">
        <f>Maaned!AS35</f>
        <v>0</v>
      </c>
      <c r="AA33" s="93">
        <f>IF(AND(Maaned!AT35="fridag",Maaned!AV35&lt;&gt;""),Maaned!AV35,Maaned!AT35)</f>
        <v>0</v>
      </c>
      <c r="AB33" s="94">
        <f>Maaned!AU35</f>
        <v>0</v>
      </c>
      <c r="AC33" s="76">
        <f>Maaned!AY35</f>
        <v>31</v>
      </c>
      <c r="AD33" s="77" t="str">
        <f>Maaned!AZ35</f>
        <v>fr</v>
      </c>
      <c r="AE33" s="179" t="str">
        <f>Marts!C39</f>
        <v>Skema 2</v>
      </c>
      <c r="AF33" s="205" t="str">
        <f>Maaned!BB35</f>
        <v/>
      </c>
      <c r="AG33" s="78">
        <f>Maaned!BF35</f>
        <v>0</v>
      </c>
      <c r="AH33" s="79">
        <f>Maaned!BG35</f>
        <v>0</v>
      </c>
      <c r="AI33" s="80">
        <f>IF(OR(Maaned!BJ35="",Maaned!BH35&lt;&gt;"fridag"),Maaned!BH35,Maaned!BJ35)</f>
        <v>0</v>
      </c>
      <c r="AJ33" s="82">
        <f>Maaned!BI35</f>
        <v>0</v>
      </c>
      <c r="AK33" s="76">
        <f>Maaned!BM35</f>
        <v>31</v>
      </c>
      <c r="AL33" s="77" t="str">
        <f>Maaned!BN35</f>
        <v>on</v>
      </c>
      <c r="AM33" s="204" t="str">
        <f>Maj!C39</f>
        <v>Skema 2</v>
      </c>
      <c r="AN33" s="205" t="str">
        <f>Maaned!BP35</f>
        <v/>
      </c>
      <c r="AO33" s="91">
        <f>Maaned!BT35</f>
        <v>0</v>
      </c>
      <c r="AP33" s="92">
        <f>Maaned!BU35</f>
        <v>0</v>
      </c>
      <c r="AQ33" s="93">
        <f>IF(AND(Maaned!BV35="fridag",Maaned!BX35&lt;&gt;""),Maaned!BX35,Maaned!BV35)</f>
        <v>0</v>
      </c>
      <c r="AR33" s="94">
        <f>Maaned!BW35</f>
        <v>0</v>
      </c>
      <c r="AS33" s="76">
        <f>Maaned!CA35</f>
        <v>31</v>
      </c>
      <c r="AT33" s="77" t="str">
        <f>Maaned!CB35</f>
        <v>ma</v>
      </c>
      <c r="AU33" s="204" t="str">
        <f>Juli!C39</f>
        <v>Feriedag</v>
      </c>
      <c r="AV33" s="208">
        <f>Maaned!CD35</f>
        <v>31.142857142857142</v>
      </c>
    </row>
    <row r="34" spans="1:48" ht="13">
      <c r="A34" s="83"/>
      <c r="B34" s="83">
        <v>17</v>
      </c>
      <c r="C34" s="84" t="s">
        <v>132</v>
      </c>
      <c r="D34" s="83"/>
      <c r="E34" s="84"/>
      <c r="F34" s="84">
        <v>21</v>
      </c>
      <c r="G34" s="84" t="s">
        <v>132</v>
      </c>
      <c r="H34" s="84"/>
      <c r="I34" s="83"/>
      <c r="J34" s="83">
        <v>23</v>
      </c>
      <c r="K34" s="83" t="s">
        <v>132</v>
      </c>
      <c r="L34" s="83"/>
      <c r="M34" s="84"/>
      <c r="N34" s="84">
        <v>21</v>
      </c>
      <c r="O34" s="84" t="s">
        <v>132</v>
      </c>
      <c r="P34" s="84"/>
      <c r="Q34" s="83"/>
      <c r="R34" s="83">
        <v>20</v>
      </c>
      <c r="S34" s="83" t="s">
        <v>132</v>
      </c>
      <c r="T34" s="83"/>
      <c r="U34" s="85"/>
      <c r="V34" s="85">
        <v>22</v>
      </c>
      <c r="W34" s="83" t="s">
        <v>132</v>
      </c>
      <c r="X34" s="86"/>
      <c r="Y34" s="84"/>
      <c r="Z34" s="84">
        <v>20</v>
      </c>
      <c r="AA34" s="84" t="s">
        <v>132</v>
      </c>
      <c r="AB34" s="84"/>
      <c r="AC34" s="83"/>
      <c r="AD34" s="83">
        <v>22</v>
      </c>
      <c r="AE34" s="83" t="s">
        <v>132</v>
      </c>
      <c r="AF34" s="83"/>
      <c r="AG34" s="84"/>
      <c r="AH34" s="84">
        <v>19</v>
      </c>
      <c r="AI34" s="84" t="s">
        <v>132</v>
      </c>
      <c r="AJ34" s="84"/>
      <c r="AK34" s="83"/>
      <c r="AL34" s="83">
        <v>19</v>
      </c>
      <c r="AM34" s="83" t="s">
        <v>132</v>
      </c>
      <c r="AN34" s="83"/>
      <c r="AO34" s="84"/>
      <c r="AP34" s="84">
        <v>21</v>
      </c>
      <c r="AQ34" s="84" t="s">
        <v>132</v>
      </c>
      <c r="AR34" s="84"/>
      <c r="AS34" s="83"/>
      <c r="AT34" s="321">
        <v>6.36</v>
      </c>
      <c r="AU34" s="83" t="s">
        <v>132</v>
      </c>
      <c r="AV34" s="83"/>
    </row>
    <row r="35" spans="1:48" ht="24" customHeight="1">
      <c r="A35" s="273" t="s">
        <v>168</v>
      </c>
      <c r="B35" s="274"/>
      <c r="C35" s="274"/>
      <c r="D35" s="275"/>
      <c r="E35" s="276"/>
      <c r="F35" s="274"/>
      <c r="G35" s="277">
        <f>August!D67-August!D65+September!D65-September!D64+Oktober!D66-Oktober!D65+November!D65-November!D64+December!D66-December!D65+Januar!D66-Januar!D65+Februar!D63-Februar!D62+Marts!D66-Marts!D65+April!D65-April!D64+Maj!D66-Maj!D65+Juni!D65-Juni!D64+Juli!D66-Juli!D65</f>
        <v>365</v>
      </c>
      <c r="H35" s="159"/>
      <c r="I35" s="250" t="s">
        <v>166</v>
      </c>
      <c r="J35" s="251"/>
      <c r="K35" s="251"/>
      <c r="L35" s="251"/>
      <c r="M35" s="252"/>
      <c r="N35" s="251"/>
      <c r="O35" s="253">
        <f>August!D61+August!A77+September!A75+September!D59+Oktober!D60+Oktober!A76+November!A75+November!D59+December!D60+December!A76+Januar!D60+Januar!A76+Februar!D57+Februar!A73+Marts!A76+Marts!D60+April!A75+April!D59+Maj!D60+Maj!A76+Juni!D59+Juni!A75+Juli!A76+Juli!D60</f>
        <v>104</v>
      </c>
      <c r="P35" s="163"/>
      <c r="Q35" s="254" t="s">
        <v>167</v>
      </c>
      <c r="R35" s="255"/>
      <c r="S35" s="255"/>
      <c r="T35" s="255"/>
      <c r="U35" s="256"/>
      <c r="V35" s="255"/>
      <c r="W35" s="257">
        <f>August!D62+September!D60+Oktober!D61+November!D60+December!D61+Januar!D61+Februar!D58+Marts!D61+April!D60+Maj!D61+Juni!D60+Juli!D61</f>
        <v>7</v>
      </c>
      <c r="X35" s="159"/>
      <c r="Y35" s="258" t="s">
        <v>169</v>
      </c>
      <c r="Z35" s="259"/>
      <c r="AA35" s="259"/>
      <c r="AB35" s="259"/>
      <c r="AC35" s="260"/>
      <c r="AD35" s="259"/>
      <c r="AE35" s="261">
        <f>August!D63+September!D61+Oktober!D62+November!D61+December!D62+Januar!D62+Februar!D59+Marts!D62+April!D61+Maj!D62+Juni!D61+Juli!D62</f>
        <v>25</v>
      </c>
      <c r="AF35" s="159"/>
      <c r="AG35" s="824" t="s">
        <v>172</v>
      </c>
      <c r="AH35" s="825"/>
      <c r="AI35" s="825"/>
      <c r="AJ35" s="825"/>
      <c r="AK35" s="826"/>
      <c r="AL35" s="825"/>
      <c r="AM35" s="827">
        <f>August!D64+September!D62+Oktober!D63+November!D62+December!D63+Januar!D63+Februar!D60+Marts!D63+April!D62+Maj!D63+Juni!D62+Juli!D63</f>
        <v>23</v>
      </c>
      <c r="AP35" s="304" t="s">
        <v>187</v>
      </c>
      <c r="AQ35" s="302"/>
      <c r="AR35" s="302"/>
      <c r="AS35" s="302"/>
      <c r="AT35" s="303"/>
      <c r="AU35" s="302"/>
      <c r="AV35" s="819">
        <f>August!D65+September!D64+Oktober!D65+November!D64+December!D65+Januar!D65+Februar!D62+Marts!D65+April!D64+Maj!D65+Juni!D64+Juli!D65</f>
        <v>0</v>
      </c>
    </row>
    <row r="36" spans="1:48" ht="13" thickBot="1"/>
    <row r="37" spans="1:48" ht="24" customHeight="1" thickBot="1">
      <c r="A37" s="162" t="s">
        <v>102</v>
      </c>
      <c r="B37" s="160"/>
      <c r="C37" s="160"/>
      <c r="D37" s="164"/>
      <c r="E37" s="161"/>
      <c r="F37" s="160"/>
      <c r="G37" s="249">
        <f>August!G77+September!G75+Oktober!G76+November!G75+December!G76+Januar!G76+Februar!G73+Marts!G76+April!G75+Maj!G76+Juni!G75+Juli!G76</f>
        <v>170</v>
      </c>
      <c r="I37" s="264" t="s">
        <v>170</v>
      </c>
      <c r="J37" s="265"/>
      <c r="K37" s="265"/>
      <c r="L37" s="265"/>
      <c r="M37" s="266"/>
      <c r="N37" s="265"/>
      <c r="O37" s="293">
        <f>August!D58+September!D56+Oktober!D57+November!D56+December!D57+Januar!D57+Februar!D54+Marts!D57+April!D56+Maj!D57+Juni!D56+Juli!D57</f>
        <v>22</v>
      </c>
      <c r="Q37" s="262" t="s">
        <v>171</v>
      </c>
      <c r="R37" s="263"/>
      <c r="S37" s="263"/>
      <c r="T37" s="263"/>
      <c r="U37" s="267"/>
      <c r="V37" s="263"/>
      <c r="W37" s="268">
        <f>August!D59+September!D57+Oktober!D58+November!D57+December!D58+Januar!D58+Februar!D55+Marts!D58+April!D57+Maj!D58+Juni!D57+Juli!D58</f>
        <v>8</v>
      </c>
      <c r="Y37" s="269" t="s">
        <v>173</v>
      </c>
      <c r="Z37" s="270"/>
      <c r="AA37" s="270"/>
      <c r="AB37" s="270"/>
      <c r="AC37" s="271"/>
      <c r="AD37" s="270"/>
      <c r="AE37" s="272">
        <f>August!D60+September!D58+Oktober!D59+November!D58+December!D59+Januar!D59+Februar!D56+Marts!D59+April!D58+Maj!D59+Juni!D58+Juli!D59</f>
        <v>7</v>
      </c>
      <c r="AG37" s="278" t="s">
        <v>503</v>
      </c>
      <c r="AH37" s="279"/>
      <c r="AI37" s="279"/>
      <c r="AJ37" s="279"/>
      <c r="AK37" s="280"/>
      <c r="AL37" s="279"/>
      <c r="AM37" s="281">
        <f>G37+O37+W37</f>
        <v>200</v>
      </c>
      <c r="AP37" s="786" t="s">
        <v>509</v>
      </c>
      <c r="AQ37" s="787"/>
      <c r="AR37" s="787"/>
      <c r="AS37" s="787"/>
      <c r="AT37" s="788"/>
      <c r="AU37" s="787"/>
      <c r="AV37" s="789">
        <f>August!D66+September!D63+Oktober!D64+November!D63+December!D64+Januar!D64+Februar!D61+Marts!D64+April!D63+Maj!D64+Juni!D63+Juli!D64</f>
        <v>0</v>
      </c>
    </row>
  </sheetData>
  <sheetProtection sheet="1" formatCells="0" formatColumns="0" formatRows="0" insertColumns="0"/>
  <phoneticPr fontId="5" type="noConversion"/>
  <printOptions horizontalCentered="1" verticalCentered="1"/>
  <pageMargins left="0.19685039370078741" right="0.19685039370078741" top="0.39370078740157483" bottom="0.39370078740157483" header="0" footer="0"/>
  <pageSetup paperSize="9" scale="37" orientation="portrait" horizontalDpi="4294967292" verticalDpi="4294967292"/>
  <ignoredErrors>
    <ignoredError sqref="A4:B32 A33:B33 O33 AB33 AA33 P33:R33 AF33:AJ33 X33:Z33 AC33:AD33 T33:V33 AQ33:AR33 AA32 A3:B3 D3:F3 D4:F32 D33:J33 H3:J3 H4:J32 L3:N3 L33:N33 L4:N32"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68" id="{D54F4020-584C-4F4A-A11D-2CCC77621B47}">
            <xm:f>OR(August!$C10="Ikke relevant")</xm:f>
            <x14:dxf>
              <font>
                <color theme="0"/>
              </font>
              <fill>
                <patternFill>
                  <bgColor theme="1"/>
                </patternFill>
              </fill>
            </x14:dxf>
          </x14:cfRule>
          <x14:cfRule type="expression" priority="199" id="{EAC82C95-1DEB-E64D-81BF-C87ED2E9AF0F}">
            <xm:f>OR(August!$C10="weekend")</xm:f>
            <x14:dxf>
              <font>
                <color theme="1"/>
              </font>
              <fill>
                <patternFill>
                  <bgColor theme="0" tint="-0.14996795556505021"/>
                </patternFill>
              </fill>
            </x14:dxf>
          </x14:cfRule>
          <xm:sqref>A3:D33</xm:sqref>
        </x14:conditionalFormatting>
        <x14:conditionalFormatting xmlns:xm="http://schemas.microsoft.com/office/excel/2006/main">
          <x14:cfRule type="expression" priority="198" id="{9C74EDFC-6C3D-4748-BD87-F32A20D4629E}">
            <xm:f>OR(August!$C10="feriedag")</xm:f>
            <x14:dxf>
              <font>
                <color theme="1"/>
              </font>
              <fill>
                <patternFill>
                  <bgColor theme="6" tint="0.39994506668294322"/>
                </patternFill>
              </fill>
            </x14:dxf>
          </x14:cfRule>
          <xm:sqref>A3:D33</xm:sqref>
        </x14:conditionalFormatting>
        <x14:conditionalFormatting xmlns:xm="http://schemas.microsoft.com/office/excel/2006/main">
          <x14:cfRule type="expression" priority="197" id="{058D7F2D-609A-1448-A8C4-F8D1C6547438}">
            <xm:f>OR(August!$C10="fagdag")</xm:f>
            <x14:dxf>
              <font>
                <color theme="1"/>
              </font>
              <fill>
                <patternFill>
                  <bgColor theme="9" tint="0.59996337778862885"/>
                </patternFill>
              </fill>
            </x14:dxf>
          </x14:cfRule>
          <xm:sqref>A3:D33</xm:sqref>
        </x14:conditionalFormatting>
        <x14:conditionalFormatting xmlns:xm="http://schemas.microsoft.com/office/excel/2006/main">
          <x14:cfRule type="expression" priority="196" id="{36471A8C-38C8-864D-80A0-417376D2D0CB}">
            <xm:f>OR(August!$C10="emnedag")</xm:f>
            <x14:dxf>
              <font>
                <color theme="1"/>
              </font>
              <fill>
                <patternFill>
                  <bgColor theme="5" tint="0.59996337778862885"/>
                </patternFill>
              </fill>
            </x14:dxf>
          </x14:cfRule>
          <xm:sqref>A3:D33</xm:sqref>
        </x14:conditionalFormatting>
        <x14:conditionalFormatting xmlns:xm="http://schemas.microsoft.com/office/excel/2006/main">
          <x14:cfRule type="expression" priority="193" id="{78B80DDE-7CA5-2D41-8B78-5F17E19A9795}">
            <xm:f>OR(August!$C10="Nul-dag")</xm:f>
            <x14:dxf>
              <font>
                <color theme="1"/>
              </font>
              <fill>
                <patternFill>
                  <bgColor theme="5" tint="0.79998168889431442"/>
                </patternFill>
              </fill>
            </x14:dxf>
          </x14:cfRule>
          <x14:cfRule type="expression" priority="194" id="{F64A6795-1CA1-934D-9945-114DD9BD0BC6}">
            <xm:f>OR(August!$C10="ekskursion")</xm:f>
            <x14:dxf>
              <font>
                <color theme="1"/>
              </font>
              <fill>
                <patternFill>
                  <bgColor rgb="FFFFFF00"/>
                </patternFill>
              </fill>
            </x14:dxf>
          </x14:cfRule>
          <x14:cfRule type="expression" priority="195" id="{FED3E8BE-7925-F74E-9860-2990D79E0BAC}">
            <xm:f>OR(August!$C10="lejrskole")</xm:f>
            <x14:dxf>
              <font>
                <color theme="1"/>
              </font>
              <fill>
                <patternFill>
                  <bgColor theme="8" tint="0.59996337778862885"/>
                </patternFill>
              </fill>
            </x14:dxf>
          </x14:cfRule>
          <xm:sqref>A3:D33</xm:sqref>
        </x14:conditionalFormatting>
        <x14:conditionalFormatting xmlns:xm="http://schemas.microsoft.com/office/excel/2006/main">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m:sqref>A3:D33</xm:sqref>
        </x14:conditionalFormatting>
        <x14:conditionalFormatting xmlns:xm="http://schemas.microsoft.com/office/excel/2006/main">
          <x14:cfRule type="expression" priority="12" id="{FAF1E807-6E02-3A42-B546-AE75E1CBB7D4}">
            <xm:f>OR(August!$C10="Orlov")</xm:f>
            <x14:dxf>
              <font>
                <color theme="0"/>
              </font>
              <fill>
                <patternFill patternType="solid">
                  <bgColor theme="6" tint="-0.24994659260841701"/>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189" id="{077259EC-C35A-AF4C-81A6-6D49EBF5F89B}">
            <xm:f>OR(August!$C10="Skema 4")</xm:f>
            <x14:dxf>
              <font>
                <color theme="0"/>
              </font>
              <fill>
                <patternFill patternType="solid">
                  <bgColor theme="4" tint="-0.24994659260841701"/>
                </patternFill>
              </fill>
            </x14:dxf>
          </x14:cfRule>
          <xm:sqref>A3:D33</xm:sqref>
        </x14:conditionalFormatting>
        <x14:conditionalFormatting xmlns:xm="http://schemas.microsoft.com/office/excel/2006/main">
          <x14:cfRule type="expression" priority="67" id="{89D9A635-C435-6143-81F0-E9D9F1C60EE9}">
            <xm:f>OR(September!$C9="Ikke relevant")</xm:f>
            <x14:dxf>
              <font>
                <color theme="0"/>
              </font>
              <fill>
                <patternFill>
                  <bgColor theme="1"/>
                </patternFill>
              </fill>
            </x14:dxf>
          </x14:cfRule>
          <x14:cfRule type="expression" priority="188" id="{29E09A26-FB0F-0443-B551-BDA241490133}">
            <xm:f>OR(September!$C9="weekend")</xm:f>
            <x14:dxf>
              <font>
                <color theme="1"/>
              </font>
              <fill>
                <patternFill>
                  <bgColor theme="0" tint="-0.14996795556505021"/>
                </patternFill>
              </fill>
            </x14:dxf>
          </x14:cfRule>
          <xm:sqref>E3:H32</xm:sqref>
        </x14:conditionalFormatting>
        <x14:conditionalFormatting xmlns:xm="http://schemas.microsoft.com/office/excel/2006/main">
          <x14:cfRule type="expression" priority="187" id="{D2256339-C701-0B40-90E8-09A22AB6A246}">
            <xm:f>OR(September!$C9="feriedag")</xm:f>
            <x14:dxf>
              <font>
                <color theme="1"/>
              </font>
              <fill>
                <patternFill>
                  <bgColor theme="6" tint="0.39994506668294322"/>
                </patternFill>
              </fill>
            </x14:dxf>
          </x14:cfRule>
          <xm:sqref>E3:H32</xm:sqref>
        </x14:conditionalFormatting>
        <x14:conditionalFormatting xmlns:xm="http://schemas.microsoft.com/office/excel/2006/main">
          <x14:cfRule type="expression" priority="186" id="{F1756DC2-4A57-AE42-BFC0-7ADBC9D513D4}">
            <xm:f>OR(September!$C9="fagdag")</xm:f>
            <x14:dxf>
              <font>
                <color theme="1"/>
              </font>
              <fill>
                <patternFill>
                  <bgColor theme="9" tint="0.59996337778862885"/>
                </patternFill>
              </fill>
            </x14:dxf>
          </x14:cfRule>
          <xm:sqref>E3:H32</xm:sqref>
        </x14:conditionalFormatting>
        <x14:conditionalFormatting xmlns:xm="http://schemas.microsoft.com/office/excel/2006/main">
          <x14:cfRule type="expression" priority="185" id="{A8DC2A39-5DF7-7547-A7CC-5A375AF908F2}">
            <xm:f>OR(September!$C9="emnedag")</xm:f>
            <x14:dxf>
              <font>
                <color theme="1"/>
              </font>
              <fill>
                <patternFill>
                  <bgColor theme="5" tint="0.59996337778862885"/>
                </patternFill>
              </fill>
            </x14:dxf>
          </x14:cfRule>
          <xm:sqref>E3:H32</xm:sqref>
        </x14:conditionalFormatting>
        <x14:conditionalFormatting xmlns:xm="http://schemas.microsoft.com/office/excel/2006/main">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184" id="{DD375EBA-8778-7248-B014-1EA8A978E0DD}">
            <xm:f>OR(September!$C9="lejrskole")</xm:f>
            <x14:dxf>
              <font>
                <color theme="1"/>
              </font>
              <fill>
                <patternFill>
                  <bgColor theme="8" tint="0.59996337778862885"/>
                </patternFill>
              </fill>
            </x14:dxf>
          </x14:cfRule>
          <xm:sqref>E3:H32</xm:sqref>
        </x14:conditionalFormatting>
        <x14:conditionalFormatting xmlns:xm="http://schemas.microsoft.com/office/excel/2006/main">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m:sqref>E3:H32</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51" id="{51825B60-F422-324F-98D2-3163CF25179E}">
            <xm:f>OR(September!$C9="Skema 1")</xm:f>
            <x14:dxf>
              <font>
                <color theme="1"/>
              </font>
              <fill>
                <patternFill patternType="solid">
                  <bgColor theme="4" tint="0.7999816888943144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179" id="{B8F3C9F7-998F-C244-87C3-199A0A4DEFE9}">
            <xm:f>OR(September!$C9="Skema 4")</xm:f>
            <x14:dxf>
              <font>
                <color theme="0"/>
              </font>
              <fill>
                <patternFill patternType="solid">
                  <bgColor theme="4" tint="-0.24994659260841701"/>
                </patternFill>
              </fill>
            </x14:dxf>
          </x14:cfRule>
          <xm:sqref>E3:H32</xm:sqref>
        </x14:conditionalFormatting>
        <x14:conditionalFormatting xmlns:xm="http://schemas.microsoft.com/office/excel/2006/main">
          <x14:cfRule type="expression" priority="66" id="{EC7C1A1C-3AF3-F544-8D07-6D717F350043}">
            <xm:f>OR(Oktober!$C9="Ikke relevant")</xm:f>
            <x14:dxf>
              <font>
                <color theme="0"/>
              </font>
              <fill>
                <patternFill>
                  <bgColor theme="1"/>
                </patternFill>
              </fill>
            </x14:dxf>
          </x14:cfRule>
          <x14:cfRule type="expression" priority="178" id="{E1639A83-F4B8-2845-907E-32FCD6B3CF80}">
            <xm:f>OR(Oktober!$C9="weekend")</xm:f>
            <x14:dxf>
              <font>
                <color theme="1"/>
              </font>
              <fill>
                <patternFill>
                  <bgColor theme="0" tint="-0.14996795556505021"/>
                </patternFill>
              </fill>
            </x14:dxf>
          </x14:cfRule>
          <xm:sqref>I3:L33</xm:sqref>
        </x14:conditionalFormatting>
        <x14:conditionalFormatting xmlns:xm="http://schemas.microsoft.com/office/excel/2006/main">
          <x14:cfRule type="expression" priority="177" id="{FF01C623-7FCE-2348-A4D0-6FF5D07B990D}">
            <xm:f>OR(Oktober!$C9="feriedag")</xm:f>
            <x14:dxf>
              <font>
                <color theme="1"/>
              </font>
              <fill>
                <patternFill>
                  <bgColor theme="6" tint="0.39994506668294322"/>
                </patternFill>
              </fill>
            </x14:dxf>
          </x14:cfRule>
          <xm:sqref>I3:L33</xm:sqref>
        </x14:conditionalFormatting>
        <x14:conditionalFormatting xmlns:xm="http://schemas.microsoft.com/office/excel/2006/main">
          <x14:cfRule type="expression" priority="176" id="{CFD95E66-C484-BA40-AF6D-6B5CEF57C21D}">
            <xm:f>OR(Oktober!$C9="fagdag")</xm:f>
            <x14:dxf>
              <font>
                <color theme="1"/>
              </font>
              <fill>
                <patternFill>
                  <bgColor theme="9" tint="0.59996337778862885"/>
                </patternFill>
              </fill>
            </x14:dxf>
          </x14:cfRule>
          <xm:sqref>I3:L33</xm:sqref>
        </x14:conditionalFormatting>
        <x14:conditionalFormatting xmlns:xm="http://schemas.microsoft.com/office/excel/2006/main">
          <x14:cfRule type="expression" priority="175" id="{FF4978AD-B290-5741-A70F-B60A05D2EB27}">
            <xm:f>OR(Oktober!$C9="emnedag")</xm:f>
            <x14:dxf>
              <font>
                <color theme="1"/>
              </font>
              <fill>
                <patternFill>
                  <bgColor theme="5" tint="0.59996337778862885"/>
                </patternFill>
              </fill>
            </x14:dxf>
          </x14:cfRule>
          <xm:sqref>I3:L33</xm:sqref>
        </x14:conditionalFormatting>
        <x14:conditionalFormatting xmlns:xm="http://schemas.microsoft.com/office/excel/2006/main">
          <x14:cfRule type="expression" priority="172" id="{B4EA3747-3D02-DF40-A295-EC50D6ECE531}">
            <xm:f>OR(Oktober!$C9="Nul-dag")</xm:f>
            <x14:dxf>
              <font>
                <color theme="1"/>
              </font>
              <fill>
                <patternFill>
                  <bgColor theme="5" tint="0.79998168889431442"/>
                </patternFill>
              </fill>
            </x14:dxf>
          </x14:cfRule>
          <x14:cfRule type="expression" priority="173" id="{5A67423B-824F-0046-99A1-26018D7A77A6}">
            <xm:f>OR(Oktober!$C9="ekskursion")</xm:f>
            <x14:dxf>
              <font>
                <color theme="1"/>
              </font>
              <fill>
                <patternFill>
                  <bgColor rgb="FFFFFF00"/>
                </patternFill>
              </fill>
            </x14:dxf>
          </x14:cfRule>
          <x14:cfRule type="expression" priority="174" id="{1678772D-04D0-6F4C-BE47-2D5AB0C3D32A}">
            <xm:f>OR(Oktober!$C9="lejrskole")</xm:f>
            <x14:dxf>
              <font>
                <color theme="1"/>
              </font>
              <fill>
                <patternFill>
                  <bgColor theme="8" tint="0.59996337778862885"/>
                </patternFill>
              </fill>
            </x14:dxf>
          </x14:cfRule>
          <xm:sqref>I3:L33</xm:sqref>
        </x14:conditionalFormatting>
        <x14:conditionalFormatting xmlns:xm="http://schemas.microsoft.com/office/excel/2006/main">
          <x14:cfRule type="expression" priority="170" id="{416C88E3-7C07-1C40-8A6E-EB05DEB1D5C0}">
            <xm:f>OR(Oktober!$C9="pæd.dag")</xm:f>
            <x14:dxf>
              <font>
                <color theme="1"/>
              </font>
              <fill>
                <patternFill>
                  <bgColor theme="7" tint="0.39994506668294322"/>
                </patternFill>
              </fill>
            </x14:dxf>
          </x14:cfRule>
          <x14:cfRule type="expression" priority="171" id="{2C69A2BB-2C8D-524C-B256-3938A3C928BA}">
            <xm:f>OR(Oktober!$C9="SH-dag")</xm:f>
            <x14:dxf>
              <font>
                <color theme="1"/>
              </font>
              <fill>
                <patternFill>
                  <bgColor rgb="FFFF2F82"/>
                </patternFill>
              </fill>
            </x14:dxf>
          </x14:cfRule>
          <xm:sqref>I3:L33</xm:sqref>
        </x14:conditionalFormatting>
        <x14:conditionalFormatting xmlns:xm="http://schemas.microsoft.com/office/excel/2006/main">
          <x14:cfRule type="expression" priority="10" id="{0CD9A79C-09EE-5B4E-A334-21B06E5D99B0}">
            <xm:f>OR(Oktober!$C9="Orlov")</xm:f>
            <x14:dxf>
              <font>
                <color theme="0"/>
              </font>
              <fill>
                <patternFill patternType="solid">
                  <bgColor theme="6" tint="-0.24994659260841701"/>
                </patternFill>
              </fill>
            </x14:dxf>
          </x14:cfRule>
          <x14:cfRule type="expression" priority="48" id="{D2A82101-0282-1440-84BB-37288BCC512B}">
            <xm:f>OR(Oktober!$C9="Skema 1")</xm:f>
            <x14:dxf>
              <font>
                <color theme="1"/>
              </font>
              <fill>
                <patternFill patternType="solid">
                  <bgColor theme="4" tint="0.7999816888943144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m:sqref>I3:L33</xm:sqref>
        </x14:conditionalFormatting>
        <x14:conditionalFormatting xmlns:xm="http://schemas.microsoft.com/office/excel/2006/main">
          <x14:cfRule type="expression" priority="65" id="{3C3A3E5B-F2DB-794B-8096-B2E084FDD694}">
            <xm:f>OR(November!$C9="Ikke relevant")</xm:f>
            <x14:dxf>
              <font>
                <color theme="0"/>
              </font>
              <fill>
                <patternFill>
                  <bgColor theme="1"/>
                </patternFill>
              </fill>
            </x14:dxf>
          </x14:cfRule>
          <x14:cfRule type="expression" priority="168" id="{1733BEBF-2A6A-1240-B283-14C17CBC157E}">
            <xm:f>OR(November!$C9="weekend")</xm:f>
            <x14:dxf>
              <font>
                <color theme="1"/>
              </font>
              <fill>
                <patternFill>
                  <bgColor theme="0" tint="-0.14996795556505021"/>
                </patternFill>
              </fill>
            </x14:dxf>
          </x14:cfRule>
          <xm:sqref>M3:P32</xm:sqref>
        </x14:conditionalFormatting>
        <x14:conditionalFormatting xmlns:xm="http://schemas.microsoft.com/office/excel/2006/main">
          <x14:cfRule type="expression" priority="167" id="{507C5FA8-DA44-A544-9D6D-AB1443CFFB8B}">
            <xm:f>OR(November!$C9="feriedag")</xm:f>
            <x14:dxf>
              <font>
                <color theme="1"/>
              </font>
              <fill>
                <patternFill>
                  <bgColor theme="6" tint="0.39994506668294322"/>
                </patternFill>
              </fill>
            </x14:dxf>
          </x14:cfRule>
          <xm:sqref>M3:P32</xm:sqref>
        </x14:conditionalFormatting>
        <x14:conditionalFormatting xmlns:xm="http://schemas.microsoft.com/office/excel/2006/main">
          <x14:cfRule type="expression" priority="166" id="{F6B49FAC-4F3E-C642-803B-241976846A77}">
            <xm:f>OR(November!$C9="fagdag")</xm:f>
            <x14:dxf>
              <font>
                <color theme="1"/>
              </font>
              <fill>
                <patternFill>
                  <bgColor theme="9" tint="0.59996337778862885"/>
                </patternFill>
              </fill>
            </x14:dxf>
          </x14:cfRule>
          <xm:sqref>M3:P32</xm:sqref>
        </x14:conditionalFormatting>
        <x14:conditionalFormatting xmlns:xm="http://schemas.microsoft.com/office/excel/2006/main">
          <x14:cfRule type="expression" priority="165" id="{6715507C-9DD3-2E46-BB7A-3B99CCDBD5A3}">
            <xm:f>OR(November!$C9="emnedag")</xm:f>
            <x14:dxf>
              <font>
                <color theme="1"/>
              </font>
              <fill>
                <patternFill>
                  <bgColor theme="5" tint="0.59996337778862885"/>
                </patternFill>
              </fill>
            </x14:dxf>
          </x14:cfRule>
          <xm:sqref>M3:P32</xm:sqref>
        </x14:conditionalFormatting>
        <x14:conditionalFormatting xmlns:xm="http://schemas.microsoft.com/office/excel/2006/main">
          <x14:cfRule type="expression" priority="162" id="{ADB29B3B-7DFC-954A-952B-16B2EBBF50F3}">
            <xm:f>OR(November!$C9="Nul-dag")</xm:f>
            <x14:dxf>
              <font>
                <color theme="1"/>
              </font>
              <fill>
                <patternFill>
                  <bgColor theme="5" tint="0.79998168889431442"/>
                </patternFill>
              </fill>
            </x14:dxf>
          </x14:cfRule>
          <x14:cfRule type="expression" priority="163" id="{2B2CBB1B-5899-C743-B81E-1B77E4EC89F0}">
            <xm:f>OR(November!$C9="ekskursion")</xm:f>
            <x14:dxf>
              <font>
                <color theme="1"/>
              </font>
              <fill>
                <patternFill>
                  <bgColor rgb="FFFFFF00"/>
                </patternFill>
              </fill>
            </x14:dxf>
          </x14:cfRule>
          <x14:cfRule type="expression" priority="164" id="{EB00411D-3D3E-B14E-9FB0-028C04B8E895}">
            <xm:f>OR(November!$C9="lejrskole")</xm:f>
            <x14:dxf>
              <font>
                <color theme="1"/>
              </font>
              <fill>
                <patternFill>
                  <bgColor theme="8" tint="0.59996337778862885"/>
                </patternFill>
              </fill>
            </x14:dxf>
          </x14:cfRule>
          <xm:sqref>M3:P32</xm:sqref>
        </x14:conditionalFormatting>
        <x14:conditionalFormatting xmlns:xm="http://schemas.microsoft.com/office/excel/2006/main">
          <x14:cfRule type="expression" priority="160" id="{735BD466-F98F-564F-A01F-8F488CFA3B6A}">
            <xm:f>OR(November!$C9="pæd.dag")</xm:f>
            <x14:dxf>
              <font>
                <color theme="1"/>
              </font>
              <fill>
                <patternFill>
                  <bgColor theme="7" tint="0.39994506668294322"/>
                </patternFill>
              </fill>
            </x14:dxf>
          </x14:cfRule>
          <x14:cfRule type="expression" priority="161" id="{8D40A667-829F-1048-97C9-0994C9651BB7}">
            <xm:f>OR(November!$C9="SH-dag")</xm:f>
            <x14:dxf>
              <font>
                <color theme="1"/>
              </font>
              <fill>
                <patternFill>
                  <bgColor rgb="FFFF2F82"/>
                </patternFill>
              </fill>
            </x14:dxf>
          </x14:cfRule>
          <xm:sqref>M3:P32</xm:sqref>
        </x14:conditionalFormatting>
        <x14:conditionalFormatting xmlns:xm="http://schemas.microsoft.com/office/excel/2006/main">
          <x14:cfRule type="expression" priority="9" id="{920751DC-B5ED-8E42-85C0-1EBF9D44AE06}">
            <xm:f>OR(November!$C9="Orlov")</xm:f>
            <x14:dxf>
              <font>
                <color theme="0"/>
              </font>
              <fill>
                <patternFill patternType="solid">
                  <bgColor theme="6" tint="-0.24994659260841701"/>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7" id="{0BDEE963-9A0D-5E41-8970-E31D34A4B4EB}">
            <xm:f>OR(November!$C9="Skema 3")</xm:f>
            <x14:dxf>
              <font>
                <color theme="0"/>
              </font>
              <fill>
                <patternFill patternType="solid">
                  <bgColor theme="4"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m:sqref>M3:P32</xm:sqref>
        </x14:conditionalFormatting>
        <x14:conditionalFormatting xmlns:xm="http://schemas.microsoft.com/office/excel/2006/main">
          <x14:cfRule type="expression" priority="64" id="{405E5FE5-D39A-3344-9D26-9E2F9DB15E52}">
            <xm:f>OR(December!$C9="Ikke relevant")</xm:f>
            <x14:dxf>
              <font>
                <color theme="0"/>
              </font>
              <fill>
                <patternFill>
                  <bgColor theme="1"/>
                </patternFill>
              </fill>
            </x14:dxf>
          </x14:cfRule>
          <x14:cfRule type="expression" priority="158" id="{F7514658-5343-0949-8ABE-37D3ED0E34E0}">
            <xm:f>OR(December!$C9="weekend")</xm:f>
            <x14:dxf>
              <font>
                <color theme="1"/>
              </font>
              <fill>
                <patternFill>
                  <bgColor theme="0" tint="-0.14996795556505021"/>
                </patternFill>
              </fill>
            </x14:dxf>
          </x14:cfRule>
          <xm:sqref>Q3:T33</xm:sqref>
        </x14:conditionalFormatting>
        <x14:conditionalFormatting xmlns:xm="http://schemas.microsoft.com/office/excel/2006/main">
          <x14:cfRule type="expression" priority="157" id="{CAC250A0-A36F-E146-86F8-81B47A7641A1}">
            <xm:f>OR(December!$C9="feriedag")</xm:f>
            <x14:dxf>
              <font>
                <color theme="1"/>
              </font>
              <fill>
                <patternFill>
                  <bgColor theme="6" tint="0.39994506668294322"/>
                </patternFill>
              </fill>
            </x14:dxf>
          </x14:cfRule>
          <xm:sqref>Q3:T33</xm:sqref>
        </x14:conditionalFormatting>
        <x14:conditionalFormatting xmlns:xm="http://schemas.microsoft.com/office/excel/2006/main">
          <x14:cfRule type="expression" priority="156" id="{BABE8628-6A33-0549-9598-A54691F4778E}">
            <xm:f>OR(December!$C9="fagdag")</xm:f>
            <x14:dxf>
              <font>
                <color theme="1"/>
              </font>
              <fill>
                <patternFill>
                  <bgColor theme="9" tint="0.59996337778862885"/>
                </patternFill>
              </fill>
            </x14:dxf>
          </x14:cfRule>
          <xm:sqref>Q3:T33</xm:sqref>
        </x14:conditionalFormatting>
        <x14:conditionalFormatting xmlns:xm="http://schemas.microsoft.com/office/excel/2006/main">
          <x14:cfRule type="expression" priority="155" id="{5953742D-E53E-4A4D-B732-C7668FE8C524}">
            <xm:f>OR(December!$C9="emnedag")</xm:f>
            <x14:dxf>
              <font>
                <color theme="1"/>
              </font>
              <fill>
                <patternFill>
                  <bgColor theme="5" tint="0.59996337778862885"/>
                </patternFill>
              </fill>
            </x14:dxf>
          </x14:cfRule>
          <xm:sqref>Q3:T33</xm:sqref>
        </x14:conditionalFormatting>
        <x14:conditionalFormatting xmlns:xm="http://schemas.microsoft.com/office/excel/2006/main">
          <x14:cfRule type="expression" priority="152" id="{F9882835-81C8-A249-A3AA-3D9BBE413360}">
            <xm:f>OR(December!$C9="Nul-dag")</xm:f>
            <x14:dxf>
              <font>
                <color theme="1"/>
              </font>
              <fill>
                <patternFill>
                  <bgColor theme="5" tint="0.79998168889431442"/>
                </patternFill>
              </fill>
            </x14:dxf>
          </x14:cfRule>
          <x14:cfRule type="expression" priority="153" id="{D8447A37-3A50-0642-9B5F-43C01AFAA06C}">
            <xm:f>OR(December!$C9="ekskursion")</xm:f>
            <x14:dxf>
              <font>
                <color theme="1"/>
              </font>
              <fill>
                <patternFill>
                  <bgColor rgb="FFFFFF00"/>
                </patternFill>
              </fill>
            </x14:dxf>
          </x14:cfRule>
          <x14:cfRule type="expression" priority="154" id="{B1921E4A-CF0B-4D4D-8487-6E07254F5244}">
            <xm:f>OR(December!$C9="lejrskole")</xm:f>
            <x14:dxf>
              <font>
                <color theme="1"/>
              </font>
              <fill>
                <patternFill>
                  <bgColor theme="8" tint="0.59996337778862885"/>
                </patternFill>
              </fill>
            </x14:dxf>
          </x14:cfRule>
          <xm:sqref>Q3:T33</xm:sqref>
        </x14:conditionalFormatting>
        <x14:conditionalFormatting xmlns:xm="http://schemas.microsoft.com/office/excel/2006/main">
          <x14:cfRule type="expression" priority="150" id="{5606980E-44C4-6B43-8A7B-9A72C844ACB8}">
            <xm:f>OR(December!$C9="pæd.dag")</xm:f>
            <x14:dxf>
              <font>
                <color theme="1"/>
              </font>
              <fill>
                <patternFill>
                  <bgColor theme="7" tint="0.39994506668294322"/>
                </patternFill>
              </fill>
            </x14:dxf>
          </x14:cfRule>
          <x14:cfRule type="expression" priority="151" id="{01D47AC0-1680-A64A-BBAC-511097CCF740}">
            <xm:f>OR(December!$C9="SH-dag")</xm:f>
            <x14:dxf>
              <font>
                <color theme="1"/>
              </font>
              <fill>
                <patternFill>
                  <bgColor rgb="FFFF2F82"/>
                </patternFill>
              </fill>
            </x14:dxf>
          </x14:cfRule>
          <xm:sqref>Q3:T33</xm:sqref>
        </x14:conditionalFormatting>
        <x14:conditionalFormatting xmlns:xm="http://schemas.microsoft.com/office/excel/2006/main">
          <x14:cfRule type="expression" priority="8" id="{B793D4F9-B298-E949-8F2C-9EDE46443D32}">
            <xm:f>OR(December!$C9="Orlov")</xm:f>
            <x14:dxf>
              <font>
                <color theme="0"/>
              </font>
              <fill>
                <patternFill patternType="solid">
                  <bgColor theme="6"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14:cfRule type="expression" priority="149" id="{D7EB46A5-562B-9640-9009-6529BCEB5A50}">
            <xm:f>OR(December!$C9="Skema 4")</xm:f>
            <x14:dxf>
              <font>
                <color theme="0"/>
              </font>
              <fill>
                <patternFill patternType="solid">
                  <bgColor theme="4" tint="-0.24994659260841701"/>
                </patternFill>
              </fill>
            </x14:dxf>
          </x14:cfRule>
          <xm:sqref>Q3:T33</xm:sqref>
        </x14:conditionalFormatting>
        <x14:conditionalFormatting xmlns:xm="http://schemas.microsoft.com/office/excel/2006/main">
          <x14:cfRule type="expression" priority="63" id="{79BD02DB-3F90-9142-941C-51992FDF22FD}">
            <xm:f>OR(Januar!$C9="Ikke relevant")</xm:f>
            <x14:dxf>
              <font>
                <color theme="0"/>
              </font>
              <fill>
                <patternFill>
                  <bgColor theme="1"/>
                </patternFill>
              </fill>
            </x14:dxf>
          </x14:cfRule>
          <x14:cfRule type="expression" priority="148" id="{F767FC14-4689-1142-A161-0B4FBDE15605}">
            <xm:f>OR(Januar!$C9="weekend")</xm:f>
            <x14:dxf>
              <font>
                <color theme="1"/>
              </font>
              <fill>
                <patternFill>
                  <bgColor theme="0" tint="-0.14996795556505021"/>
                </patternFill>
              </fill>
            </x14:dxf>
          </x14:cfRule>
          <xm:sqref>U3:X33</xm:sqref>
        </x14:conditionalFormatting>
        <x14:conditionalFormatting xmlns:xm="http://schemas.microsoft.com/office/excel/2006/main">
          <x14:cfRule type="expression" priority="147" id="{8EF1BF28-7BBA-5344-9A85-C351C2F12A46}">
            <xm:f>OR(Januar!$C9="feriedag")</xm:f>
            <x14:dxf>
              <font>
                <color theme="1"/>
              </font>
              <fill>
                <patternFill>
                  <bgColor theme="6" tint="0.39994506668294322"/>
                </patternFill>
              </fill>
            </x14:dxf>
          </x14:cfRule>
          <xm:sqref>U3:X33</xm:sqref>
        </x14:conditionalFormatting>
        <x14:conditionalFormatting xmlns:xm="http://schemas.microsoft.com/office/excel/2006/main">
          <x14:cfRule type="expression" priority="146" id="{D6E1BBEC-187A-244C-BBB5-EA65E4343198}">
            <xm:f>OR(Januar!$C9="fagdag")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145" id="{3A7325B9-8392-9847-BD92-5909CF10E04D}">
            <xm:f>OR(Januar!$C9="emnedag")</xm:f>
            <x14:dxf>
              <font>
                <color theme="1"/>
              </font>
              <fill>
                <patternFill>
                  <bgColor theme="5" tint="0.59996337778862885"/>
                </patternFill>
              </fill>
            </x14:dxf>
          </x14:cfRule>
          <xm:sqref>U3:X33</xm:sqref>
        </x14:conditionalFormatting>
        <x14:conditionalFormatting xmlns:xm="http://schemas.microsoft.com/office/excel/2006/main">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m:sqref>U3:X33</xm:sqref>
        </x14:conditionalFormatting>
        <x14:conditionalFormatting xmlns:xm="http://schemas.microsoft.com/office/excel/2006/main">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m:sqref>U3:X33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m:sqref>U3:X33</xm:sqref>
        </x14:conditionalFormatting>
        <x14:conditionalFormatting xmlns:xm="http://schemas.microsoft.com/office/excel/2006/main">
          <x14:cfRule type="expression" priority="62" id="{BC93835C-53A2-BD4E-8ECB-2FEFF77E7184}">
            <xm:f>OR(Februar!$C9="Ikke relevant")</xm:f>
            <x14:dxf>
              <font>
                <color theme="0"/>
              </font>
              <fill>
                <patternFill>
                  <bgColor theme="1"/>
                </patternFill>
              </fill>
            </x14:dxf>
          </x14:cfRule>
          <x14:cfRule type="expression" priority="138" id="{D62194EC-DBC3-E643-B356-8455BEEF11CB}">
            <xm:f>OR(Februar!$C9="weekend")</xm:f>
            <x14:dxf>
              <font>
                <color theme="1"/>
              </font>
              <fill>
                <patternFill>
                  <bgColor theme="0" tint="-0.14996795556505021"/>
                </patternFill>
              </fill>
            </x14:dxf>
          </x14:cfRule>
          <xm:sqref>Y3:AB30</xm:sqref>
        </x14:conditionalFormatting>
        <x14:conditionalFormatting xmlns:xm="http://schemas.microsoft.com/office/excel/2006/main">
          <x14:cfRule type="expression" priority="137" id="{8D0EF236-2370-BE45-B4BA-78B35CE6FB2A}">
            <xm:f>OR(Februar!$C9="feriedag")</xm:f>
            <x14:dxf>
              <font>
                <color theme="1"/>
              </font>
              <fill>
                <patternFill>
                  <bgColor theme="6" tint="0.39994506668294322"/>
                </patternFill>
              </fill>
            </x14:dxf>
          </x14:cfRule>
          <xm:sqref>Y3:AB30</xm:sqref>
        </x14:conditionalFormatting>
        <x14:conditionalFormatting xmlns:xm="http://schemas.microsoft.com/office/excel/2006/main">
          <x14:cfRule type="expression" priority="136" id="{5499E456-6CF2-DF42-BBBE-7C1B22D7FC31}">
            <xm:f>OR(Februar!$C9="fagdag")</xm:f>
            <x14:dxf>
              <font>
                <color theme="1"/>
              </font>
              <fill>
                <patternFill>
                  <bgColor theme="9" tint="0.59996337778862885"/>
                </patternFill>
              </fill>
            </x14:dxf>
          </x14:cfRule>
          <xm:sqref>Y3:AB30</xm:sqref>
        </x14:conditionalFormatting>
        <x14:conditionalFormatting xmlns:xm="http://schemas.microsoft.com/office/excel/2006/main">
          <x14:cfRule type="expression" priority="135" id="{D9AC2DC7-F273-124C-BECE-4EDC393AD917}">
            <xm:f>OR(Februar!$C9="emnedag")</xm:f>
            <x14:dxf>
              <font>
                <color theme="1"/>
              </font>
              <fill>
                <patternFill>
                  <bgColor theme="5" tint="0.59996337778862885"/>
                </patternFill>
              </fill>
            </x14:dxf>
          </x14:cfRule>
          <xm:sqref>Y3:AB30</xm:sqref>
        </x14:conditionalFormatting>
        <x14:conditionalFormatting xmlns:xm="http://schemas.microsoft.com/office/excel/2006/main">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m:sqref>Y3:AB30</xm:sqref>
        </x14:conditionalFormatting>
        <x14:conditionalFormatting xmlns:xm="http://schemas.microsoft.com/office/excel/2006/main">
          <x14:cfRule type="expression" priority="130" id="{D49DC9CD-3CF9-AA43-B3FA-9A4F4515BF0D}">
            <xm:f>OR(Februar!$C9="pæd.dag")</xm:f>
            <x14:dxf>
              <font>
                <color theme="1"/>
              </font>
              <fill>
                <patternFill>
                  <bgColor theme="7" tint="0.39994506668294322"/>
                </patternFill>
              </fill>
            </x14:dxf>
          </x14:cfRule>
          <x14:cfRule type="expression" priority="131" id="{B2971BB6-717E-C445-9A7A-06084A841112}">
            <xm:f>OR(Februar!$C9="SH-dag")</xm:f>
            <x14:dxf>
              <font>
                <color theme="1"/>
              </font>
              <fill>
                <patternFill>
                  <bgColor rgb="FFFF2F82"/>
                </patternFill>
              </fill>
            </x14:dxf>
          </x14:cfRule>
          <xm:sqref>Y3:AB30</xm:sqref>
        </x14:conditionalFormatting>
        <x14:conditionalFormatting xmlns:xm="http://schemas.microsoft.com/office/excel/2006/main">
          <x14:cfRule type="expression" priority="6" id="{EC7EDFE0-AC22-1145-8E32-09F0F8467530}">
            <xm:f>OR(Februar!$C9="Orlov")</xm:f>
            <x14:dxf>
              <font>
                <color theme="0"/>
              </font>
              <fill>
                <patternFill patternType="solid">
                  <bgColor theme="6" tint="-0.24994659260841701"/>
                </patternFill>
              </fill>
            </x14:dxf>
          </x14:cfRule>
          <x14:cfRule type="expression" priority="36" id="{FA0DD1F1-A575-F54C-B9B8-1A59F46E3693}">
            <xm:f>OR(Februar!$C9="Skema 1")</xm:f>
            <x14:dxf>
              <font>
                <color theme="1"/>
              </font>
              <fill>
                <patternFill patternType="solid">
                  <bgColor theme="4" tint="0.79998168889431442"/>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m:sqref>Y3:AB30</xm:sqref>
        </x14:conditionalFormatting>
        <x14:conditionalFormatting xmlns:xm="http://schemas.microsoft.com/office/excel/2006/main">
          <x14:cfRule type="expression" priority="5" id="{1329668A-E0BA-134B-BA16-68B55ED9CDEA}">
            <xm:f>OR(Marts!$C9="Orlov")</xm:f>
            <x14:dxf>
              <font>
                <color theme="0"/>
              </font>
              <fill>
                <patternFill>
                  <bgColor theme="6" tint="-0.24994659260841701"/>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29" id="{08C47B0C-B7CC-B445-9E97-B3FAD7E4B1F2}">
            <xm:f>OR(Marts!$C9="SH-dag")</xm:f>
            <x14:dxf>
              <font>
                <color theme="1"/>
              </font>
              <fill>
                <patternFill>
                  <bgColor rgb="FFFF2F82"/>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1" id="{F2BAE797-0E72-AB42-AF6F-09B853846949}">
            <xm:f>OR(Marts!$C9="emnedag")</xm:f>
            <x14:dxf>
              <font>
                <color theme="1"/>
              </font>
              <fill>
                <patternFill>
                  <bgColor theme="5" tint="0.59996337778862885"/>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61" id="{3D1CDA5E-D6C6-EF48-B32D-0C6C446B9E11}">
            <xm:f>OR(Marts!$C9="Ikke relevant")</xm:f>
            <x14:dxf>
              <font>
                <color theme="0"/>
              </font>
              <fill>
                <patternFill>
                  <bgColor theme="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m:sqref>AC3:AF33</xm:sqref>
        </x14:conditionalFormatting>
        <x14:conditionalFormatting xmlns:xm="http://schemas.microsoft.com/office/excel/2006/main">
          <x14:cfRule type="expression" priority="4" id="{75A0D862-4B79-DF4C-96D7-975CDE41E26E}">
            <xm:f>OR(April!$C9="Orlov")</xm:f>
            <x14:dxf>
              <font>
                <color theme="0"/>
              </font>
              <fill>
                <patternFill patternType="solid">
                  <fgColor auto="1"/>
                  <bgColor theme="6" tint="-0.2499465926084170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60" id="{13DCA5D4-CEB4-D246-9413-9A5820048ADC}">
            <xm:f>OR(April!$C9="Ikke relevant")</xm:f>
            <x14:dxf>
              <font>
                <color theme="0"/>
              </font>
              <fill>
                <patternFill>
                  <bgColor theme="1"/>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21" id="{37E8FB27-3B1A-D043-9E7D-E9627DFC82B7}">
            <xm:f>OR(April!$C9="SH-dag")</xm:f>
            <x14:dxf>
              <font>
                <color theme="1"/>
              </font>
              <fill>
                <patternFill>
                  <bgColor rgb="FFFF2F82"/>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8" id="{F73FC4B8-D7D9-F448-82F2-CE4F398A3033}">
            <xm:f>OR(April!$C9="weekend")</xm:f>
            <x14:dxf>
              <font>
                <color theme="1"/>
              </font>
              <fill>
                <patternFill>
                  <bgColor theme="0" tint="-0.14996795556505021"/>
                </patternFill>
              </fill>
            </x14:dxf>
          </x14:cfRule>
          <xm:sqref>AG3:AJ32</xm:sqref>
        </x14:conditionalFormatting>
        <x14:conditionalFormatting xmlns:xm="http://schemas.microsoft.com/office/excel/2006/main">
          <x14:cfRule type="expression" priority="117" id="{761D4B71-3465-A442-A215-C89783DDA016}">
            <xm:f>OR(April!$C9="feriedag")</xm:f>
            <x14:dxf>
              <font>
                <color theme="1"/>
              </font>
              <fill>
                <patternFill>
                  <bgColor theme="6" tint="0.39994506668294322"/>
                </patternFill>
              </fill>
            </x14:dxf>
          </x14:cfRule>
          <xm:sqref>AG3:AJ32</xm:sqref>
        </x14:conditionalFormatting>
        <x14:conditionalFormatting xmlns:xm="http://schemas.microsoft.com/office/excel/2006/main">
          <x14:cfRule type="expression" priority="116" id="{EF6AF11E-FAB5-1C49-B57E-165FDACB4B5B}">
            <xm:f>OR(April!$C9="fagdag")</xm:f>
            <x14:dxf>
              <font>
                <color theme="1"/>
              </font>
              <fill>
                <patternFill>
                  <bgColor theme="9" tint="0.59996337778862885"/>
                </patternFill>
              </fill>
            </x14:dxf>
          </x14:cfRule>
          <xm:sqref>AG3:AJ32</xm:sqref>
        </x14:conditionalFormatting>
        <x14:conditionalFormatting xmlns:xm="http://schemas.microsoft.com/office/excel/2006/main">
          <x14:cfRule type="expression" priority="115" id="{7421CB58-9840-014D-AB84-C4FC129CF84F}">
            <xm:f>OR(April!$C9="emnedag")</xm:f>
            <x14:dxf>
              <font>
                <color theme="1"/>
              </font>
              <fill>
                <patternFill>
                  <bgColor theme="5" tint="0.59996337778862885"/>
                </patternFill>
              </fill>
            </x14:dxf>
          </x14:cfRule>
          <xm:sqref>AG3:AJ32</xm:sqref>
        </x14:conditionalFormatting>
        <x14:conditionalFormatting xmlns:xm="http://schemas.microsoft.com/office/excel/2006/main">
          <x14:cfRule type="expression" priority="112" id="{81172C6D-B6AD-8644-BFD4-28E3DE5619F6}">
            <xm:f>OR(April!$C9="Nul-dag")</xm:f>
            <x14:dxf>
              <font>
                <color theme="1"/>
              </font>
              <fill>
                <patternFill>
                  <bgColor theme="4" tint="0.39994506668294322"/>
                </patternFill>
              </fill>
            </x14:dxf>
          </x14:cfRule>
          <xm:sqref>AG3:AJ32</xm:sqref>
        </x14:conditionalFormatting>
        <x14:conditionalFormatting xmlns:xm="http://schemas.microsoft.com/office/excel/2006/main">
          <x14:cfRule type="expression" priority="102" id="{D255C484-02D2-6A46-B595-5C9F3E93F3EE}">
            <xm:f>OR(April!$C9="Nul-dag")</xm:f>
            <x14:dxf>
              <font>
                <color theme="1"/>
              </font>
              <fill>
                <patternFill>
                  <bgColor theme="4" tint="0.39994506668294322"/>
                </patternFill>
              </fill>
            </x14:dxf>
          </x14:cfRule>
          <x14:cfRule type="expression" priority="103" id="{F139F015-C484-324E-A595-6D81BEADA472}">
            <xm:f>OR(April!$C9="ekskursion")</xm:f>
            <x14:dxf>
              <font>
                <color theme="1"/>
              </font>
              <fill>
                <patternFill>
                  <bgColor rgb="FFFFFF00"/>
                </patternFill>
              </fill>
            </x14:dxf>
          </x14:cfRule>
          <x14:cfRule type="expression" priority="104" id="{92698B96-4149-E347-BD79-9E80BEEB99D5}">
            <xm:f>OR(April!$C9="lejrskole")</xm:f>
            <x14:dxf>
              <font>
                <color theme="1"/>
              </font>
              <fill>
                <patternFill>
                  <bgColor theme="8" tint="0.59996337778862885"/>
                </patternFill>
              </fill>
            </x14:dxf>
          </x14:cfRule>
          <xm:sqref>AG3:AJ32</xm:sqref>
        </x14:conditionalFormatting>
        <x14:conditionalFormatting xmlns:xm="http://schemas.microsoft.com/office/excel/2006/main">
          <x14:cfRule type="expression" priority="100" id="{AD78583D-CE68-0144-9F3D-7DE5EE58A184}">
            <xm:f>OR(April!$C9="pæd.dag")</xm:f>
            <x14:dxf>
              <font>
                <color theme="1"/>
              </font>
              <fill>
                <patternFill>
                  <bgColor theme="7" tint="0.39994506668294322"/>
                </patternFill>
              </fill>
            </x14:dxf>
          </x14:cfRule>
          <x14:cfRule type="expression" priority="101" id="{84F41FFD-929D-B540-826B-84F1B92F10BD}">
            <xm:f>OR(April!$C9="SH-dag")</xm:f>
            <x14:dxf>
              <font>
                <color theme="1"/>
              </font>
              <fill>
                <patternFill>
                  <bgColor rgb="FFFF2F82"/>
                </patternFill>
              </fill>
            </x14:dxf>
          </x14:cfRule>
          <xm:sqref>AG3:AJ32</xm:sqref>
        </x14:conditionalFormatting>
        <x14:conditionalFormatting xmlns:xm="http://schemas.microsoft.com/office/excel/2006/main">
          <x14:cfRule type="expression" priority="99" id="{B5669EAA-46AA-B442-8C66-BBA754230F3F}">
            <xm:f>OR(April!$C9="Skema 4")</xm:f>
            <x14:dxf>
              <font>
                <color theme="0"/>
              </font>
              <fill>
                <patternFill patternType="solid">
                  <bgColor theme="4" tint="-0.24994659260841701"/>
                </patternFill>
              </fill>
            </x14:dxf>
          </x14:cfRule>
          <xm:sqref>AG3:AJ32</xm:sqref>
        </x14:conditionalFormatting>
        <x14:conditionalFormatting xmlns:xm="http://schemas.microsoft.com/office/excel/2006/main">
          <x14:cfRule type="expression" priority="59" id="{9F40E627-AFD2-FC4B-80E0-F15C70A29DAE}">
            <xm:f>OR(Maj!$C9="Ikke relevant")</xm:f>
            <x14:dxf>
              <font>
                <color theme="0"/>
              </font>
              <fill>
                <patternFill>
                  <bgColor theme="1"/>
                </patternFill>
              </fill>
            </x14:dxf>
          </x14:cfRule>
          <x14:cfRule type="expression" priority="98" id="{7E59330B-96DB-C040-A14A-F1A2B9AB4318}">
            <xm:f>OR(Maj!$C9="weekend")</xm:f>
            <x14:dxf>
              <font>
                <color theme="1"/>
              </font>
              <fill>
                <patternFill>
                  <bgColor theme="0" tint="-0.14996795556505021"/>
                </patternFill>
              </fill>
            </x14:dxf>
          </x14:cfRule>
          <xm:sqref>AK3:AN33</xm:sqref>
        </x14:conditionalFormatting>
        <x14:conditionalFormatting xmlns:xm="http://schemas.microsoft.com/office/excel/2006/main">
          <x14:cfRule type="expression" priority="97" id="{24A584C9-FA13-BC4C-A8C5-DF4D17D9AF79}">
            <xm:f>OR(Maj!$C9="feriedag")</xm:f>
            <x14:dxf>
              <font>
                <color theme="1"/>
              </font>
              <fill>
                <patternFill>
                  <bgColor theme="6" tint="0.39994506668294322"/>
                </patternFill>
              </fill>
            </x14:dxf>
          </x14:cfRule>
          <xm:sqref>AK3:AN33</xm:sqref>
        </x14:conditionalFormatting>
        <x14:conditionalFormatting xmlns:xm="http://schemas.microsoft.com/office/excel/2006/main">
          <x14:cfRule type="expression" priority="96" id="{B865FFC3-5888-8F4D-9AC2-6B57A380533A}">
            <xm:f>OR(Maj!$C9="fagdag")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95" id="{ABF8F2CE-D51D-1244-8F14-515B5A35F404}">
            <xm:f>OR(Maj!$C9="emnedag")</xm:f>
            <x14:dxf>
              <font>
                <color theme="1"/>
              </font>
              <fill>
                <patternFill>
                  <bgColor theme="5" tint="0.59996337778862885"/>
                </patternFill>
              </fill>
            </x14:dxf>
          </x14:cfRule>
          <xm:sqref>AK3:AN33</xm:sqref>
        </x14:conditionalFormatting>
        <x14:conditionalFormatting xmlns:xm="http://schemas.microsoft.com/office/excel/2006/main">
          <x14:cfRule type="expression" priority="92" id="{A9DCD5EC-6BD7-1A4E-82F4-25BE1B79C7A4}">
            <xm:f>OR(Maj!$C9="Nul-dag")</xm:f>
            <x14:dxf>
              <font>
                <color theme="1"/>
              </font>
              <fill>
                <patternFill>
                  <bgColor theme="5" tint="0.79998168889431442"/>
                </patternFill>
              </fill>
            </x14:dxf>
          </x14:cfRule>
          <x14:cfRule type="expression" priority="93" id="{666D0556-E702-2341-A72E-2B9F13E7FC47}">
            <xm:f>OR(Maj!$C9="ekskursion")</xm:f>
            <x14:dxf>
              <font>
                <color theme="1"/>
              </font>
              <fill>
                <patternFill>
                  <bgColor rgb="FFFFFF00"/>
                </patternFill>
              </fill>
            </x14:dxf>
          </x14:cfRule>
          <x14:cfRule type="expression" priority="94" id="{82085A1E-7917-F545-8F2E-513CBAD8F553}">
            <xm:f>OR(Maj!$C9="lejrskole")</xm:f>
            <x14:dxf>
              <font>
                <color theme="1"/>
              </font>
              <fill>
                <patternFill>
                  <bgColor theme="8" tint="0.59996337778862885"/>
                </patternFill>
              </fill>
            </x14:dxf>
          </x14:cfRule>
          <xm:sqref>AK3:AN33</xm:sqref>
        </x14:conditionalFormatting>
        <x14:conditionalFormatting xmlns:xm="http://schemas.microsoft.com/office/excel/2006/main">
          <x14:cfRule type="expression" priority="90" id="{4CCE6509-99A2-FA48-B709-A287AFDCC9DF}">
            <xm:f>OR(Maj!$C9="pæd.dag")</xm:f>
            <x14:dxf>
              <font>
                <color theme="1"/>
              </font>
              <fill>
                <patternFill>
                  <bgColor theme="7" tint="0.39994506668294322"/>
                </patternFill>
              </fill>
            </x14:dxf>
          </x14:cfRule>
          <x14:cfRule type="expression" priority="91" id="{EE91C3FE-C161-E742-80B4-767D59F2B75D}">
            <xm:f>OR(Maj!$C9="SH-dag")</xm:f>
            <x14:dxf>
              <font>
                <color theme="1"/>
              </font>
              <fill>
                <patternFill>
                  <bgColor rgb="FFFF2F82"/>
                </patternFill>
              </fill>
            </x14:dxf>
          </x14:cfRule>
          <xm:sqref>AK3:AN33</xm:sqref>
        </x14:conditionalFormatting>
        <x14:conditionalFormatting xmlns:xm="http://schemas.microsoft.com/office/excel/2006/main">
          <x14:cfRule type="expression" priority="3" id="{2315DCF1-BF9F-D14B-9E32-21F5DAD750E3}">
            <xm:f>OR(Maj!$C9="Orlov")</xm:f>
            <x14:dxf>
              <font>
                <color theme="0"/>
              </font>
              <fill>
                <patternFill patternType="solid">
                  <bgColor theme="6" tint="-0.24994659260841701"/>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m:sqref>AK3:AN33</xm:sqref>
        </x14:conditionalFormatting>
        <x14:conditionalFormatting xmlns:xm="http://schemas.microsoft.com/office/excel/2006/main">
          <x14:cfRule type="expression" priority="58" id="{0A1B34DB-0856-5042-814E-734C7A1043A1}">
            <xm:f>OR(Juni!$C9="Ikke relevant")</xm:f>
            <x14:dxf>
              <font>
                <color theme="0"/>
              </font>
              <fill>
                <patternFill>
                  <bgColor theme="1"/>
                </patternFill>
              </fill>
            </x14:dxf>
          </x14:cfRule>
          <x14:cfRule type="expression" priority="88" id="{60DDF301-B355-D64D-895B-2BDBE9AD46CB}">
            <xm:f>OR(Juni!$C9="weekend")</xm:f>
            <x14:dxf>
              <font>
                <color theme="1"/>
              </font>
              <fill>
                <patternFill>
                  <bgColor theme="0" tint="-0.14996795556505021"/>
                </patternFill>
              </fill>
            </x14:dxf>
          </x14:cfRule>
          <xm:sqref>AO3:AR32</xm:sqref>
        </x14:conditionalFormatting>
        <x14:conditionalFormatting xmlns:xm="http://schemas.microsoft.com/office/excel/2006/main">
          <x14:cfRule type="expression" priority="87" id="{1B5E7828-6741-2143-A1C5-8297B143A2D3}">
            <xm:f>OR(Juni!$C9="feriedag")</xm:f>
            <x14:dxf>
              <font>
                <color theme="1"/>
              </font>
              <fill>
                <patternFill>
                  <bgColor theme="6" tint="0.39994506668294322"/>
                </patternFill>
              </fill>
            </x14:dxf>
          </x14:cfRule>
          <xm:sqref>AO3:AR32</xm:sqref>
        </x14:conditionalFormatting>
        <x14:conditionalFormatting xmlns:xm="http://schemas.microsoft.com/office/excel/2006/main">
          <x14:cfRule type="expression" priority="86" id="{1D87371B-0089-B543-B1D8-3016783D4A31}">
            <xm:f>OR(Juni!$C9="fagdag")</xm:f>
            <x14:dxf>
              <font>
                <color theme="1"/>
              </font>
              <fill>
                <patternFill>
                  <bgColor theme="9" tint="0.59996337778862885"/>
                </patternFill>
              </fill>
            </x14:dxf>
          </x14:cfRule>
          <xm:sqref>AO3:AR32</xm:sqref>
        </x14:conditionalFormatting>
        <x14:conditionalFormatting xmlns:xm="http://schemas.microsoft.com/office/excel/2006/main">
          <x14:cfRule type="expression" priority="85" id="{3D769FF0-D4BB-2949-BA58-D3FBDD560B74}">
            <xm:f>OR(Juni!$C9="emnedag")</xm:f>
            <x14:dxf>
              <font>
                <color theme="1"/>
              </font>
              <fill>
                <patternFill>
                  <bgColor theme="5" tint="0.59996337778862885"/>
                </patternFill>
              </fill>
            </x14:dxf>
          </x14:cfRule>
          <xm:sqref>AO3:AR32</xm:sqref>
        </x14:conditionalFormatting>
        <x14:conditionalFormatting xmlns:xm="http://schemas.microsoft.com/office/excel/2006/main">
          <x14:cfRule type="expression" priority="82" id="{537A0E4E-B81E-4042-9968-1A035F7EEA32}">
            <xm:f>OR(Juni!$C9="Nul-dag")</xm:f>
            <x14:dxf>
              <font>
                <color theme="1"/>
              </font>
              <fill>
                <patternFill>
                  <bgColor theme="5" tint="0.79998168889431442"/>
                </patternFill>
              </fill>
            </x14:dxf>
          </x14:cfRule>
          <x14:cfRule type="expression" priority="83" id="{39FBE78A-ECFD-E947-AD99-BF353344C554}">
            <xm:f>OR(Juni!$C9="ekskursion")</xm:f>
            <x14:dxf>
              <font>
                <color theme="1"/>
              </font>
              <fill>
                <patternFill>
                  <bgColor rgb="FFFFFF00"/>
                </patternFill>
              </fill>
            </x14:dxf>
          </x14:cfRule>
          <x14:cfRule type="expression" priority="84" id="{DB8EEB9E-E706-F047-91E6-DA12DC040947}">
            <xm:f>OR(Juni!$C9="lejrskole")</xm:f>
            <x14:dxf>
              <font>
                <color theme="1"/>
              </font>
              <fill>
                <patternFill>
                  <bgColor theme="8" tint="0.59996337778862885"/>
                </patternFill>
              </fill>
            </x14:dxf>
          </x14:cfRule>
          <xm:sqref>AO3:AR32</xm:sqref>
        </x14:conditionalFormatting>
        <x14:conditionalFormatting xmlns:xm="http://schemas.microsoft.com/office/excel/2006/main">
          <x14:cfRule type="expression" priority="80" id="{4AC4C88E-D6F1-4A4D-A4DC-7907E1DC992F}">
            <xm:f>OR(Juni!$C9="pæd.dag")</xm:f>
            <x14:dxf>
              <font>
                <color theme="1"/>
              </font>
              <fill>
                <patternFill>
                  <bgColor theme="7" tint="0.39994506668294322"/>
                </patternFill>
              </fill>
            </x14:dxf>
          </x14:cfRule>
          <x14:cfRule type="expression" priority="81" id="{3A3E5335-1566-8A40-BC4C-F00B268940A5}">
            <xm:f>OR(Juni!$C9="SH-dag")</xm:f>
            <x14:dxf>
              <font>
                <color theme="1"/>
              </font>
              <fill>
                <patternFill>
                  <bgColor rgb="FFFF2F82"/>
                </patternFill>
              </fill>
            </x14:dxf>
          </x14:cfRule>
          <xm:sqref>AO3:AR32</xm:sqref>
        </x14:conditionalFormatting>
        <x14:conditionalFormatting xmlns:xm="http://schemas.microsoft.com/office/excel/2006/main">
          <x14:cfRule type="expression" priority="2" id="{DD9FB78E-6E03-7949-8A2B-4A342624138D}">
            <xm:f>OR(Juni!$C9="Orlov")</xm:f>
            <x14:dxf>
              <font>
                <color theme="0"/>
              </font>
              <fill>
                <patternFill patternType="solid">
                  <fgColor indexed="64"/>
                  <bgColor theme="6" tint="-0.24994659260841701"/>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m:sqref>AO3:AR32</xm:sqref>
        </x14:conditionalFormatting>
        <x14:conditionalFormatting xmlns:xm="http://schemas.microsoft.com/office/excel/2006/main">
          <x14:cfRule type="expression" priority="57" id="{EFC9AD81-9D7F-8348-BA4D-22C47AD8259C}">
            <xm:f>OR(Juli!$C9="Ikke relevant")</xm:f>
            <x14:dxf>
              <font>
                <color theme="0"/>
              </font>
              <fill>
                <patternFill>
                  <bgColor theme="1"/>
                </patternFill>
              </fill>
            </x14:dxf>
          </x14:cfRule>
          <x14:cfRule type="expression" priority="78" id="{F32BF492-1A71-F04B-81AF-EF80576A4DAE}">
            <xm:f>OR(Juli!$C9="weekend")</xm:f>
            <x14:dxf>
              <font>
                <color theme="1"/>
              </font>
              <fill>
                <patternFill>
                  <bgColor theme="0" tint="-0.14996795556505021"/>
                </patternFill>
              </fill>
            </x14:dxf>
          </x14:cfRule>
          <xm:sqref>AS3:AV33</xm:sqref>
        </x14:conditionalFormatting>
        <x14:conditionalFormatting xmlns:xm="http://schemas.microsoft.com/office/excel/2006/main">
          <x14:cfRule type="expression" priority="77" id="{D57FEC54-25BE-0941-AACE-37E91C55E9ED}">
            <xm:f>OR(Juli!$C9="feriedag")</xm:f>
            <x14:dxf>
              <font>
                <color theme="1"/>
              </font>
              <fill>
                <patternFill>
                  <bgColor theme="6" tint="0.39994506668294322"/>
                </patternFill>
              </fill>
            </x14:dxf>
          </x14:cfRule>
          <xm:sqref>AS3:AV33</xm:sqref>
        </x14:conditionalFormatting>
        <x14:conditionalFormatting xmlns:xm="http://schemas.microsoft.com/office/excel/2006/main">
          <x14:cfRule type="expression" priority="76" id="{4A50585A-46E7-C14D-A57F-625777D1D131}">
            <xm:f>OR(Juli!$C9="fagdag")</xm:f>
            <x14:dxf>
              <font>
                <color theme="1"/>
              </font>
              <fill>
                <patternFill>
                  <bgColor theme="9" tint="0.59996337778862885"/>
                </patternFill>
              </fill>
            </x14:dxf>
          </x14:cfRule>
          <xm:sqref>AS3:AV33</xm:sqref>
        </x14:conditionalFormatting>
        <x14:conditionalFormatting xmlns:xm="http://schemas.microsoft.com/office/excel/2006/main">
          <x14:cfRule type="expression" priority="75" id="{42D5756F-6404-4B4B-B504-983F1E95C4DE}">
            <xm:f>OR(Juli!$C9="emnedag")</xm:f>
            <x14:dxf>
              <font>
                <color theme="1"/>
              </font>
              <fill>
                <patternFill>
                  <bgColor theme="5" tint="0.59996337778862885"/>
                </patternFill>
              </fill>
            </x14:dxf>
          </x14:cfRule>
          <xm:sqref>AS3:AV33</xm:sqref>
        </x14:conditionalFormatting>
        <x14:conditionalFormatting xmlns:xm="http://schemas.microsoft.com/office/excel/2006/main">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m:sqref>AS3:AV33</xm:sqref>
        </x14:conditionalFormatting>
        <x14:conditionalFormatting xmlns:xm="http://schemas.microsoft.com/office/excel/2006/main">
          <x14:cfRule type="expression" priority="70" id="{F4BC600F-6F50-8540-AA42-28D963EA94BE}">
            <xm:f>OR(Juli!$C9="pæd.dag")</xm:f>
            <x14:dxf>
              <font>
                <color theme="1"/>
              </font>
              <fill>
                <patternFill>
                  <bgColor theme="7" tint="0.39994506668294322"/>
                </patternFill>
              </fill>
            </x14:dxf>
          </x14:cfRule>
          <x14:cfRule type="expression" priority="71" id="{E5436F53-31EB-3244-A23B-402691DE6732}">
            <xm:f>OR(Juli!$C9="SH-dag")</xm:f>
            <x14:dxf>
              <font>
                <color theme="1"/>
              </font>
              <fill>
                <patternFill>
                  <bgColor rgb="FFFF2F82"/>
                </patternFill>
              </fill>
            </x14:dxf>
          </x14:cfRule>
          <xm:sqref>AS3:AV33</xm:sqref>
        </x14:conditionalFormatting>
        <x14:conditionalFormatting xmlns:xm="http://schemas.microsoft.com/office/excel/2006/main">
          <x14:cfRule type="expression" priority="1" id="{2A4C769B-E6AC-6B44-BC58-01081A6A70AB}">
            <xm:f>OR(Juli!$C9="Orlov")</xm:f>
            <x14:dxf>
              <font>
                <color theme="0"/>
              </font>
              <fill>
                <patternFill patternType="solid">
                  <bgColor theme="6" tint="-0.24994659260841701"/>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69" id="{DD788696-EA6F-AA40-9431-565F2EC8467C}">
            <xm:f>OR(Juli!$C9="Skema 4")</xm:f>
            <x14:dxf>
              <font>
                <color theme="0"/>
              </font>
              <fill>
                <patternFill patternType="solid">
                  <bgColor theme="4" tint="-0.24994659260841701"/>
                </patternFill>
              </fill>
            </x14:dxf>
          </x14:cfRule>
          <xm:sqref>AS3:AV33</xm:sqref>
        </x14:conditionalFormatting>
        <x14:conditionalFormatting xmlns:xm="http://schemas.microsoft.com/office/excel/2006/main">
          <x14:cfRule type="expression" priority="378" id="{BC93835C-53A2-BD4E-8ECB-2FEFF77E7184}">
            <xm:f>OR(Maaned!#REF!="Ikke relevant")</xm:f>
            <x14:dxf>
              <font>
                <color theme="0"/>
              </font>
              <fill>
                <patternFill>
                  <bgColor theme="1"/>
                </patternFill>
              </fill>
            </x14:dxf>
          </x14:cfRule>
          <x14:cfRule type="expression" priority="379" id="{D62194EC-DBC3-E643-B356-8455BEEF11CB}">
            <xm:f>OR(Maaned!#REF!="weekend")</xm:f>
            <x14:dxf>
              <font>
                <color theme="1"/>
              </font>
              <fill>
                <patternFill>
                  <bgColor theme="0" tint="-0.14996795556505021"/>
                </patternFill>
              </fill>
            </x14:dxf>
          </x14:cfRule>
          <xm:sqref>Y31:AB31</xm:sqref>
        </x14:conditionalFormatting>
        <x14:conditionalFormatting xmlns:xm="http://schemas.microsoft.com/office/excel/2006/main">
          <x14:cfRule type="expression" priority="381" id="{8D0EF236-2370-BE45-B4BA-78B35CE6FB2A}">
            <xm:f>OR(Maaned!#REF!="feriedag")</xm:f>
            <x14:dxf>
              <font>
                <color theme="1"/>
              </font>
              <fill>
                <patternFill>
                  <bgColor theme="6" tint="0.39994506668294322"/>
                </patternFill>
              </fill>
            </x14:dxf>
          </x14:cfRule>
          <xm:sqref>Y31:AB31</xm:sqref>
        </x14:conditionalFormatting>
        <x14:conditionalFormatting xmlns:xm="http://schemas.microsoft.com/office/excel/2006/main">
          <x14:cfRule type="expression" priority="383" id="{5499E456-6CF2-DF42-BBBE-7C1B22D7FC31}">
            <xm:f>OR(Maaned!#REF!="fagdag")</xm:f>
            <x14:dxf>
              <font>
                <color theme="1"/>
              </font>
              <fill>
                <patternFill>
                  <bgColor theme="9" tint="0.59996337778862885"/>
                </patternFill>
              </fill>
            </x14:dxf>
          </x14:cfRule>
          <xm:sqref>Y31:AB31</xm:sqref>
        </x14:conditionalFormatting>
        <x14:conditionalFormatting xmlns:xm="http://schemas.microsoft.com/office/excel/2006/main">
          <x14:cfRule type="expression" priority="385" id="{D9AC2DC7-F273-124C-BECE-4EDC393AD917}">
            <xm:f>OR(Maaned!#REF!="emnedag")</xm:f>
            <x14:dxf>
              <font>
                <color theme="1"/>
              </font>
              <fill>
                <patternFill>
                  <bgColor theme="5" tint="0.59996337778862885"/>
                </patternFill>
              </fill>
            </x14:dxf>
          </x14:cfRule>
          <xm:sqref>Y31:AB31</xm:sqref>
        </x14:conditionalFormatting>
        <x14:conditionalFormatting xmlns:xm="http://schemas.microsoft.com/office/excel/2006/main">
          <x14:cfRule type="expression" priority="389" id="{691C06F0-DFD2-9946-B801-C89C03ED1F5E}">
            <xm:f>OR(Maaned!#REF!="Nul-dag")</xm:f>
            <x14:dxf>
              <font>
                <color theme="1"/>
              </font>
              <fill>
                <patternFill>
                  <bgColor theme="4" tint="0.39994506668294322"/>
                </patternFill>
              </fill>
            </x14:dxf>
          </x14:cfRule>
          <x14:cfRule type="expression" priority="390" id="{3E32D6B0-C29A-CF46-815A-C4AACE4DD359}">
            <xm:f>OR(Maaned!#REF!="ekskursion")</xm:f>
            <x14:dxf>
              <font>
                <color theme="1"/>
              </font>
              <fill>
                <patternFill>
                  <bgColor rgb="FFFFFF00"/>
                </patternFill>
              </fill>
            </x14:dxf>
          </x14:cfRule>
          <x14:cfRule type="expression" priority="391" id="{BAFC74E7-3387-3F4A-8B08-E025FEC5D4B8}">
            <xm:f>OR(Maaned!#REF!="lejrskole")</xm:f>
            <x14:dxf>
              <font>
                <color theme="1"/>
              </font>
              <fill>
                <patternFill>
                  <bgColor theme="8" tint="0.59996337778862885"/>
                </patternFill>
              </fill>
            </x14:dxf>
          </x14:cfRule>
          <xm:sqref>Y31:AB31</xm:sqref>
        </x14:conditionalFormatting>
        <x14:conditionalFormatting xmlns:xm="http://schemas.microsoft.com/office/excel/2006/main">
          <x14:cfRule type="expression" priority="394" id="{D49DC9CD-3CF9-AA43-B3FA-9A4F4515BF0D}">
            <xm:f>OR(Maaned!#REF!="pæd.dag")</xm:f>
            <x14:dxf>
              <font>
                <color theme="1"/>
              </font>
              <fill>
                <patternFill>
                  <bgColor theme="7" tint="0.39994506668294322"/>
                </patternFill>
              </fill>
            </x14:dxf>
          </x14:cfRule>
          <x14:cfRule type="expression" priority="395" id="{B2971BB6-717E-C445-9A7A-06084A841112}">
            <xm:f>OR(Maaned!#REF!="SH-dag")</xm:f>
            <x14:dxf>
              <font>
                <color theme="1"/>
              </font>
              <fill>
                <patternFill>
                  <bgColor rgb="FFFF2F82"/>
                </patternFill>
              </fill>
            </x14:dxf>
          </x14:cfRule>
          <xm:sqref>Y31:AB31</xm:sqref>
        </x14:conditionalFormatting>
        <x14:conditionalFormatting xmlns:xm="http://schemas.microsoft.com/office/excel/2006/main">
          <x14:cfRule type="expression" priority="397" id="{5905EE0B-1AD8-2447-91F1-31FDDC4F15AB}">
            <xm:f>OR(Maaned!#REF!="skoledag")</xm:f>
            <x14:dxf>
              <font>
                <color theme="1"/>
              </font>
              <fill>
                <patternFill patternType="none">
                  <bgColor auto="1"/>
                </patternFill>
              </fill>
            </x14:dxf>
          </x14:cfRule>
          <xm:sqref>Y31:AB31</xm:sqref>
        </x14:conditionalFormatting>
      </x14:conditionalFormattings>
    </ext>
    <ext xmlns:mx="http://schemas.microsoft.com/office/mac/excel/2008/main" uri="{64002731-A6B0-56B0-2670-7721B7C09600}">
      <mx:PLV Mode="1" OnePage="0" WScale="10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16" zoomScale="80" zoomScaleNormal="80" zoomScalePageLayoutView="80" workbookViewId="0">
      <selection activeCell="AC36" sqref="AC36"/>
    </sheetView>
  </sheetViews>
  <sheetFormatPr baseColWidth="10" defaultRowHeight="36" customHeight="1"/>
  <cols>
    <col min="1" max="2" width="4.33203125" style="88" customWidth="1"/>
    <col min="3" max="3" width="8.33203125" style="89" customWidth="1"/>
    <col min="4" max="4" width="20.1640625" style="89" customWidth="1"/>
    <col min="5" max="5" width="4" style="87" customWidth="1"/>
    <col min="6" max="7" width="4.33203125" style="88" customWidth="1"/>
    <col min="8" max="8" width="8.33203125" style="89" customWidth="1"/>
    <col min="9" max="9" width="20.1640625" style="89" customWidth="1"/>
    <col min="10" max="10" width="4" style="87" customWidth="1"/>
    <col min="11" max="12" width="4.33203125" style="88" customWidth="1"/>
    <col min="13" max="13" width="8.5" style="89" customWidth="1"/>
    <col min="14" max="14" width="20.1640625" style="89" customWidth="1"/>
    <col min="15" max="15" width="4" style="87" customWidth="1"/>
    <col min="16" max="17" width="4.33203125" style="88" customWidth="1"/>
    <col min="18" max="18" width="8.5" style="89" customWidth="1"/>
    <col min="19" max="19" width="20.1640625" style="89" customWidth="1"/>
    <col min="20" max="20" width="3.5" style="87" customWidth="1"/>
    <col min="21" max="21" width="5.6640625" style="88" customWidth="1"/>
    <col min="22" max="22" width="4.33203125" style="88" customWidth="1"/>
    <col min="23" max="23" width="8.33203125" style="89" customWidth="1"/>
    <col min="24" max="24" width="20.33203125" style="89" customWidth="1"/>
    <col min="25" max="25" width="4" style="87" customWidth="1"/>
    <col min="26" max="27" width="4.33203125" style="88" customWidth="1"/>
    <col min="28" max="28" width="8.5" style="89" customWidth="1"/>
    <col min="29" max="29" width="20.33203125" style="89" customWidth="1"/>
    <col min="30" max="30" width="3.1640625" style="87" customWidth="1"/>
    <col min="31" max="34" width="10.83203125" style="75"/>
    <col min="35" max="35" width="26.6640625" style="75" customWidth="1"/>
    <col min="36" max="16384" width="10.83203125" style="75"/>
  </cols>
  <sheetData>
    <row r="1" spans="1:30" s="73" customFormat="1" ht="36" customHeight="1" thickBot="1">
      <c r="A1" s="175" t="str">
        <f>"ÅRSKALENDER  for  "&amp;UPPER(Maaned!A1)&amp;"  "&amp;Maaned!A3&amp;" - "&amp;TEXT(Maaned!A3-1999,"00")</f>
        <v>ÅRSKALENDER  for  MIN EGEN SKOLE  2022 - 23</v>
      </c>
      <c r="B1" s="68"/>
      <c r="C1" s="69"/>
      <c r="D1" s="69"/>
      <c r="E1" s="70"/>
      <c r="F1" s="71"/>
      <c r="G1" s="68"/>
      <c r="H1" s="69"/>
      <c r="I1" s="69"/>
      <c r="J1" s="70"/>
      <c r="K1" s="71"/>
      <c r="L1" s="68"/>
      <c r="M1" s="69"/>
      <c r="N1" s="69"/>
      <c r="O1" s="70"/>
      <c r="P1" s="71"/>
      <c r="Q1" s="68"/>
      <c r="R1" s="69"/>
      <c r="S1" s="69"/>
      <c r="T1" s="70"/>
      <c r="U1" s="71"/>
      <c r="V1" s="68"/>
      <c r="W1" s="69"/>
      <c r="X1" s="69"/>
      <c r="Y1" s="70"/>
      <c r="Z1" s="71"/>
      <c r="AA1" s="68"/>
      <c r="AB1" s="69"/>
      <c r="AC1" s="69"/>
      <c r="AD1" s="72"/>
    </row>
    <row r="2" spans="1:30" s="74" customFormat="1" ht="23" customHeight="1" thickBot="1">
      <c r="A2" s="792" t="s">
        <v>95</v>
      </c>
      <c r="B2" s="793"/>
      <c r="C2" s="794"/>
      <c r="D2" s="794"/>
      <c r="E2" s="795"/>
      <c r="F2" s="792" t="s">
        <v>96</v>
      </c>
      <c r="G2" s="793"/>
      <c r="H2" s="794"/>
      <c r="I2" s="794"/>
      <c r="J2" s="795"/>
      <c r="K2" s="815" t="s">
        <v>97</v>
      </c>
      <c r="L2" s="793"/>
      <c r="M2" s="794"/>
      <c r="N2" s="794"/>
      <c r="O2" s="795"/>
      <c r="P2" s="792" t="s">
        <v>98</v>
      </c>
      <c r="Q2" s="793"/>
      <c r="R2" s="794"/>
      <c r="S2" s="794"/>
      <c r="T2" s="795"/>
      <c r="U2" s="792" t="s">
        <v>99</v>
      </c>
      <c r="V2" s="793"/>
      <c r="W2" s="794"/>
      <c r="X2" s="794"/>
      <c r="Y2" s="795"/>
      <c r="Z2" s="792" t="s">
        <v>100</v>
      </c>
      <c r="AA2" s="793"/>
      <c r="AB2" s="794"/>
      <c r="AC2" s="794"/>
      <c r="AD2" s="817"/>
    </row>
    <row r="3" spans="1:30" ht="23" customHeight="1">
      <c r="A3" s="796">
        <f>Maaned!B5</f>
        <v>1</v>
      </c>
      <c r="B3" s="797" t="str">
        <f>Maaned!C5</f>
        <v>ma</v>
      </c>
      <c r="C3" s="798" t="str">
        <f>August!C10</f>
        <v>Feriedag</v>
      </c>
      <c r="D3" s="799" t="str">
        <f>August!E10</f>
        <v>Sommerferie</v>
      </c>
      <c r="E3" s="800">
        <f>Maaned!E5</f>
        <v>31.285714285714285</v>
      </c>
      <c r="F3" s="796">
        <f>Maaned!I5</f>
        <v>1</v>
      </c>
      <c r="G3" s="797" t="str">
        <f>Maaned!J5</f>
        <v>to</v>
      </c>
      <c r="H3" s="798" t="str">
        <f>September!C9</f>
        <v>Skema 1</v>
      </c>
      <c r="I3" s="799">
        <f>September!E9</f>
        <v>0</v>
      </c>
      <c r="J3" s="812" t="str">
        <f>Maaned!L5</f>
        <v/>
      </c>
      <c r="K3" s="796">
        <f>Maaned!P5</f>
        <v>1</v>
      </c>
      <c r="L3" s="797" t="str">
        <f>Maaned!Q5</f>
        <v>lø</v>
      </c>
      <c r="M3" s="798" t="str">
        <f>Oktober!C9</f>
        <v>Weekend</v>
      </c>
      <c r="N3" s="799">
        <f>Oktober!E9</f>
        <v>0</v>
      </c>
      <c r="O3" s="800" t="str">
        <f>Maaned!S5</f>
        <v/>
      </c>
      <c r="P3" s="808">
        <f>Maaned!W5</f>
        <v>1</v>
      </c>
      <c r="Q3" s="809" t="str">
        <f>Maaned!X5</f>
        <v>ti</v>
      </c>
      <c r="R3" s="810" t="str">
        <f>November!C9</f>
        <v>Skema 1</v>
      </c>
      <c r="S3" s="810">
        <f>November!E9</f>
        <v>0</v>
      </c>
      <c r="T3" s="812" t="str">
        <f>Maaned!Z5</f>
        <v/>
      </c>
      <c r="U3" s="796">
        <f>Maaned!AD5</f>
        <v>1</v>
      </c>
      <c r="V3" s="797" t="str">
        <f>Maaned!AE5</f>
        <v>to</v>
      </c>
      <c r="W3" s="798" t="str">
        <f>December!C9</f>
        <v>Emnedag</v>
      </c>
      <c r="X3" s="799" t="str">
        <f>December!E9</f>
        <v>JUL</v>
      </c>
      <c r="Y3" s="800" t="str">
        <f>Maaned!AG5</f>
        <v/>
      </c>
      <c r="Z3" s="796">
        <f>Maaned!AK5</f>
        <v>1</v>
      </c>
      <c r="AA3" s="797" t="str">
        <f>Maaned!AL5</f>
        <v>sø</v>
      </c>
      <c r="AB3" s="798" t="str">
        <f>Januar!C9</f>
        <v>Weekend</v>
      </c>
      <c r="AC3" s="799" t="str">
        <f>Januar!E9</f>
        <v>Nytårsdag</v>
      </c>
      <c r="AD3" s="800" t="str">
        <f>Maaned!AN5</f>
        <v/>
      </c>
    </row>
    <row r="4" spans="1:30" ht="23" customHeight="1">
      <c r="A4" s="801">
        <f>Maaned!B6</f>
        <v>2</v>
      </c>
      <c r="B4" s="790" t="str">
        <f>Maaned!C6</f>
        <v>ti</v>
      </c>
      <c r="C4" s="791" t="str">
        <f>August!C11</f>
        <v>Feriedag</v>
      </c>
      <c r="D4" s="211" t="str">
        <f>August!E11</f>
        <v>Sommerferie</v>
      </c>
      <c r="E4" s="802" t="str">
        <f>Maaned!E6</f>
        <v/>
      </c>
      <c r="F4" s="801">
        <f>Maaned!I6</f>
        <v>2</v>
      </c>
      <c r="G4" s="790" t="str">
        <f>Maaned!J6</f>
        <v>fr</v>
      </c>
      <c r="H4" s="791" t="str">
        <f>September!C10</f>
        <v>Skema 1</v>
      </c>
      <c r="I4" s="211">
        <f>September!E10</f>
        <v>0</v>
      </c>
      <c r="J4" s="210" t="str">
        <f>Maaned!L6</f>
        <v/>
      </c>
      <c r="K4" s="801">
        <f>Maaned!P6</f>
        <v>2</v>
      </c>
      <c r="L4" s="790" t="str">
        <f>Maaned!Q6</f>
        <v>sø</v>
      </c>
      <c r="M4" s="791" t="str">
        <f>Oktober!C10</f>
        <v>Weekend</v>
      </c>
      <c r="N4" s="211">
        <f>Oktober!E10</f>
        <v>0</v>
      </c>
      <c r="O4" s="802" t="str">
        <f>Maaned!S6</f>
        <v/>
      </c>
      <c r="P4" s="811">
        <f>Maaned!W6</f>
        <v>2</v>
      </c>
      <c r="Q4" s="128" t="str">
        <f>Maaned!X6</f>
        <v>on</v>
      </c>
      <c r="R4" s="135" t="str">
        <f>November!C10</f>
        <v>Skema 1</v>
      </c>
      <c r="S4" s="135">
        <f>November!E10</f>
        <v>0</v>
      </c>
      <c r="T4" s="210" t="str">
        <f>Maaned!Z6</f>
        <v/>
      </c>
      <c r="U4" s="801">
        <f>Maaned!AD6</f>
        <v>2</v>
      </c>
      <c r="V4" s="790" t="str">
        <f>Maaned!AE6</f>
        <v>fr</v>
      </c>
      <c r="W4" s="791" t="str">
        <f>December!C10</f>
        <v>Skema 1</v>
      </c>
      <c r="X4" s="211">
        <f>December!E10</f>
        <v>0</v>
      </c>
      <c r="Y4" s="802" t="str">
        <f>Maaned!AG6</f>
        <v/>
      </c>
      <c r="Z4" s="801">
        <f>Maaned!AK6</f>
        <v>2</v>
      </c>
      <c r="AA4" s="790" t="str">
        <f>Maaned!AL6</f>
        <v>ma</v>
      </c>
      <c r="AB4" s="791" t="str">
        <f>Januar!C10</f>
        <v>Nul-dag</v>
      </c>
      <c r="AC4" s="211">
        <f>Januar!E10</f>
        <v>0</v>
      </c>
      <c r="AD4" s="802">
        <f>Maaned!AN6</f>
        <v>1.1428571428571428</v>
      </c>
    </row>
    <row r="5" spans="1:30" ht="23" customHeight="1">
      <c r="A5" s="801">
        <f>Maaned!B7</f>
        <v>3</v>
      </c>
      <c r="B5" s="790" t="str">
        <f>Maaned!C7</f>
        <v>on</v>
      </c>
      <c r="C5" s="791" t="str">
        <f>August!C12</f>
        <v>Pæd.dag</v>
      </c>
      <c r="D5" s="211">
        <f>August!E12</f>
        <v>0</v>
      </c>
      <c r="E5" s="802" t="str">
        <f>Maaned!E7</f>
        <v/>
      </c>
      <c r="F5" s="801">
        <f>Maaned!I7</f>
        <v>3</v>
      </c>
      <c r="G5" s="790" t="str">
        <f>Maaned!J7</f>
        <v>lø</v>
      </c>
      <c r="H5" s="791" t="str">
        <f>September!C11</f>
        <v>Weekend</v>
      </c>
      <c r="I5" s="211">
        <f>September!E11</f>
        <v>0</v>
      </c>
      <c r="J5" s="210" t="str">
        <f>Maaned!L7</f>
        <v/>
      </c>
      <c r="K5" s="801">
        <f>Maaned!P7</f>
        <v>3</v>
      </c>
      <c r="L5" s="790" t="str">
        <f>Maaned!Q7</f>
        <v>ma</v>
      </c>
      <c r="M5" s="791" t="str">
        <f>Oktober!C11</f>
        <v>Skema 1</v>
      </c>
      <c r="N5" s="211">
        <f>Oktober!E11</f>
        <v>0</v>
      </c>
      <c r="O5" s="802">
        <f>Maaned!S7</f>
        <v>40.285714285714285</v>
      </c>
      <c r="P5" s="811">
        <f>Maaned!W7</f>
        <v>3</v>
      </c>
      <c r="Q5" s="128" t="str">
        <f>Maaned!X7</f>
        <v>to</v>
      </c>
      <c r="R5" s="135" t="str">
        <f>November!C11</f>
        <v>Skema 1</v>
      </c>
      <c r="S5" s="135">
        <f>November!E11</f>
        <v>0</v>
      </c>
      <c r="T5" s="210" t="str">
        <f>Maaned!Z7</f>
        <v/>
      </c>
      <c r="U5" s="801">
        <f>Maaned!AD7</f>
        <v>3</v>
      </c>
      <c r="V5" s="790" t="str">
        <f>Maaned!AE7</f>
        <v>lø</v>
      </c>
      <c r="W5" s="791" t="str">
        <f>December!C11</f>
        <v>Weekend</v>
      </c>
      <c r="X5" s="211">
        <f>December!E11</f>
        <v>0</v>
      </c>
      <c r="Y5" s="802" t="str">
        <f>Maaned!AG7</f>
        <v/>
      </c>
      <c r="Z5" s="801">
        <f>Maaned!AK7</f>
        <v>3</v>
      </c>
      <c r="AA5" s="790" t="str">
        <f>Maaned!AL7</f>
        <v>ti</v>
      </c>
      <c r="AB5" s="791" t="str">
        <f>Januar!C11</f>
        <v>Nul-dag</v>
      </c>
      <c r="AC5" s="211">
        <f>Januar!E11</f>
        <v>0</v>
      </c>
      <c r="AD5" s="802" t="str">
        <f>Maaned!AN7</f>
        <v/>
      </c>
    </row>
    <row r="6" spans="1:30" ht="23" customHeight="1">
      <c r="A6" s="801">
        <f>Maaned!B8</f>
        <v>4</v>
      </c>
      <c r="B6" s="790" t="str">
        <f>Maaned!C8</f>
        <v>to</v>
      </c>
      <c r="C6" s="791" t="str">
        <f>August!C13</f>
        <v>Pæd.dag</v>
      </c>
      <c r="D6" s="211">
        <f>August!E13</f>
        <v>0</v>
      </c>
      <c r="E6" s="802" t="str">
        <f>Maaned!E8</f>
        <v/>
      </c>
      <c r="F6" s="801">
        <f>Maaned!I8</f>
        <v>4</v>
      </c>
      <c r="G6" s="790" t="str">
        <f>Maaned!J8</f>
        <v>sø</v>
      </c>
      <c r="H6" s="791" t="str">
        <f>September!C12</f>
        <v>Weekend</v>
      </c>
      <c r="I6" s="211">
        <f>September!E12</f>
        <v>0</v>
      </c>
      <c r="J6" s="210" t="str">
        <f>Maaned!L8</f>
        <v/>
      </c>
      <c r="K6" s="801">
        <f>Maaned!P8</f>
        <v>4</v>
      </c>
      <c r="L6" s="790" t="str">
        <f>Maaned!Q8</f>
        <v>ti</v>
      </c>
      <c r="M6" s="791" t="str">
        <f>Oktober!C12</f>
        <v>Skema 1</v>
      </c>
      <c r="N6" s="211">
        <f>Oktober!E12</f>
        <v>0</v>
      </c>
      <c r="O6" s="802" t="str">
        <f>Maaned!S8</f>
        <v/>
      </c>
      <c r="P6" s="811">
        <f>Maaned!W8</f>
        <v>4</v>
      </c>
      <c r="Q6" s="128" t="str">
        <f>Maaned!X8</f>
        <v>fr</v>
      </c>
      <c r="R6" s="135" t="str">
        <f>November!C12</f>
        <v>Skema 1</v>
      </c>
      <c r="S6" s="135">
        <f>November!E12</f>
        <v>0</v>
      </c>
      <c r="T6" s="210" t="str">
        <f>Maaned!Z8</f>
        <v/>
      </c>
      <c r="U6" s="801">
        <f>Maaned!AD8</f>
        <v>4</v>
      </c>
      <c r="V6" s="790" t="str">
        <f>Maaned!AE8</f>
        <v>sø</v>
      </c>
      <c r="W6" s="791" t="str">
        <f>December!C12</f>
        <v>Weekend</v>
      </c>
      <c r="X6" s="211">
        <f>December!E12</f>
        <v>0</v>
      </c>
      <c r="Y6" s="802" t="str">
        <f>Maaned!AG8</f>
        <v/>
      </c>
      <c r="Z6" s="801">
        <f>Maaned!AK8</f>
        <v>4</v>
      </c>
      <c r="AA6" s="790" t="str">
        <f>Maaned!AL8</f>
        <v>on</v>
      </c>
      <c r="AB6" s="791" t="str">
        <f>Januar!C12</f>
        <v>Skema 2</v>
      </c>
      <c r="AC6" s="211">
        <f>Januar!E12</f>
        <v>0</v>
      </c>
      <c r="AD6" s="802" t="str">
        <f>Maaned!AN8</f>
        <v/>
      </c>
    </row>
    <row r="7" spans="1:30" ht="23" customHeight="1">
      <c r="A7" s="801">
        <f>Maaned!B9</f>
        <v>5</v>
      </c>
      <c r="B7" s="790" t="str">
        <f>Maaned!C9</f>
        <v>fr</v>
      </c>
      <c r="C7" s="791" t="str">
        <f>August!C14</f>
        <v>Pæd.dag</v>
      </c>
      <c r="D7" s="211">
        <f>August!E14</f>
        <v>0</v>
      </c>
      <c r="E7" s="802" t="str">
        <f>Maaned!E9</f>
        <v/>
      </c>
      <c r="F7" s="801">
        <f>Maaned!I9</f>
        <v>5</v>
      </c>
      <c r="G7" s="790" t="str">
        <f>Maaned!J9</f>
        <v>ma</v>
      </c>
      <c r="H7" s="791" t="str">
        <f>September!C13</f>
        <v>Lejrskole</v>
      </c>
      <c r="I7" s="211" t="str">
        <f>September!E13</f>
        <v>Bornholm. Afgang kl. 08.00</v>
      </c>
      <c r="J7" s="210">
        <f>Maaned!L9</f>
        <v>36.285714285714285</v>
      </c>
      <c r="K7" s="801">
        <f>Maaned!P9</f>
        <v>5</v>
      </c>
      <c r="L7" s="790" t="str">
        <f>Maaned!Q9</f>
        <v>on</v>
      </c>
      <c r="M7" s="791" t="str">
        <f>Oktober!C13</f>
        <v>Skema 1</v>
      </c>
      <c r="N7" s="211">
        <f>Oktober!E13</f>
        <v>0</v>
      </c>
      <c r="O7" s="802" t="str">
        <f>Maaned!S9</f>
        <v/>
      </c>
      <c r="P7" s="811">
        <f>Maaned!W9</f>
        <v>5</v>
      </c>
      <c r="Q7" s="128" t="str">
        <f>Maaned!X9</f>
        <v>lø</v>
      </c>
      <c r="R7" s="135" t="str">
        <f>November!C13</f>
        <v>Weekend</v>
      </c>
      <c r="S7" s="135">
        <f>November!E13</f>
        <v>0</v>
      </c>
      <c r="T7" s="210" t="str">
        <f>Maaned!Z9</f>
        <v/>
      </c>
      <c r="U7" s="801">
        <f>Maaned!AD9</f>
        <v>5</v>
      </c>
      <c r="V7" s="790" t="str">
        <f>Maaned!AE9</f>
        <v>ma</v>
      </c>
      <c r="W7" s="791" t="str">
        <f>December!C13</f>
        <v>Skema 1</v>
      </c>
      <c r="X7" s="211">
        <f>December!E13</f>
        <v>0</v>
      </c>
      <c r="Y7" s="802">
        <f>Maaned!AG9</f>
        <v>49.285714285714285</v>
      </c>
      <c r="Z7" s="801">
        <f>Maaned!AK9</f>
        <v>5</v>
      </c>
      <c r="AA7" s="790" t="str">
        <f>Maaned!AL9</f>
        <v>to</v>
      </c>
      <c r="AB7" s="791" t="str">
        <f>Januar!C13</f>
        <v>Skema 2</v>
      </c>
      <c r="AC7" s="211">
        <f>Januar!E13</f>
        <v>0</v>
      </c>
      <c r="AD7" s="802" t="str">
        <f>Maaned!AN9</f>
        <v/>
      </c>
    </row>
    <row r="8" spans="1:30" ht="23" customHeight="1">
      <c r="A8" s="801">
        <f>Maaned!B10</f>
        <v>6</v>
      </c>
      <c r="B8" s="790" t="str">
        <f>Maaned!C10</f>
        <v>lø</v>
      </c>
      <c r="C8" s="791" t="str">
        <f>August!C15</f>
        <v>Weekend</v>
      </c>
      <c r="D8" s="211">
        <f>August!E15</f>
        <v>0</v>
      </c>
      <c r="E8" s="802" t="str">
        <f>Maaned!E10</f>
        <v/>
      </c>
      <c r="F8" s="801">
        <f>Maaned!I10</f>
        <v>6</v>
      </c>
      <c r="G8" s="790" t="str">
        <f>Maaned!J10</f>
        <v>ti</v>
      </c>
      <c r="H8" s="791" t="str">
        <f>September!C14</f>
        <v>Lejrskole</v>
      </c>
      <c r="I8" s="211" t="str">
        <f>September!E14</f>
        <v xml:space="preserve">Bornholm  </v>
      </c>
      <c r="J8" s="210" t="str">
        <f>Maaned!L10</f>
        <v/>
      </c>
      <c r="K8" s="801">
        <f>Maaned!P10</f>
        <v>6</v>
      </c>
      <c r="L8" s="790" t="str">
        <f>Maaned!Q10</f>
        <v>to</v>
      </c>
      <c r="M8" s="791" t="str">
        <f>Oktober!C14</f>
        <v>Skema 1</v>
      </c>
      <c r="N8" s="211">
        <f>Oktober!E14</f>
        <v>0</v>
      </c>
      <c r="O8" s="802" t="str">
        <f>Maaned!S10</f>
        <v/>
      </c>
      <c r="P8" s="811">
        <f>Maaned!W10</f>
        <v>6</v>
      </c>
      <c r="Q8" s="128" t="str">
        <f>Maaned!X10</f>
        <v>sø</v>
      </c>
      <c r="R8" s="135" t="str">
        <f>November!C14</f>
        <v>Weekend</v>
      </c>
      <c r="S8" s="135">
        <f>November!E14</f>
        <v>0</v>
      </c>
      <c r="T8" s="210" t="str">
        <f>Maaned!Z10</f>
        <v/>
      </c>
      <c r="U8" s="801">
        <f>Maaned!AD10</f>
        <v>6</v>
      </c>
      <c r="V8" s="790" t="str">
        <f>Maaned!AE10</f>
        <v>ti</v>
      </c>
      <c r="W8" s="791" t="str">
        <f>December!C14</f>
        <v>Skema 1</v>
      </c>
      <c r="X8" s="211">
        <f>December!E14</f>
        <v>0</v>
      </c>
      <c r="Y8" s="802" t="str">
        <f>Maaned!AG10</f>
        <v/>
      </c>
      <c r="Z8" s="801">
        <f>Maaned!AK10</f>
        <v>6</v>
      </c>
      <c r="AA8" s="790" t="str">
        <f>Maaned!AL10</f>
        <v>fr</v>
      </c>
      <c r="AB8" s="791" t="str">
        <f>Januar!C14</f>
        <v>Skema 2</v>
      </c>
      <c r="AC8" s="211">
        <f>Januar!E14</f>
        <v>0</v>
      </c>
      <c r="AD8" s="802" t="str">
        <f>Maaned!AN10</f>
        <v/>
      </c>
    </row>
    <row r="9" spans="1:30" ht="23" customHeight="1">
      <c r="A9" s="801">
        <f>Maaned!B11</f>
        <v>7</v>
      </c>
      <c r="B9" s="790" t="str">
        <f>Maaned!C11</f>
        <v>sø</v>
      </c>
      <c r="C9" s="791" t="str">
        <f>August!C16</f>
        <v>Weekend</v>
      </c>
      <c r="D9" s="211">
        <f>August!E16</f>
        <v>0</v>
      </c>
      <c r="E9" s="802" t="str">
        <f>Maaned!E11</f>
        <v/>
      </c>
      <c r="F9" s="801">
        <f>Maaned!I11</f>
        <v>7</v>
      </c>
      <c r="G9" s="790" t="str">
        <f>Maaned!J11</f>
        <v>on</v>
      </c>
      <c r="H9" s="791" t="str">
        <f>September!C15</f>
        <v>Lejrskole</v>
      </c>
      <c r="I9" s="211" t="str">
        <f>September!E15</f>
        <v xml:space="preserve">Bornholm  </v>
      </c>
      <c r="J9" s="210" t="str">
        <f>Maaned!L11</f>
        <v/>
      </c>
      <c r="K9" s="801">
        <f>Maaned!P11</f>
        <v>7</v>
      </c>
      <c r="L9" s="790" t="str">
        <f>Maaned!Q11</f>
        <v>fr</v>
      </c>
      <c r="M9" s="791" t="str">
        <f>Oktober!C15</f>
        <v>Skema 1</v>
      </c>
      <c r="N9" s="211">
        <f>Oktober!E15</f>
        <v>0</v>
      </c>
      <c r="O9" s="802" t="str">
        <f>Maaned!S11</f>
        <v/>
      </c>
      <c r="P9" s="811">
        <f>Maaned!W11</f>
        <v>7</v>
      </c>
      <c r="Q9" s="128" t="str">
        <f>Maaned!X11</f>
        <v>ma</v>
      </c>
      <c r="R9" s="135" t="str">
        <f>November!C15</f>
        <v>Skema 1</v>
      </c>
      <c r="S9" s="135">
        <f>November!E15</f>
        <v>0</v>
      </c>
      <c r="T9" s="210">
        <f>Maaned!Z11</f>
        <v>45.285714285714285</v>
      </c>
      <c r="U9" s="801">
        <f>Maaned!AD11</f>
        <v>7</v>
      </c>
      <c r="V9" s="790" t="str">
        <f>Maaned!AE11</f>
        <v>on</v>
      </c>
      <c r="W9" s="791" t="str">
        <f>December!C15</f>
        <v>Skema 1</v>
      </c>
      <c r="X9" s="211">
        <f>December!E15</f>
        <v>0</v>
      </c>
      <c r="Y9" s="802" t="str">
        <f>Maaned!AG11</f>
        <v/>
      </c>
      <c r="Z9" s="801">
        <f>Maaned!AK11</f>
        <v>7</v>
      </c>
      <c r="AA9" s="790" t="str">
        <f>Maaned!AL11</f>
        <v>lø</v>
      </c>
      <c r="AB9" s="791" t="str">
        <f>Januar!C15</f>
        <v>Weekend</v>
      </c>
      <c r="AC9" s="211">
        <f>Januar!E15</f>
        <v>0</v>
      </c>
      <c r="AD9" s="802" t="str">
        <f>Maaned!AN11</f>
        <v/>
      </c>
    </row>
    <row r="10" spans="1:30" ht="23" customHeight="1">
      <c r="A10" s="801">
        <f>Maaned!B12</f>
        <v>8</v>
      </c>
      <c r="B10" s="790" t="str">
        <f>Maaned!C12</f>
        <v>ma</v>
      </c>
      <c r="C10" s="791" t="str">
        <f>August!C17</f>
        <v>Emnedag</v>
      </c>
      <c r="D10" s="211" t="str">
        <f>August!E17</f>
        <v>1. skoledag</v>
      </c>
      <c r="E10" s="802">
        <f>Maaned!E12</f>
        <v>32.285714285714285</v>
      </c>
      <c r="F10" s="801">
        <f>Maaned!I12</f>
        <v>8</v>
      </c>
      <c r="G10" s="790" t="str">
        <f>Maaned!J12</f>
        <v>to</v>
      </c>
      <c r="H10" s="791" t="str">
        <f>September!C16</f>
        <v>Lejrskole</v>
      </c>
      <c r="I10" s="211" t="str">
        <f>September!E16</f>
        <v xml:space="preserve">Bornholm  </v>
      </c>
      <c r="J10" s="210" t="str">
        <f>Maaned!L12</f>
        <v/>
      </c>
      <c r="K10" s="801">
        <f>Maaned!P12</f>
        <v>8</v>
      </c>
      <c r="L10" s="790" t="str">
        <f>Maaned!Q12</f>
        <v>lø</v>
      </c>
      <c r="M10" s="791" t="str">
        <f>Oktober!C16</f>
        <v>Weekend</v>
      </c>
      <c r="N10" s="211">
        <f>Oktober!E16</f>
        <v>0</v>
      </c>
      <c r="O10" s="802" t="str">
        <f>Maaned!S12</f>
        <v/>
      </c>
      <c r="P10" s="811">
        <f>Maaned!W12</f>
        <v>8</v>
      </c>
      <c r="Q10" s="128" t="str">
        <f>Maaned!X12</f>
        <v>ti</v>
      </c>
      <c r="R10" s="135" t="str">
        <f>November!C16</f>
        <v>Skema 1</v>
      </c>
      <c r="S10" s="135">
        <f>November!E16</f>
        <v>0</v>
      </c>
      <c r="T10" s="210" t="str">
        <f>Maaned!Z12</f>
        <v/>
      </c>
      <c r="U10" s="801">
        <f>Maaned!AD12</f>
        <v>8</v>
      </c>
      <c r="V10" s="790" t="str">
        <f>Maaned!AE12</f>
        <v>to</v>
      </c>
      <c r="W10" s="791" t="str">
        <f>December!C16</f>
        <v>Skema 1</v>
      </c>
      <c r="X10" s="211">
        <f>December!E16</f>
        <v>0</v>
      </c>
      <c r="Y10" s="802" t="str">
        <f>Maaned!AG12</f>
        <v/>
      </c>
      <c r="Z10" s="801">
        <f>Maaned!AK12</f>
        <v>8</v>
      </c>
      <c r="AA10" s="790" t="str">
        <f>Maaned!AL12</f>
        <v>sø</v>
      </c>
      <c r="AB10" s="791" t="str">
        <f>Januar!C16</f>
        <v>Weekend</v>
      </c>
      <c r="AC10" s="211">
        <f>Januar!E16</f>
        <v>0</v>
      </c>
      <c r="AD10" s="802" t="str">
        <f>Maaned!AN12</f>
        <v/>
      </c>
    </row>
    <row r="11" spans="1:30" ht="23" customHeight="1">
      <c r="A11" s="801">
        <f>Maaned!B13</f>
        <v>9</v>
      </c>
      <c r="B11" s="790" t="str">
        <f>Maaned!C13</f>
        <v>ti</v>
      </c>
      <c r="C11" s="791" t="str">
        <f>August!C18</f>
        <v>Skema 1</v>
      </c>
      <c r="D11" s="211">
        <f>August!E18</f>
        <v>0</v>
      </c>
      <c r="E11" s="802" t="str">
        <f>Maaned!E13</f>
        <v/>
      </c>
      <c r="F11" s="801">
        <f>Maaned!I13</f>
        <v>9</v>
      </c>
      <c r="G11" s="790" t="str">
        <f>Maaned!J13</f>
        <v>fr</v>
      </c>
      <c r="H11" s="791" t="str">
        <f>September!C17</f>
        <v>Lejrskole</v>
      </c>
      <c r="I11" s="211" t="str">
        <f>September!E17</f>
        <v>Bornholm. Forvetntet hjemkomst kl. 14.00</v>
      </c>
      <c r="J11" s="210" t="str">
        <f>Maaned!L13</f>
        <v/>
      </c>
      <c r="K11" s="801">
        <f>Maaned!P13</f>
        <v>9</v>
      </c>
      <c r="L11" s="790" t="str">
        <f>Maaned!Q13</f>
        <v>sø</v>
      </c>
      <c r="M11" s="791" t="str">
        <f>Oktober!C17</f>
        <v>Weekend</v>
      </c>
      <c r="N11" s="211">
        <f>Oktober!E17</f>
        <v>0</v>
      </c>
      <c r="O11" s="802" t="str">
        <f>Maaned!S13</f>
        <v/>
      </c>
      <c r="P11" s="811">
        <f>Maaned!W13</f>
        <v>9</v>
      </c>
      <c r="Q11" s="128" t="str">
        <f>Maaned!X13</f>
        <v>on</v>
      </c>
      <c r="R11" s="135" t="str">
        <f>November!C17</f>
        <v>Skema 1</v>
      </c>
      <c r="S11" s="135">
        <f>November!E17</f>
        <v>0</v>
      </c>
      <c r="T11" s="210" t="str">
        <f>Maaned!Z13</f>
        <v/>
      </c>
      <c r="U11" s="801">
        <f>Maaned!AD13</f>
        <v>9</v>
      </c>
      <c r="V11" s="790" t="str">
        <f>Maaned!AE13</f>
        <v>fr</v>
      </c>
      <c r="W11" s="791" t="str">
        <f>December!C17</f>
        <v>Skema 1</v>
      </c>
      <c r="X11" s="211">
        <f>December!E17</f>
        <v>0</v>
      </c>
      <c r="Y11" s="802" t="str">
        <f>Maaned!AG13</f>
        <v/>
      </c>
      <c r="Z11" s="801">
        <f>Maaned!AK13</f>
        <v>9</v>
      </c>
      <c r="AA11" s="790" t="str">
        <f>Maaned!AL13</f>
        <v>ma</v>
      </c>
      <c r="AB11" s="791" t="str">
        <f>Januar!C17</f>
        <v>Skema 2</v>
      </c>
      <c r="AC11" s="211">
        <f>Januar!E17</f>
        <v>0</v>
      </c>
      <c r="AD11" s="802">
        <f>Maaned!AN13</f>
        <v>2.1428571428571428</v>
      </c>
    </row>
    <row r="12" spans="1:30" ht="23" customHeight="1">
      <c r="A12" s="801">
        <f>Maaned!B14</f>
        <v>10</v>
      </c>
      <c r="B12" s="790" t="str">
        <f>Maaned!C14</f>
        <v>on</v>
      </c>
      <c r="C12" s="791" t="str">
        <f>August!C19</f>
        <v>Skema 1</v>
      </c>
      <c r="D12" s="211">
        <f>August!E19</f>
        <v>0</v>
      </c>
      <c r="E12" s="802" t="str">
        <f>Maaned!E14</f>
        <v/>
      </c>
      <c r="F12" s="801">
        <f>Maaned!I14</f>
        <v>10</v>
      </c>
      <c r="G12" s="790" t="str">
        <f>Maaned!J14</f>
        <v>lø</v>
      </c>
      <c r="H12" s="791" t="str">
        <f>September!C18</f>
        <v>Weekend</v>
      </c>
      <c r="I12" s="211">
        <f>September!E18</f>
        <v>0</v>
      </c>
      <c r="J12" s="210" t="str">
        <f>Maaned!L14</f>
        <v/>
      </c>
      <c r="K12" s="801">
        <f>Maaned!P14</f>
        <v>10</v>
      </c>
      <c r="L12" s="790" t="str">
        <f>Maaned!Q14</f>
        <v>ma</v>
      </c>
      <c r="M12" s="791" t="str">
        <f>Oktober!C18</f>
        <v>Fagdag</v>
      </c>
      <c r="N12" s="211" t="str">
        <f>Oktober!E18</f>
        <v>Naturvidenskabsfestivalsuge</v>
      </c>
      <c r="O12" s="802">
        <f>Maaned!S14</f>
        <v>41.285714285714285</v>
      </c>
      <c r="P12" s="811">
        <f>Maaned!W14</f>
        <v>10</v>
      </c>
      <c r="Q12" s="128" t="str">
        <f>Maaned!X14</f>
        <v>to</v>
      </c>
      <c r="R12" s="135" t="str">
        <f>November!C18</f>
        <v>Skema 1</v>
      </c>
      <c r="S12" s="135">
        <f>November!E18</f>
        <v>0</v>
      </c>
      <c r="T12" s="210" t="str">
        <f>Maaned!Z14</f>
        <v/>
      </c>
      <c r="U12" s="801">
        <f>Maaned!AD14</f>
        <v>10</v>
      </c>
      <c r="V12" s="790" t="str">
        <f>Maaned!AE14</f>
        <v>lø</v>
      </c>
      <c r="W12" s="791" t="str">
        <f>December!C18</f>
        <v>Weekend</v>
      </c>
      <c r="X12" s="211">
        <f>December!E18</f>
        <v>0</v>
      </c>
      <c r="Y12" s="802" t="str">
        <f>Maaned!AG14</f>
        <v/>
      </c>
      <c r="Z12" s="801">
        <f>Maaned!AK14</f>
        <v>10</v>
      </c>
      <c r="AA12" s="790" t="str">
        <f>Maaned!AL14</f>
        <v>ti</v>
      </c>
      <c r="AB12" s="791" t="str">
        <f>Januar!C18</f>
        <v>Skema 2</v>
      </c>
      <c r="AC12" s="211">
        <f>Januar!E18</f>
        <v>0</v>
      </c>
      <c r="AD12" s="802" t="str">
        <f>Maaned!AN14</f>
        <v/>
      </c>
    </row>
    <row r="13" spans="1:30" ht="23" customHeight="1">
      <c r="A13" s="801">
        <f>Maaned!B15</f>
        <v>11</v>
      </c>
      <c r="B13" s="790" t="str">
        <f>Maaned!C15</f>
        <v>to</v>
      </c>
      <c r="C13" s="791" t="str">
        <f>August!C20</f>
        <v>Skema 1</v>
      </c>
      <c r="D13" s="211">
        <f>August!E20</f>
        <v>0</v>
      </c>
      <c r="E13" s="802" t="str">
        <f>Maaned!E15</f>
        <v/>
      </c>
      <c r="F13" s="801">
        <f>Maaned!I15</f>
        <v>11</v>
      </c>
      <c r="G13" s="790" t="str">
        <f>Maaned!J15</f>
        <v>sø</v>
      </c>
      <c r="H13" s="791" t="str">
        <f>September!C19</f>
        <v>Weekend</v>
      </c>
      <c r="I13" s="211">
        <f>September!E19</f>
        <v>0</v>
      </c>
      <c r="J13" s="210" t="str">
        <f>Maaned!L15</f>
        <v/>
      </c>
      <c r="K13" s="801">
        <f>Maaned!P15</f>
        <v>11</v>
      </c>
      <c r="L13" s="790" t="str">
        <f>Maaned!Q15</f>
        <v>ti</v>
      </c>
      <c r="M13" s="791" t="str">
        <f>Oktober!C19</f>
        <v>Fagdag</v>
      </c>
      <c r="N13" s="211">
        <f>Oktober!E19</f>
        <v>0</v>
      </c>
      <c r="O13" s="802" t="str">
        <f>Maaned!S15</f>
        <v/>
      </c>
      <c r="P13" s="811">
        <f>Maaned!W15</f>
        <v>11</v>
      </c>
      <c r="Q13" s="128" t="str">
        <f>Maaned!X15</f>
        <v>fr</v>
      </c>
      <c r="R13" s="135" t="str">
        <f>November!C19</f>
        <v>Skema 1</v>
      </c>
      <c r="S13" s="135">
        <f>November!E19</f>
        <v>0</v>
      </c>
      <c r="T13" s="210" t="str">
        <f>Maaned!Z15</f>
        <v/>
      </c>
      <c r="U13" s="801">
        <f>Maaned!AD15</f>
        <v>11</v>
      </c>
      <c r="V13" s="790" t="str">
        <f>Maaned!AE15</f>
        <v>sø</v>
      </c>
      <c r="W13" s="791" t="str">
        <f>December!C19</f>
        <v>Weekend</v>
      </c>
      <c r="X13" s="211">
        <f>December!E19</f>
        <v>0</v>
      </c>
      <c r="Y13" s="802" t="str">
        <f>Maaned!AG15</f>
        <v/>
      </c>
      <c r="Z13" s="801">
        <f>Maaned!AK15</f>
        <v>11</v>
      </c>
      <c r="AA13" s="790" t="str">
        <f>Maaned!AL15</f>
        <v>on</v>
      </c>
      <c r="AB13" s="791" t="str">
        <f>Januar!C19</f>
        <v>Skema 2</v>
      </c>
      <c r="AC13" s="211">
        <f>Januar!E19</f>
        <v>0</v>
      </c>
      <c r="AD13" s="802" t="str">
        <f>Maaned!AN15</f>
        <v/>
      </c>
    </row>
    <row r="14" spans="1:30" ht="23" customHeight="1">
      <c r="A14" s="801">
        <f>Maaned!B16</f>
        <v>12</v>
      </c>
      <c r="B14" s="790" t="str">
        <f>Maaned!C16</f>
        <v>fr</v>
      </c>
      <c r="C14" s="791" t="str">
        <f>August!C21</f>
        <v>Skema 1</v>
      </c>
      <c r="D14" s="211">
        <f>August!E21</f>
        <v>0</v>
      </c>
      <c r="E14" s="802" t="str">
        <f>Maaned!E16</f>
        <v/>
      </c>
      <c r="F14" s="801">
        <f>Maaned!I16</f>
        <v>12</v>
      </c>
      <c r="G14" s="790" t="str">
        <f>Maaned!J16</f>
        <v>ma</v>
      </c>
      <c r="H14" s="791" t="str">
        <f>September!C20</f>
        <v>Skema 1</v>
      </c>
      <c r="I14" s="211">
        <f>September!E20</f>
        <v>0</v>
      </c>
      <c r="J14" s="210">
        <f>Maaned!L16</f>
        <v>37.285714285714285</v>
      </c>
      <c r="K14" s="801">
        <f>Maaned!P16</f>
        <v>12</v>
      </c>
      <c r="L14" s="790" t="str">
        <f>Maaned!Q16</f>
        <v>on</v>
      </c>
      <c r="M14" s="791" t="str">
        <f>Oktober!C20</f>
        <v>Fagdag</v>
      </c>
      <c r="N14" s="211">
        <f>Oktober!E20</f>
        <v>0</v>
      </c>
      <c r="O14" s="802" t="str">
        <f>Maaned!S16</f>
        <v/>
      </c>
      <c r="P14" s="811">
        <f>Maaned!W16</f>
        <v>12</v>
      </c>
      <c r="Q14" s="128" t="str">
        <f>Maaned!X16</f>
        <v>lø</v>
      </c>
      <c r="R14" s="135" t="str">
        <f>November!C20</f>
        <v>Weekend</v>
      </c>
      <c r="S14" s="135">
        <f>November!E20</f>
        <v>0</v>
      </c>
      <c r="T14" s="210" t="str">
        <f>Maaned!Z16</f>
        <v/>
      </c>
      <c r="U14" s="801">
        <f>Maaned!AD16</f>
        <v>12</v>
      </c>
      <c r="V14" s="790" t="str">
        <f>Maaned!AE16</f>
        <v>ma</v>
      </c>
      <c r="W14" s="791" t="str">
        <f>December!C20</f>
        <v>Skema 1</v>
      </c>
      <c r="X14" s="211">
        <f>December!E20</f>
        <v>0</v>
      </c>
      <c r="Y14" s="802">
        <f>Maaned!AG16</f>
        <v>50.285714285714285</v>
      </c>
      <c r="Z14" s="801">
        <f>Maaned!AK16</f>
        <v>12</v>
      </c>
      <c r="AA14" s="790" t="str">
        <f>Maaned!AL16</f>
        <v>to</v>
      </c>
      <c r="AB14" s="791" t="str">
        <f>Januar!C20</f>
        <v>Skema 2</v>
      </c>
      <c r="AC14" s="211">
        <f>Januar!E20</f>
        <v>0</v>
      </c>
      <c r="AD14" s="802" t="str">
        <f>Maaned!AN16</f>
        <v/>
      </c>
    </row>
    <row r="15" spans="1:30" ht="23" customHeight="1">
      <c r="A15" s="801">
        <f>Maaned!B17</f>
        <v>13</v>
      </c>
      <c r="B15" s="790" t="str">
        <f>Maaned!C17</f>
        <v>lø</v>
      </c>
      <c r="C15" s="791" t="str">
        <f>August!C22</f>
        <v>Weekend</v>
      </c>
      <c r="D15" s="211">
        <f>August!E22</f>
        <v>0</v>
      </c>
      <c r="E15" s="802" t="str">
        <f>Maaned!E17</f>
        <v/>
      </c>
      <c r="F15" s="801">
        <f>Maaned!I17</f>
        <v>13</v>
      </c>
      <c r="G15" s="790" t="str">
        <f>Maaned!J17</f>
        <v>ti</v>
      </c>
      <c r="H15" s="791" t="str">
        <f>September!C21</f>
        <v>Skema 1</v>
      </c>
      <c r="I15" s="211">
        <f>September!E21</f>
        <v>0</v>
      </c>
      <c r="J15" s="210" t="str">
        <f>Maaned!L17</f>
        <v/>
      </c>
      <c r="K15" s="801">
        <f>Maaned!P17</f>
        <v>13</v>
      </c>
      <c r="L15" s="790" t="str">
        <f>Maaned!Q17</f>
        <v>to</v>
      </c>
      <c r="M15" s="791" t="str">
        <f>Oktober!C21</f>
        <v>Fagdag</v>
      </c>
      <c r="N15" s="211">
        <f>Oktober!E21</f>
        <v>0</v>
      </c>
      <c r="O15" s="802" t="str">
        <f>Maaned!S17</f>
        <v/>
      </c>
      <c r="P15" s="811">
        <f>Maaned!W17</f>
        <v>13</v>
      </c>
      <c r="Q15" s="128" t="str">
        <f>Maaned!X17</f>
        <v>sø</v>
      </c>
      <c r="R15" s="135" t="str">
        <f>November!C21</f>
        <v>Weekend</v>
      </c>
      <c r="S15" s="135">
        <f>November!E21</f>
        <v>0</v>
      </c>
      <c r="T15" s="210" t="str">
        <f>Maaned!Z17</f>
        <v/>
      </c>
      <c r="U15" s="801">
        <f>Maaned!AD17</f>
        <v>13</v>
      </c>
      <c r="V15" s="790" t="str">
        <f>Maaned!AE17</f>
        <v>ti</v>
      </c>
      <c r="W15" s="791" t="str">
        <f>December!C21</f>
        <v>Skema 1</v>
      </c>
      <c r="X15" s="211">
        <f>December!E21</f>
        <v>0</v>
      </c>
      <c r="Y15" s="802" t="str">
        <f>Maaned!AG17</f>
        <v/>
      </c>
      <c r="Z15" s="801">
        <f>Maaned!AK17</f>
        <v>13</v>
      </c>
      <c r="AA15" s="790" t="str">
        <f>Maaned!AL17</f>
        <v>fr</v>
      </c>
      <c r="AB15" s="791" t="str">
        <f>Januar!C21</f>
        <v>Skema 2</v>
      </c>
      <c r="AC15" s="211">
        <f>Januar!E21</f>
        <v>0</v>
      </c>
      <c r="AD15" s="802" t="str">
        <f>Maaned!AN17</f>
        <v/>
      </c>
    </row>
    <row r="16" spans="1:30" ht="23" customHeight="1">
      <c r="A16" s="801">
        <f>Maaned!B18</f>
        <v>14</v>
      </c>
      <c r="B16" s="790" t="str">
        <f>Maaned!C18</f>
        <v>sø</v>
      </c>
      <c r="C16" s="791" t="str">
        <f>August!C23</f>
        <v>Weekend</v>
      </c>
      <c r="D16" s="211">
        <f>August!E23</f>
        <v>0</v>
      </c>
      <c r="E16" s="802" t="str">
        <f>Maaned!E18</f>
        <v/>
      </c>
      <c r="F16" s="801">
        <f>Maaned!I18</f>
        <v>14</v>
      </c>
      <c r="G16" s="790" t="str">
        <f>Maaned!J18</f>
        <v>on</v>
      </c>
      <c r="H16" s="791" t="str">
        <f>September!C22</f>
        <v>Skema 1</v>
      </c>
      <c r="I16" s="211">
        <f>September!E22</f>
        <v>0</v>
      </c>
      <c r="J16" s="210" t="str">
        <f>Maaned!L18</f>
        <v/>
      </c>
      <c r="K16" s="801">
        <f>Maaned!P18</f>
        <v>14</v>
      </c>
      <c r="L16" s="790" t="str">
        <f>Maaned!Q18</f>
        <v>fr</v>
      </c>
      <c r="M16" s="791" t="str">
        <f>Oktober!C22</f>
        <v>Fagdag</v>
      </c>
      <c r="N16" s="211">
        <f>Oktober!E22</f>
        <v>0</v>
      </c>
      <c r="O16" s="802" t="str">
        <f>Maaned!S18</f>
        <v/>
      </c>
      <c r="P16" s="811">
        <f>Maaned!W18</f>
        <v>14</v>
      </c>
      <c r="Q16" s="128" t="str">
        <f>Maaned!X18</f>
        <v>ma</v>
      </c>
      <c r="R16" s="135" t="str">
        <f>November!C22</f>
        <v>Skema 1</v>
      </c>
      <c r="S16" s="135">
        <f>November!E22</f>
        <v>0</v>
      </c>
      <c r="T16" s="210">
        <f>Maaned!Z18</f>
        <v>46.285714285714285</v>
      </c>
      <c r="U16" s="801">
        <f>Maaned!AD18</f>
        <v>14</v>
      </c>
      <c r="V16" s="790" t="str">
        <f>Maaned!AE18</f>
        <v>on</v>
      </c>
      <c r="W16" s="791" t="str">
        <f>December!C22</f>
        <v>Skema 1</v>
      </c>
      <c r="X16" s="211">
        <f>December!E22</f>
        <v>0</v>
      </c>
      <c r="Y16" s="802" t="str">
        <f>Maaned!AG18</f>
        <v/>
      </c>
      <c r="Z16" s="801">
        <f>Maaned!AK18</f>
        <v>14</v>
      </c>
      <c r="AA16" s="790" t="str">
        <f>Maaned!AL18</f>
        <v>lø</v>
      </c>
      <c r="AB16" s="791" t="str">
        <f>Januar!C22</f>
        <v>Weekend</v>
      </c>
      <c r="AC16" s="211">
        <f>Januar!E22</f>
        <v>0</v>
      </c>
      <c r="AD16" s="802" t="str">
        <f>Maaned!AN18</f>
        <v/>
      </c>
    </row>
    <row r="17" spans="1:30" ht="23" customHeight="1">
      <c r="A17" s="801">
        <f>Maaned!B19</f>
        <v>15</v>
      </c>
      <c r="B17" s="790" t="str">
        <f>Maaned!C19</f>
        <v>ma</v>
      </c>
      <c r="C17" s="791" t="str">
        <f>August!C24</f>
        <v>Skema 1</v>
      </c>
      <c r="D17" s="211">
        <f>August!E24</f>
        <v>0</v>
      </c>
      <c r="E17" s="802">
        <f>Maaned!E19</f>
        <v>33.285714285714285</v>
      </c>
      <c r="F17" s="801">
        <f>Maaned!I19</f>
        <v>15</v>
      </c>
      <c r="G17" s="790" t="str">
        <f>Maaned!J19</f>
        <v>to</v>
      </c>
      <c r="H17" s="791" t="str">
        <f>September!C23</f>
        <v>Skema 1</v>
      </c>
      <c r="I17" s="211">
        <f>September!E23</f>
        <v>0</v>
      </c>
      <c r="J17" s="210" t="str">
        <f>Maaned!L19</f>
        <v/>
      </c>
      <c r="K17" s="801">
        <f>Maaned!P19</f>
        <v>15</v>
      </c>
      <c r="L17" s="790" t="str">
        <f>Maaned!Q19</f>
        <v>lø</v>
      </c>
      <c r="M17" s="791" t="str">
        <f>Oktober!C23</f>
        <v>Weekend</v>
      </c>
      <c r="N17" s="211">
        <f>Oktober!E23</f>
        <v>0</v>
      </c>
      <c r="O17" s="802" t="str">
        <f>Maaned!S19</f>
        <v/>
      </c>
      <c r="P17" s="811">
        <f>Maaned!W19</f>
        <v>15</v>
      </c>
      <c r="Q17" s="128" t="str">
        <f>Maaned!X19</f>
        <v>ti</v>
      </c>
      <c r="R17" s="135" t="str">
        <f>November!C23</f>
        <v>Skema 1</v>
      </c>
      <c r="S17" s="135">
        <f>November!E23</f>
        <v>0</v>
      </c>
      <c r="T17" s="210" t="str">
        <f>Maaned!Z19</f>
        <v/>
      </c>
      <c r="U17" s="801">
        <f>Maaned!AD19</f>
        <v>15</v>
      </c>
      <c r="V17" s="790" t="str">
        <f>Maaned!AE19</f>
        <v>to</v>
      </c>
      <c r="W17" s="791" t="str">
        <f>December!C23</f>
        <v>Skema 1</v>
      </c>
      <c r="X17" s="211">
        <f>December!E23</f>
        <v>0</v>
      </c>
      <c r="Y17" s="802" t="str">
        <f>Maaned!AG19</f>
        <v/>
      </c>
      <c r="Z17" s="801">
        <f>Maaned!AK19</f>
        <v>15</v>
      </c>
      <c r="AA17" s="790" t="str">
        <f>Maaned!AL19</f>
        <v>sø</v>
      </c>
      <c r="AB17" s="791" t="str">
        <f>Januar!C23</f>
        <v>Weekend</v>
      </c>
      <c r="AC17" s="211">
        <f>Januar!E23</f>
        <v>0</v>
      </c>
      <c r="AD17" s="802" t="str">
        <f>Maaned!AN19</f>
        <v/>
      </c>
    </row>
    <row r="18" spans="1:30" ht="23" customHeight="1">
      <c r="A18" s="801">
        <f>Maaned!B20</f>
        <v>16</v>
      </c>
      <c r="B18" s="790" t="str">
        <f>Maaned!C20</f>
        <v>ti</v>
      </c>
      <c r="C18" s="791" t="str">
        <f>August!C25</f>
        <v>Skema 1</v>
      </c>
      <c r="D18" s="211">
        <f>August!E25</f>
        <v>0</v>
      </c>
      <c r="E18" s="802" t="str">
        <f>Maaned!E20</f>
        <v/>
      </c>
      <c r="F18" s="801">
        <f>Maaned!I20</f>
        <v>16</v>
      </c>
      <c r="G18" s="790" t="str">
        <f>Maaned!J20</f>
        <v>fr</v>
      </c>
      <c r="H18" s="791" t="str">
        <f>September!C24</f>
        <v>Skema 1</v>
      </c>
      <c r="I18" s="211">
        <f>September!E24</f>
        <v>0</v>
      </c>
      <c r="J18" s="210" t="str">
        <f>Maaned!L20</f>
        <v/>
      </c>
      <c r="K18" s="801">
        <f>Maaned!P20</f>
        <v>16</v>
      </c>
      <c r="L18" s="790" t="str">
        <f>Maaned!Q20</f>
        <v>sø</v>
      </c>
      <c r="M18" s="791" t="str">
        <f>Oktober!C24</f>
        <v>Weekend</v>
      </c>
      <c r="N18" s="211">
        <f>Oktober!E24</f>
        <v>0</v>
      </c>
      <c r="O18" s="802" t="str">
        <f>Maaned!S20</f>
        <v/>
      </c>
      <c r="P18" s="811">
        <f>Maaned!W20</f>
        <v>16</v>
      </c>
      <c r="Q18" s="128" t="str">
        <f>Maaned!X20</f>
        <v>on</v>
      </c>
      <c r="R18" s="135" t="str">
        <f>November!C24</f>
        <v>Skema 1</v>
      </c>
      <c r="S18" s="135">
        <f>November!E24</f>
        <v>0</v>
      </c>
      <c r="T18" s="210" t="str">
        <f>Maaned!Z20</f>
        <v/>
      </c>
      <c r="U18" s="801">
        <f>Maaned!AD20</f>
        <v>16</v>
      </c>
      <c r="V18" s="790" t="str">
        <f>Maaned!AE20</f>
        <v>fr</v>
      </c>
      <c r="W18" s="791" t="str">
        <f>December!C24</f>
        <v>Skema 1</v>
      </c>
      <c r="X18" s="211">
        <f>December!E24</f>
        <v>0</v>
      </c>
      <c r="Y18" s="802" t="str">
        <f>Maaned!AG20</f>
        <v/>
      </c>
      <c r="Z18" s="801">
        <f>Maaned!AK20</f>
        <v>16</v>
      </c>
      <c r="AA18" s="790" t="str">
        <f>Maaned!AL20</f>
        <v>ma</v>
      </c>
      <c r="AB18" s="791" t="str">
        <f>Januar!C24</f>
        <v>Skema 2</v>
      </c>
      <c r="AC18" s="211">
        <f>Januar!E24</f>
        <v>0</v>
      </c>
      <c r="AD18" s="802">
        <f>Maaned!AN20</f>
        <v>3.1428571428571428</v>
      </c>
    </row>
    <row r="19" spans="1:30" ht="23" customHeight="1">
      <c r="A19" s="801">
        <f>Maaned!B21</f>
        <v>17</v>
      </c>
      <c r="B19" s="790" t="str">
        <f>Maaned!C21</f>
        <v>on</v>
      </c>
      <c r="C19" s="791" t="str">
        <f>August!C26</f>
        <v>Skema 1</v>
      </c>
      <c r="D19" s="211">
        <f>August!E26</f>
        <v>0</v>
      </c>
      <c r="E19" s="802" t="str">
        <f>Maaned!E21</f>
        <v/>
      </c>
      <c r="F19" s="801">
        <f>Maaned!I21</f>
        <v>17</v>
      </c>
      <c r="G19" s="790" t="str">
        <f>Maaned!J21</f>
        <v>lø</v>
      </c>
      <c r="H19" s="791" t="str">
        <f>September!C25</f>
        <v>Weekend</v>
      </c>
      <c r="I19" s="211">
        <f>September!E25</f>
        <v>0</v>
      </c>
      <c r="J19" s="210" t="str">
        <f>Maaned!L21</f>
        <v/>
      </c>
      <c r="K19" s="801">
        <f>Maaned!P21</f>
        <v>17</v>
      </c>
      <c r="L19" s="790" t="str">
        <f>Maaned!Q21</f>
        <v>ma</v>
      </c>
      <c r="M19" s="791" t="str">
        <f>Oktober!C25</f>
        <v>Feriedag</v>
      </c>
      <c r="N19" s="211" t="str">
        <f>Oktober!E25</f>
        <v>Efterårsferie</v>
      </c>
      <c r="O19" s="802">
        <f>Maaned!S21</f>
        <v>42.285714285714285</v>
      </c>
      <c r="P19" s="811">
        <f>Maaned!W21</f>
        <v>17</v>
      </c>
      <c r="Q19" s="128" t="str">
        <f>Maaned!X21</f>
        <v>to</v>
      </c>
      <c r="R19" s="135" t="str">
        <f>November!C25</f>
        <v>Skema 1</v>
      </c>
      <c r="S19" s="135">
        <f>November!E25</f>
        <v>0</v>
      </c>
      <c r="T19" s="210" t="str">
        <f>Maaned!Z21</f>
        <v/>
      </c>
      <c r="U19" s="801">
        <f>Maaned!AD21</f>
        <v>17</v>
      </c>
      <c r="V19" s="790" t="str">
        <f>Maaned!AE21</f>
        <v>lø</v>
      </c>
      <c r="W19" s="791" t="str">
        <f>December!C25</f>
        <v>Weekend</v>
      </c>
      <c r="X19" s="211">
        <f>December!E25</f>
        <v>0</v>
      </c>
      <c r="Y19" s="802" t="str">
        <f>Maaned!AG21</f>
        <v/>
      </c>
      <c r="Z19" s="801">
        <f>Maaned!AK21</f>
        <v>17</v>
      </c>
      <c r="AA19" s="790" t="str">
        <f>Maaned!AL21</f>
        <v>ti</v>
      </c>
      <c r="AB19" s="791" t="str">
        <f>Januar!C25</f>
        <v>Skema 2</v>
      </c>
      <c r="AC19" s="211">
        <f>Januar!E25</f>
        <v>0</v>
      </c>
      <c r="AD19" s="802" t="str">
        <f>Maaned!AN21</f>
        <v/>
      </c>
    </row>
    <row r="20" spans="1:30" ht="23" customHeight="1">
      <c r="A20" s="801">
        <f>Maaned!B22</f>
        <v>18</v>
      </c>
      <c r="B20" s="790" t="str">
        <f>Maaned!C22</f>
        <v>to</v>
      </c>
      <c r="C20" s="791" t="str">
        <f>August!C27</f>
        <v>Skema 1</v>
      </c>
      <c r="D20" s="211">
        <f>August!E27</f>
        <v>0</v>
      </c>
      <c r="E20" s="802" t="str">
        <f>Maaned!E22</f>
        <v/>
      </c>
      <c r="F20" s="801">
        <f>Maaned!I22</f>
        <v>18</v>
      </c>
      <c r="G20" s="790" t="str">
        <f>Maaned!J22</f>
        <v>sø</v>
      </c>
      <c r="H20" s="791" t="str">
        <f>September!C26</f>
        <v>Weekend</v>
      </c>
      <c r="I20" s="211">
        <f>September!E26</f>
        <v>0</v>
      </c>
      <c r="J20" s="210" t="str">
        <f>Maaned!L22</f>
        <v/>
      </c>
      <c r="K20" s="801">
        <f>Maaned!P22</f>
        <v>18</v>
      </c>
      <c r="L20" s="790" t="str">
        <f>Maaned!Q22</f>
        <v>ti</v>
      </c>
      <c r="M20" s="791" t="str">
        <f>Oktober!C26</f>
        <v>Feriedag</v>
      </c>
      <c r="N20" s="211" t="str">
        <f>Oktober!E26</f>
        <v>Efterårsferie</v>
      </c>
      <c r="O20" s="802" t="str">
        <f>Maaned!S22</f>
        <v/>
      </c>
      <c r="P20" s="811">
        <f>Maaned!W22</f>
        <v>18</v>
      </c>
      <c r="Q20" s="128" t="str">
        <f>Maaned!X22</f>
        <v>fr</v>
      </c>
      <c r="R20" s="135" t="str">
        <f>November!C26</f>
        <v>Skema 1</v>
      </c>
      <c r="S20" s="135">
        <f>November!E26</f>
        <v>0</v>
      </c>
      <c r="T20" s="210" t="str">
        <f>Maaned!Z22</f>
        <v/>
      </c>
      <c r="U20" s="801">
        <f>Maaned!AD22</f>
        <v>18</v>
      </c>
      <c r="V20" s="790" t="str">
        <f>Maaned!AE22</f>
        <v>sø</v>
      </c>
      <c r="W20" s="791" t="str">
        <f>December!C26</f>
        <v>Weekend</v>
      </c>
      <c r="X20" s="211">
        <f>December!E26</f>
        <v>0</v>
      </c>
      <c r="Y20" s="802" t="str">
        <f>Maaned!AG22</f>
        <v/>
      </c>
      <c r="Z20" s="801">
        <f>Maaned!AK22</f>
        <v>18</v>
      </c>
      <c r="AA20" s="790" t="str">
        <f>Maaned!AL22</f>
        <v>on</v>
      </c>
      <c r="AB20" s="791" t="str">
        <f>Januar!C26</f>
        <v>Skema 2</v>
      </c>
      <c r="AC20" s="211">
        <f>Januar!E26</f>
        <v>0</v>
      </c>
      <c r="AD20" s="802" t="str">
        <f>Maaned!AN22</f>
        <v/>
      </c>
    </row>
    <row r="21" spans="1:30" ht="23" customHeight="1">
      <c r="A21" s="801">
        <f>Maaned!B23</f>
        <v>19</v>
      </c>
      <c r="B21" s="790" t="str">
        <f>Maaned!C23</f>
        <v>fr</v>
      </c>
      <c r="C21" s="791" t="str">
        <f>August!C28</f>
        <v>Skema 1</v>
      </c>
      <c r="D21" s="211">
        <f>August!E28</f>
        <v>0</v>
      </c>
      <c r="E21" s="802" t="str">
        <f>Maaned!E23</f>
        <v/>
      </c>
      <c r="F21" s="801">
        <f>Maaned!I23</f>
        <v>19</v>
      </c>
      <c r="G21" s="790" t="str">
        <f>Maaned!J23</f>
        <v>ma</v>
      </c>
      <c r="H21" s="791" t="str">
        <f>September!C27</f>
        <v>Skema 1</v>
      </c>
      <c r="I21" s="211">
        <f>September!E27</f>
        <v>0</v>
      </c>
      <c r="J21" s="210">
        <f>Maaned!L23</f>
        <v>38.285714285714285</v>
      </c>
      <c r="K21" s="801">
        <f>Maaned!P23</f>
        <v>19</v>
      </c>
      <c r="L21" s="790" t="str">
        <f>Maaned!Q23</f>
        <v>on</v>
      </c>
      <c r="M21" s="791" t="str">
        <f>Oktober!C27</f>
        <v>Feriedag</v>
      </c>
      <c r="N21" s="211" t="str">
        <f>Oktober!E27</f>
        <v>Efterårsferie</v>
      </c>
      <c r="O21" s="802" t="str">
        <f>Maaned!S23</f>
        <v/>
      </c>
      <c r="P21" s="811">
        <f>Maaned!W23</f>
        <v>19</v>
      </c>
      <c r="Q21" s="128" t="str">
        <f>Maaned!X23</f>
        <v>lø</v>
      </c>
      <c r="R21" s="135" t="str">
        <f>November!C27</f>
        <v>Weekend</v>
      </c>
      <c r="S21" s="135">
        <f>November!E27</f>
        <v>0</v>
      </c>
      <c r="T21" s="210" t="str">
        <f>Maaned!Z23</f>
        <v/>
      </c>
      <c r="U21" s="801">
        <f>Maaned!AD23</f>
        <v>19</v>
      </c>
      <c r="V21" s="790" t="str">
        <f>Maaned!AE23</f>
        <v>ma</v>
      </c>
      <c r="W21" s="791" t="str">
        <f>December!C27</f>
        <v>Skema 1</v>
      </c>
      <c r="X21" s="211">
        <f>December!E27</f>
        <v>0</v>
      </c>
      <c r="Y21" s="802">
        <f>Maaned!AG23</f>
        <v>51.285714285714285</v>
      </c>
      <c r="Z21" s="801">
        <f>Maaned!AK23</f>
        <v>19</v>
      </c>
      <c r="AA21" s="790" t="str">
        <f>Maaned!AL23</f>
        <v>to</v>
      </c>
      <c r="AB21" s="791" t="str">
        <f>Januar!C27</f>
        <v>Skema 2</v>
      </c>
      <c r="AC21" s="211">
        <f>Januar!E27</f>
        <v>0</v>
      </c>
      <c r="AD21" s="802" t="str">
        <f>Maaned!AN23</f>
        <v/>
      </c>
    </row>
    <row r="22" spans="1:30" ht="23" customHeight="1">
      <c r="A22" s="801">
        <f>Maaned!B24</f>
        <v>20</v>
      </c>
      <c r="B22" s="790" t="str">
        <f>Maaned!C24</f>
        <v>lø</v>
      </c>
      <c r="C22" s="791" t="str">
        <f>August!C29</f>
        <v>Weekend</v>
      </c>
      <c r="D22" s="211">
        <f>August!E29</f>
        <v>0</v>
      </c>
      <c r="E22" s="802" t="str">
        <f>Maaned!E24</f>
        <v/>
      </c>
      <c r="F22" s="801">
        <f>Maaned!I24</f>
        <v>20</v>
      </c>
      <c r="G22" s="790" t="str">
        <f>Maaned!J24</f>
        <v>ti</v>
      </c>
      <c r="H22" s="791" t="str">
        <f>September!C28</f>
        <v>Skema 1</v>
      </c>
      <c r="I22" s="211">
        <f>September!E28</f>
        <v>0</v>
      </c>
      <c r="J22" s="210" t="str">
        <f>Maaned!L24</f>
        <v/>
      </c>
      <c r="K22" s="801">
        <f>Maaned!P24</f>
        <v>20</v>
      </c>
      <c r="L22" s="790" t="str">
        <f>Maaned!Q24</f>
        <v>to</v>
      </c>
      <c r="M22" s="791" t="str">
        <f>Oktober!C28</f>
        <v>Feriedag</v>
      </c>
      <c r="N22" s="211" t="str">
        <f>Oktober!E28</f>
        <v>Efterårsferie</v>
      </c>
      <c r="O22" s="802" t="str">
        <f>Maaned!S24</f>
        <v/>
      </c>
      <c r="P22" s="811">
        <f>Maaned!W24</f>
        <v>20</v>
      </c>
      <c r="Q22" s="128" t="str">
        <f>Maaned!X24</f>
        <v>sø</v>
      </c>
      <c r="R22" s="135" t="str">
        <f>November!C28</f>
        <v>Weekend</v>
      </c>
      <c r="S22" s="135">
        <f>November!E28</f>
        <v>0</v>
      </c>
      <c r="T22" s="210" t="str">
        <f>Maaned!Z24</f>
        <v/>
      </c>
      <c r="U22" s="801">
        <f>Maaned!AD24</f>
        <v>20</v>
      </c>
      <c r="V22" s="790" t="str">
        <f>Maaned!AE24</f>
        <v>ti</v>
      </c>
      <c r="W22" s="791" t="str">
        <f>December!C28</f>
        <v>Skema 1</v>
      </c>
      <c r="X22" s="211">
        <f>December!E28</f>
        <v>0</v>
      </c>
      <c r="Y22" s="802" t="str">
        <f>Maaned!AG24</f>
        <v/>
      </c>
      <c r="Z22" s="801">
        <f>Maaned!AK24</f>
        <v>20</v>
      </c>
      <c r="AA22" s="790" t="str">
        <f>Maaned!AL24</f>
        <v>fr</v>
      </c>
      <c r="AB22" s="791" t="str">
        <f>Januar!C28</f>
        <v>Skema 2</v>
      </c>
      <c r="AC22" s="211">
        <f>Januar!E28</f>
        <v>0</v>
      </c>
      <c r="AD22" s="802" t="str">
        <f>Maaned!AN24</f>
        <v/>
      </c>
    </row>
    <row r="23" spans="1:30" ht="23" customHeight="1">
      <c r="A23" s="801">
        <f>Maaned!B25</f>
        <v>21</v>
      </c>
      <c r="B23" s="790" t="str">
        <f>Maaned!C25</f>
        <v>sø</v>
      </c>
      <c r="C23" s="791" t="str">
        <f>August!C30</f>
        <v>Weekend</v>
      </c>
      <c r="D23" s="211">
        <f>August!E30</f>
        <v>0</v>
      </c>
      <c r="E23" s="802" t="str">
        <f>Maaned!E25</f>
        <v/>
      </c>
      <c r="F23" s="801">
        <f>Maaned!I25</f>
        <v>21</v>
      </c>
      <c r="G23" s="790" t="str">
        <f>Maaned!J25</f>
        <v>on</v>
      </c>
      <c r="H23" s="791" t="str">
        <f>September!C29</f>
        <v>Skema 1</v>
      </c>
      <c r="I23" s="211">
        <f>September!E29</f>
        <v>0</v>
      </c>
      <c r="J23" s="210" t="str">
        <f>Maaned!L25</f>
        <v/>
      </c>
      <c r="K23" s="801">
        <f>Maaned!P25</f>
        <v>21</v>
      </c>
      <c r="L23" s="790" t="str">
        <f>Maaned!Q25</f>
        <v>fr</v>
      </c>
      <c r="M23" s="791" t="str">
        <f>Oktober!C29</f>
        <v>Feriedag</v>
      </c>
      <c r="N23" s="211" t="str">
        <f>Oktober!E29</f>
        <v>Efterårsferie</v>
      </c>
      <c r="O23" s="802" t="str">
        <f>Maaned!S25</f>
        <v/>
      </c>
      <c r="P23" s="811">
        <f>Maaned!W25</f>
        <v>21</v>
      </c>
      <c r="Q23" s="128" t="str">
        <f>Maaned!X25</f>
        <v>ma</v>
      </c>
      <c r="R23" s="135" t="str">
        <f>November!C29</f>
        <v>Skema 1</v>
      </c>
      <c r="S23" s="135">
        <f>November!E29</f>
        <v>0</v>
      </c>
      <c r="T23" s="210">
        <f>Maaned!Z25</f>
        <v>47.285714285714285</v>
      </c>
      <c r="U23" s="801">
        <f>Maaned!AD25</f>
        <v>21</v>
      </c>
      <c r="V23" s="790" t="str">
        <f>Maaned!AE25</f>
        <v>on</v>
      </c>
      <c r="W23" s="791" t="str">
        <f>December!C29</f>
        <v>Emnedag</v>
      </c>
      <c r="X23" s="211" t="str">
        <f>December!E29</f>
        <v>Juleafslutning</v>
      </c>
      <c r="Y23" s="802" t="str">
        <f>Maaned!AG25</f>
        <v/>
      </c>
      <c r="Z23" s="801">
        <f>Maaned!AK25</f>
        <v>21</v>
      </c>
      <c r="AA23" s="790" t="str">
        <f>Maaned!AL25</f>
        <v>lø</v>
      </c>
      <c r="AB23" s="791" t="str">
        <f>Januar!C29</f>
        <v>Weekend</v>
      </c>
      <c r="AC23" s="211">
        <f>Januar!E29</f>
        <v>0</v>
      </c>
      <c r="AD23" s="802" t="str">
        <f>Maaned!AN25</f>
        <v/>
      </c>
    </row>
    <row r="24" spans="1:30" ht="23" customHeight="1">
      <c r="A24" s="801">
        <f>Maaned!B26</f>
        <v>22</v>
      </c>
      <c r="B24" s="790" t="str">
        <f>Maaned!C26</f>
        <v>ma</v>
      </c>
      <c r="C24" s="791" t="str">
        <f>August!C31</f>
        <v>Skema 1</v>
      </c>
      <c r="D24" s="211">
        <f>August!E31</f>
        <v>0</v>
      </c>
      <c r="E24" s="802">
        <f>Maaned!E26</f>
        <v>34.285714285714285</v>
      </c>
      <c r="F24" s="801">
        <f>Maaned!I26</f>
        <v>22</v>
      </c>
      <c r="G24" s="790" t="str">
        <f>Maaned!J26</f>
        <v>to</v>
      </c>
      <c r="H24" s="791" t="str">
        <f>September!C30</f>
        <v>Skema 1</v>
      </c>
      <c r="I24" s="211">
        <f>September!E30</f>
        <v>0</v>
      </c>
      <c r="J24" s="210" t="str">
        <f>Maaned!L26</f>
        <v/>
      </c>
      <c r="K24" s="801">
        <f>Maaned!P26</f>
        <v>22</v>
      </c>
      <c r="L24" s="790" t="str">
        <f>Maaned!Q26</f>
        <v>lø</v>
      </c>
      <c r="M24" s="791" t="str">
        <f>Oktober!C30</f>
        <v>Weekend</v>
      </c>
      <c r="N24" s="211">
        <f>Oktober!E30</f>
        <v>0</v>
      </c>
      <c r="O24" s="802" t="str">
        <f>Maaned!S26</f>
        <v/>
      </c>
      <c r="P24" s="811">
        <f>Maaned!W26</f>
        <v>22</v>
      </c>
      <c r="Q24" s="128" t="str">
        <f>Maaned!X26</f>
        <v>ti</v>
      </c>
      <c r="R24" s="135" t="str">
        <f>November!C30</f>
        <v>Skema 1</v>
      </c>
      <c r="S24" s="135">
        <f>November!E30</f>
        <v>0</v>
      </c>
      <c r="T24" s="210" t="str">
        <f>Maaned!Z26</f>
        <v/>
      </c>
      <c r="U24" s="801">
        <f>Maaned!AD26</f>
        <v>22</v>
      </c>
      <c r="V24" s="790" t="str">
        <f>Maaned!AE26</f>
        <v>to</v>
      </c>
      <c r="W24" s="791" t="str">
        <f>December!C30</f>
        <v>Nul-dag</v>
      </c>
      <c r="X24" s="211">
        <f>December!E30</f>
        <v>0</v>
      </c>
      <c r="Y24" s="802" t="str">
        <f>Maaned!AG26</f>
        <v/>
      </c>
      <c r="Z24" s="801">
        <f>Maaned!AK26</f>
        <v>22</v>
      </c>
      <c r="AA24" s="790" t="str">
        <f>Maaned!AL26</f>
        <v>sø</v>
      </c>
      <c r="AB24" s="791" t="str">
        <f>Januar!C30</f>
        <v>Weekend</v>
      </c>
      <c r="AC24" s="211">
        <f>Januar!E30</f>
        <v>0</v>
      </c>
      <c r="AD24" s="802" t="str">
        <f>Maaned!AN26</f>
        <v/>
      </c>
    </row>
    <row r="25" spans="1:30" ht="23" customHeight="1">
      <c r="A25" s="801">
        <f>Maaned!B27</f>
        <v>23</v>
      </c>
      <c r="B25" s="790" t="str">
        <f>Maaned!C27</f>
        <v>ti</v>
      </c>
      <c r="C25" s="791" t="str">
        <f>August!C32</f>
        <v>Skema 1</v>
      </c>
      <c r="D25" s="211">
        <f>August!E32</f>
        <v>0</v>
      </c>
      <c r="E25" s="802" t="str">
        <f>Maaned!E27</f>
        <v/>
      </c>
      <c r="F25" s="801">
        <f>Maaned!I27</f>
        <v>23</v>
      </c>
      <c r="G25" s="790" t="str">
        <f>Maaned!J27</f>
        <v>fr</v>
      </c>
      <c r="H25" s="791" t="str">
        <f>September!C31</f>
        <v>Skema 1</v>
      </c>
      <c r="I25" s="211">
        <f>September!E31</f>
        <v>0</v>
      </c>
      <c r="J25" s="210" t="str">
        <f>Maaned!L27</f>
        <v/>
      </c>
      <c r="K25" s="801">
        <f>Maaned!P27</f>
        <v>23</v>
      </c>
      <c r="L25" s="790" t="str">
        <f>Maaned!Q27</f>
        <v>sø</v>
      </c>
      <c r="M25" s="791" t="str">
        <f>Oktober!C31</f>
        <v>Weekend</v>
      </c>
      <c r="N25" s="211">
        <f>Oktober!E31</f>
        <v>0</v>
      </c>
      <c r="O25" s="802" t="str">
        <f>Maaned!S27</f>
        <v/>
      </c>
      <c r="P25" s="811">
        <f>Maaned!W27</f>
        <v>23</v>
      </c>
      <c r="Q25" s="128" t="str">
        <f>Maaned!X27</f>
        <v>on</v>
      </c>
      <c r="R25" s="135" t="str">
        <f>November!C31</f>
        <v>Skema 1</v>
      </c>
      <c r="S25" s="135">
        <f>November!E31</f>
        <v>0</v>
      </c>
      <c r="T25" s="210" t="str">
        <f>Maaned!Z27</f>
        <v/>
      </c>
      <c r="U25" s="801">
        <f>Maaned!AD27</f>
        <v>23</v>
      </c>
      <c r="V25" s="790" t="str">
        <f>Maaned!AE27</f>
        <v>fr</v>
      </c>
      <c r="W25" s="791" t="str">
        <f>December!C31</f>
        <v>Nul-dag</v>
      </c>
      <c r="X25" s="211">
        <f>December!E31</f>
        <v>0</v>
      </c>
      <c r="Y25" s="802" t="str">
        <f>Maaned!AG27</f>
        <v/>
      </c>
      <c r="Z25" s="801">
        <f>Maaned!AK27</f>
        <v>23</v>
      </c>
      <c r="AA25" s="790" t="str">
        <f>Maaned!AL27</f>
        <v>ma</v>
      </c>
      <c r="AB25" s="791" t="str">
        <f>Januar!C31</f>
        <v>Emnedag</v>
      </c>
      <c r="AC25" s="211" t="str">
        <f>Januar!E31</f>
        <v>Teater</v>
      </c>
      <c r="AD25" s="802">
        <f>Maaned!AN27</f>
        <v>4.1428571428571432</v>
      </c>
    </row>
    <row r="26" spans="1:30" ht="23" customHeight="1">
      <c r="A26" s="801">
        <f>Maaned!B28</f>
        <v>24</v>
      </c>
      <c r="B26" s="790" t="str">
        <f>Maaned!C28</f>
        <v>on</v>
      </c>
      <c r="C26" s="791" t="str">
        <f>August!C33</f>
        <v>Skema 1</v>
      </c>
      <c r="D26" s="211">
        <f>August!E33</f>
        <v>0</v>
      </c>
      <c r="E26" s="802" t="str">
        <f>Maaned!E28</f>
        <v/>
      </c>
      <c r="F26" s="801">
        <f>Maaned!I28</f>
        <v>24</v>
      </c>
      <c r="G26" s="790" t="str">
        <f>Maaned!J28</f>
        <v>lø</v>
      </c>
      <c r="H26" s="791" t="str">
        <f>September!C32</f>
        <v>Skema 1</v>
      </c>
      <c r="I26" s="211">
        <f>September!E32</f>
        <v>0</v>
      </c>
      <c r="J26" s="210" t="str">
        <f>Maaned!L28</f>
        <v/>
      </c>
      <c r="K26" s="801">
        <f>Maaned!P28</f>
        <v>24</v>
      </c>
      <c r="L26" s="790" t="str">
        <f>Maaned!Q28</f>
        <v>ma</v>
      </c>
      <c r="M26" s="791" t="str">
        <f>Oktober!C32</f>
        <v>Skema 1</v>
      </c>
      <c r="N26" s="211">
        <f>Oktober!E32</f>
        <v>0</v>
      </c>
      <c r="O26" s="802">
        <f>Maaned!S28</f>
        <v>43.285714285714285</v>
      </c>
      <c r="P26" s="811">
        <f>Maaned!W28</f>
        <v>24</v>
      </c>
      <c r="Q26" s="128" t="str">
        <f>Maaned!X28</f>
        <v>to</v>
      </c>
      <c r="R26" s="135" t="str">
        <f>November!C32</f>
        <v>Skema 1</v>
      </c>
      <c r="S26" s="135">
        <f>November!E32</f>
        <v>0</v>
      </c>
      <c r="T26" s="210" t="str">
        <f>Maaned!Z28</f>
        <v/>
      </c>
      <c r="U26" s="801">
        <f>Maaned!AD28</f>
        <v>24</v>
      </c>
      <c r="V26" s="790" t="str">
        <f>Maaned!AE28</f>
        <v>lø</v>
      </c>
      <c r="W26" s="791" t="str">
        <f>December!C32</f>
        <v>Weekend</v>
      </c>
      <c r="X26" s="211" t="str">
        <f>December!E32</f>
        <v>Juleaftensdag</v>
      </c>
      <c r="Y26" s="802" t="str">
        <f>Maaned!AG28</f>
        <v/>
      </c>
      <c r="Z26" s="801">
        <f>Maaned!AK28</f>
        <v>24</v>
      </c>
      <c r="AA26" s="790" t="str">
        <f>Maaned!AL28</f>
        <v>ti</v>
      </c>
      <c r="AB26" s="791" t="str">
        <f>Januar!C32</f>
        <v>Emnedag</v>
      </c>
      <c r="AC26" s="211">
        <f>Januar!E32</f>
        <v>0</v>
      </c>
      <c r="AD26" s="802" t="str">
        <f>Maaned!AN28</f>
        <v/>
      </c>
    </row>
    <row r="27" spans="1:30" ht="23" customHeight="1">
      <c r="A27" s="801">
        <f>Maaned!B29</f>
        <v>25</v>
      </c>
      <c r="B27" s="790" t="str">
        <f>Maaned!C29</f>
        <v>to</v>
      </c>
      <c r="C27" s="791" t="str">
        <f>August!C34</f>
        <v>Skema 1</v>
      </c>
      <c r="D27" s="211">
        <f>August!E34</f>
        <v>0</v>
      </c>
      <c r="E27" s="802" t="str">
        <f>Maaned!E29</f>
        <v/>
      </c>
      <c r="F27" s="801">
        <f>Maaned!I29</f>
        <v>25</v>
      </c>
      <c r="G27" s="790" t="str">
        <f>Maaned!J29</f>
        <v>sø</v>
      </c>
      <c r="H27" s="791" t="str">
        <f>September!C33</f>
        <v>Weekend</v>
      </c>
      <c r="I27" s="211">
        <f>September!E33</f>
        <v>0</v>
      </c>
      <c r="J27" s="210" t="str">
        <f>Maaned!L29</f>
        <v/>
      </c>
      <c r="K27" s="801">
        <f>Maaned!P29</f>
        <v>25</v>
      </c>
      <c r="L27" s="790" t="str">
        <f>Maaned!Q29</f>
        <v>ti</v>
      </c>
      <c r="M27" s="791" t="str">
        <f>Oktober!C33</f>
        <v>Fagdag</v>
      </c>
      <c r="N27" s="211" t="str">
        <f>Oktober!E33</f>
        <v>Engelsk</v>
      </c>
      <c r="O27" s="802" t="str">
        <f>Maaned!S29</f>
        <v/>
      </c>
      <c r="P27" s="811">
        <f>Maaned!W29</f>
        <v>25</v>
      </c>
      <c r="Q27" s="128" t="str">
        <f>Maaned!X29</f>
        <v>fr</v>
      </c>
      <c r="R27" s="135" t="str">
        <f>November!C33</f>
        <v>Skema 1</v>
      </c>
      <c r="S27" s="135">
        <f>November!E33</f>
        <v>0</v>
      </c>
      <c r="T27" s="210" t="str">
        <f>Maaned!Z29</f>
        <v/>
      </c>
      <c r="U27" s="801">
        <f>Maaned!AD29</f>
        <v>25</v>
      </c>
      <c r="V27" s="790" t="str">
        <f>Maaned!AE29</f>
        <v>sø</v>
      </c>
      <c r="W27" s="791" t="str">
        <f>December!C33</f>
        <v>Weekend</v>
      </c>
      <c r="X27" s="211" t="str">
        <f>December!E33</f>
        <v>Juledag</v>
      </c>
      <c r="Y27" s="802" t="str">
        <f>Maaned!AG29</f>
        <v/>
      </c>
      <c r="Z27" s="801">
        <f>Maaned!AK29</f>
        <v>25</v>
      </c>
      <c r="AA27" s="790" t="str">
        <f>Maaned!AL29</f>
        <v>on</v>
      </c>
      <c r="AB27" s="791" t="str">
        <f>Januar!C33</f>
        <v>Emnedag</v>
      </c>
      <c r="AC27" s="211">
        <f>Januar!E33</f>
        <v>0</v>
      </c>
      <c r="AD27" s="802" t="str">
        <f>Maaned!AN29</f>
        <v/>
      </c>
    </row>
    <row r="28" spans="1:30" ht="23" customHeight="1">
      <c r="A28" s="801">
        <f>Maaned!B30</f>
        <v>26</v>
      </c>
      <c r="B28" s="790" t="str">
        <f>Maaned!C30</f>
        <v>fr</v>
      </c>
      <c r="C28" s="791" t="str">
        <f>August!C35</f>
        <v>Skema 1</v>
      </c>
      <c r="D28" s="211">
        <f>August!E35</f>
        <v>0</v>
      </c>
      <c r="E28" s="802" t="str">
        <f>Maaned!E30</f>
        <v/>
      </c>
      <c r="F28" s="801">
        <f>Maaned!I30</f>
        <v>26</v>
      </c>
      <c r="G28" s="790" t="str">
        <f>Maaned!J30</f>
        <v>ma</v>
      </c>
      <c r="H28" s="791" t="str">
        <f>September!C34</f>
        <v>Fagdag</v>
      </c>
      <c r="I28" s="211" t="str">
        <f>September!E34</f>
        <v>Dansk</v>
      </c>
      <c r="J28" s="210">
        <f>Maaned!L30</f>
        <v>39.285714285714285</v>
      </c>
      <c r="K28" s="801">
        <f>Maaned!P30</f>
        <v>26</v>
      </c>
      <c r="L28" s="790" t="str">
        <f>Maaned!Q30</f>
        <v>on</v>
      </c>
      <c r="M28" s="791" t="str">
        <f>Oktober!C34</f>
        <v>Skema 1</v>
      </c>
      <c r="N28" s="211">
        <f>Oktober!E34</f>
        <v>0</v>
      </c>
      <c r="O28" s="802" t="str">
        <f>Maaned!S30</f>
        <v/>
      </c>
      <c r="P28" s="811">
        <f>Maaned!W30</f>
        <v>26</v>
      </c>
      <c r="Q28" s="128" t="str">
        <f>Maaned!X30</f>
        <v>lø</v>
      </c>
      <c r="R28" s="135" t="str">
        <f>November!C34</f>
        <v>Weekend</v>
      </c>
      <c r="S28" s="135">
        <f>November!E34</f>
        <v>0</v>
      </c>
      <c r="T28" s="210" t="str">
        <f>Maaned!Z30</f>
        <v/>
      </c>
      <c r="U28" s="801">
        <f>Maaned!AD30</f>
        <v>26</v>
      </c>
      <c r="V28" s="790" t="str">
        <f>Maaned!AE30</f>
        <v>ma</v>
      </c>
      <c r="W28" s="791" t="str">
        <f>December!C34</f>
        <v>SH-dag</v>
      </c>
      <c r="X28" s="211" t="str">
        <f>December!E34</f>
        <v>2. juledag</v>
      </c>
      <c r="Y28" s="802">
        <f>Maaned!AG30</f>
        <v>52.285714285714285</v>
      </c>
      <c r="Z28" s="801">
        <f>Maaned!AK30</f>
        <v>26</v>
      </c>
      <c r="AA28" s="790" t="str">
        <f>Maaned!AL30</f>
        <v>to</v>
      </c>
      <c r="AB28" s="791" t="str">
        <f>Januar!C34</f>
        <v>Emnedag</v>
      </c>
      <c r="AC28" s="211">
        <f>Januar!E34</f>
        <v>0</v>
      </c>
      <c r="AD28" s="802" t="str">
        <f>Maaned!AN30</f>
        <v/>
      </c>
    </row>
    <row r="29" spans="1:30" ht="23" customHeight="1">
      <c r="A29" s="801">
        <f>Maaned!B31</f>
        <v>27</v>
      </c>
      <c r="B29" s="790" t="str">
        <f>Maaned!C31</f>
        <v>lø</v>
      </c>
      <c r="C29" s="791" t="str">
        <f>August!C36</f>
        <v>Weekend</v>
      </c>
      <c r="D29" s="211">
        <f>August!E36</f>
        <v>0</v>
      </c>
      <c r="E29" s="802" t="str">
        <f>Maaned!E31</f>
        <v/>
      </c>
      <c r="F29" s="801">
        <f>Maaned!I31</f>
        <v>27</v>
      </c>
      <c r="G29" s="790" t="str">
        <f>Maaned!J31</f>
        <v>ti</v>
      </c>
      <c r="H29" s="791" t="str">
        <f>September!C35</f>
        <v>Skema 1</v>
      </c>
      <c r="I29" s="211">
        <f>September!E35</f>
        <v>0</v>
      </c>
      <c r="J29" s="210" t="str">
        <f>Maaned!L31</f>
        <v/>
      </c>
      <c r="K29" s="801">
        <f>Maaned!P31</f>
        <v>27</v>
      </c>
      <c r="L29" s="790" t="str">
        <f>Maaned!Q31</f>
        <v>to</v>
      </c>
      <c r="M29" s="791" t="str">
        <f>Oktober!C35</f>
        <v>Skema 1</v>
      </c>
      <c r="N29" s="211">
        <f>Oktober!E35</f>
        <v>0</v>
      </c>
      <c r="O29" s="802" t="str">
        <f>Maaned!S31</f>
        <v/>
      </c>
      <c r="P29" s="811">
        <f>Maaned!W31</f>
        <v>27</v>
      </c>
      <c r="Q29" s="128" t="str">
        <f>Maaned!X31</f>
        <v>sø</v>
      </c>
      <c r="R29" s="135" t="str">
        <f>November!C35</f>
        <v>Weekend</v>
      </c>
      <c r="S29" s="135">
        <f>November!E35</f>
        <v>0</v>
      </c>
      <c r="T29" s="210" t="str">
        <f>Maaned!Z31</f>
        <v/>
      </c>
      <c r="U29" s="801">
        <f>Maaned!AD31</f>
        <v>27</v>
      </c>
      <c r="V29" s="790" t="str">
        <f>Maaned!AE31</f>
        <v>ti</v>
      </c>
      <c r="W29" s="791" t="str">
        <f>December!C35</f>
        <v>Nul-dag</v>
      </c>
      <c r="X29" s="211">
        <f>December!E35</f>
        <v>0</v>
      </c>
      <c r="Y29" s="802" t="str">
        <f>Maaned!AG31</f>
        <v/>
      </c>
      <c r="Z29" s="801">
        <f>Maaned!AK31</f>
        <v>27</v>
      </c>
      <c r="AA29" s="790" t="str">
        <f>Maaned!AL31</f>
        <v>fr</v>
      </c>
      <c r="AB29" s="791" t="str">
        <f>Januar!C35</f>
        <v>Emnedag</v>
      </c>
      <c r="AC29" s="211">
        <f>Januar!E35</f>
        <v>0</v>
      </c>
      <c r="AD29" s="802" t="str">
        <f>Maaned!AN31</f>
        <v/>
      </c>
    </row>
    <row r="30" spans="1:30" ht="23" customHeight="1">
      <c r="A30" s="801">
        <f>Maaned!B32</f>
        <v>28</v>
      </c>
      <c r="B30" s="790" t="str">
        <f>Maaned!C32</f>
        <v>sø</v>
      </c>
      <c r="C30" s="791" t="str">
        <f>August!C37</f>
        <v>Weekend</v>
      </c>
      <c r="D30" s="211">
        <f>August!E37</f>
        <v>0</v>
      </c>
      <c r="E30" s="802" t="str">
        <f>Maaned!E32</f>
        <v/>
      </c>
      <c r="F30" s="801">
        <f>Maaned!I32</f>
        <v>28</v>
      </c>
      <c r="G30" s="790" t="str">
        <f>Maaned!J32</f>
        <v>on</v>
      </c>
      <c r="H30" s="791" t="str">
        <f>September!C36</f>
        <v>Skema 1</v>
      </c>
      <c r="I30" s="211">
        <f>September!E36</f>
        <v>0</v>
      </c>
      <c r="J30" s="210" t="str">
        <f>Maaned!L32</f>
        <v/>
      </c>
      <c r="K30" s="801">
        <f>Maaned!P32</f>
        <v>28</v>
      </c>
      <c r="L30" s="790" t="str">
        <f>Maaned!Q32</f>
        <v>fr</v>
      </c>
      <c r="M30" s="791" t="str">
        <f>Oktober!C36</f>
        <v>Skema 1</v>
      </c>
      <c r="N30" s="211">
        <f>Oktober!E36</f>
        <v>0</v>
      </c>
      <c r="O30" s="802" t="str">
        <f>Maaned!S32</f>
        <v/>
      </c>
      <c r="P30" s="811">
        <f>Maaned!W32</f>
        <v>28</v>
      </c>
      <c r="Q30" s="128" t="str">
        <f>Maaned!X32</f>
        <v>ma</v>
      </c>
      <c r="R30" s="135" t="str">
        <f>November!C36</f>
        <v>Skema 1</v>
      </c>
      <c r="S30" s="135">
        <f>November!E36</f>
        <v>0</v>
      </c>
      <c r="T30" s="210">
        <f>Maaned!Z32</f>
        <v>48.285714285714285</v>
      </c>
      <c r="U30" s="801">
        <f>Maaned!AD32</f>
        <v>28</v>
      </c>
      <c r="V30" s="790" t="str">
        <f>Maaned!AE32</f>
        <v>on</v>
      </c>
      <c r="W30" s="791" t="str">
        <f>December!C36</f>
        <v>Nul-dag</v>
      </c>
      <c r="X30" s="211">
        <f>December!E36</f>
        <v>0</v>
      </c>
      <c r="Y30" s="802" t="str">
        <f>Maaned!AG32</f>
        <v/>
      </c>
      <c r="Z30" s="801">
        <f>Maaned!AK32</f>
        <v>28</v>
      </c>
      <c r="AA30" s="790" t="str">
        <f>Maaned!AL32</f>
        <v>lø</v>
      </c>
      <c r="AB30" s="791" t="str">
        <f>Januar!C36</f>
        <v>Weekend</v>
      </c>
      <c r="AC30" s="211">
        <f>Januar!E36</f>
        <v>0</v>
      </c>
      <c r="AD30" s="802" t="str">
        <f>Maaned!AN32</f>
        <v/>
      </c>
    </row>
    <row r="31" spans="1:30" ht="23" customHeight="1">
      <c r="A31" s="801">
        <f>Maaned!B33</f>
        <v>29</v>
      </c>
      <c r="B31" s="790" t="str">
        <f>Maaned!C33</f>
        <v>ma</v>
      </c>
      <c r="C31" s="791" t="str">
        <f>August!C38</f>
        <v>Skema 1</v>
      </c>
      <c r="D31" s="211">
        <f>August!E38</f>
        <v>0</v>
      </c>
      <c r="E31" s="802">
        <f>Maaned!E33</f>
        <v>35.285714285714285</v>
      </c>
      <c r="F31" s="801">
        <f>Maaned!I33</f>
        <v>29</v>
      </c>
      <c r="G31" s="790" t="str">
        <f>Maaned!J33</f>
        <v>to</v>
      </c>
      <c r="H31" s="791" t="str">
        <f>September!C37</f>
        <v>Skema 1</v>
      </c>
      <c r="I31" s="211">
        <f>September!E37</f>
        <v>0</v>
      </c>
      <c r="J31" s="210" t="str">
        <f>Maaned!L33</f>
        <v/>
      </c>
      <c r="K31" s="801">
        <f>Maaned!P33</f>
        <v>29</v>
      </c>
      <c r="L31" s="790" t="str">
        <f>Maaned!Q33</f>
        <v>lø</v>
      </c>
      <c r="M31" s="791" t="str">
        <f>Oktober!C37</f>
        <v>Weekend</v>
      </c>
      <c r="N31" s="211">
        <f>Oktober!E37</f>
        <v>0</v>
      </c>
      <c r="O31" s="802" t="str">
        <f>Maaned!S33</f>
        <v/>
      </c>
      <c r="P31" s="811">
        <f>Maaned!W33</f>
        <v>29</v>
      </c>
      <c r="Q31" s="128" t="str">
        <f>Maaned!X33</f>
        <v>ti</v>
      </c>
      <c r="R31" s="135" t="str">
        <f>November!C37</f>
        <v>Skema 1</v>
      </c>
      <c r="S31" s="135">
        <f>November!E37</f>
        <v>0</v>
      </c>
      <c r="T31" s="210" t="str">
        <f>Maaned!Z33</f>
        <v/>
      </c>
      <c r="U31" s="801">
        <f>Maaned!AD33</f>
        <v>29</v>
      </c>
      <c r="V31" s="790" t="str">
        <f>Maaned!AE33</f>
        <v>to</v>
      </c>
      <c r="W31" s="791" t="str">
        <f>December!C37</f>
        <v>Nul-dag</v>
      </c>
      <c r="X31" s="211">
        <f>December!E37</f>
        <v>0</v>
      </c>
      <c r="Y31" s="802" t="str">
        <f>Maaned!AG33</f>
        <v/>
      </c>
      <c r="Z31" s="801">
        <f>Maaned!AK33</f>
        <v>29</v>
      </c>
      <c r="AA31" s="790" t="str">
        <f>Maaned!AL33</f>
        <v>sø</v>
      </c>
      <c r="AB31" s="791" t="str">
        <f>Januar!C37</f>
        <v>Weekend</v>
      </c>
      <c r="AC31" s="211">
        <f>Januar!E37</f>
        <v>0</v>
      </c>
      <c r="AD31" s="802" t="str">
        <f>Maaned!AN33</f>
        <v/>
      </c>
    </row>
    <row r="32" spans="1:30" ht="23" customHeight="1" thickBot="1">
      <c r="A32" s="801">
        <f>Maaned!B34</f>
        <v>30</v>
      </c>
      <c r="B32" s="790" t="str">
        <f>Maaned!C34</f>
        <v>ti</v>
      </c>
      <c r="C32" s="791" t="str">
        <f>August!C39</f>
        <v>Skema 1</v>
      </c>
      <c r="D32" s="211">
        <f>August!E39</f>
        <v>0</v>
      </c>
      <c r="E32" s="802" t="str">
        <f>Maaned!E34</f>
        <v/>
      </c>
      <c r="F32" s="803">
        <f>Maaned!I34</f>
        <v>30</v>
      </c>
      <c r="G32" s="804" t="str">
        <f>Maaned!J34</f>
        <v>fr</v>
      </c>
      <c r="H32" s="805" t="str">
        <f>September!C38</f>
        <v>Skema 1</v>
      </c>
      <c r="I32" s="806">
        <f>September!E38</f>
        <v>0</v>
      </c>
      <c r="J32" s="813" t="str">
        <f>Maaned!L34</f>
        <v/>
      </c>
      <c r="K32" s="801">
        <f>Maaned!P34</f>
        <v>30</v>
      </c>
      <c r="L32" s="790" t="str">
        <f>Maaned!Q34</f>
        <v>sø</v>
      </c>
      <c r="M32" s="791" t="str">
        <f>Oktober!C38</f>
        <v>Weekend</v>
      </c>
      <c r="N32" s="211">
        <f>Oktober!E38</f>
        <v>0</v>
      </c>
      <c r="O32" s="802" t="str">
        <f>Maaned!S34</f>
        <v/>
      </c>
      <c r="P32" s="803">
        <f>Maaned!W34</f>
        <v>30</v>
      </c>
      <c r="Q32" s="804" t="str">
        <f>Maaned!X34</f>
        <v>on</v>
      </c>
      <c r="R32" s="805" t="str">
        <f>November!C38</f>
        <v>Fagdag</v>
      </c>
      <c r="S32" s="805" t="str">
        <f>November!E38</f>
        <v>Tysk</v>
      </c>
      <c r="T32" s="813" t="str">
        <f>Maaned!Z34</f>
        <v/>
      </c>
      <c r="U32" s="801">
        <f>Maaned!AD34</f>
        <v>30</v>
      </c>
      <c r="V32" s="790" t="str">
        <f>Maaned!AE34</f>
        <v>fr</v>
      </c>
      <c r="W32" s="791" t="str">
        <f>December!C38</f>
        <v>Nul-dag</v>
      </c>
      <c r="X32" s="211">
        <f>December!E38</f>
        <v>0</v>
      </c>
      <c r="Y32" s="802"/>
      <c r="Z32" s="801">
        <f>Maaned!AK34</f>
        <v>30</v>
      </c>
      <c r="AA32" s="790" t="str">
        <f>Maaned!AL34</f>
        <v>ma</v>
      </c>
      <c r="AB32" s="791" t="str">
        <f>Januar!C38</f>
        <v>Fagdag</v>
      </c>
      <c r="AC32" s="211" t="str">
        <f>Januar!E38</f>
        <v>Dansk</v>
      </c>
      <c r="AD32" s="802">
        <f>Maaned!AN34</f>
        <v>5.1428571428571432</v>
      </c>
    </row>
    <row r="33" spans="1:30" ht="23" customHeight="1" thickBot="1">
      <c r="A33" s="803">
        <f>Maaned!B35</f>
        <v>31</v>
      </c>
      <c r="B33" s="804" t="str">
        <f>Maaned!C35</f>
        <v>on</v>
      </c>
      <c r="C33" s="805" t="str">
        <f>August!C40</f>
        <v>Skema 1</v>
      </c>
      <c r="D33" s="806">
        <f>August!E40</f>
        <v>0</v>
      </c>
      <c r="E33" s="807" t="str">
        <f>Maaned!E35</f>
        <v/>
      </c>
      <c r="F33" s="92"/>
      <c r="G33" s="92"/>
      <c r="H33" s="93"/>
      <c r="I33" s="93"/>
      <c r="J33" s="814"/>
      <c r="K33" s="803">
        <f>Maaned!P35</f>
        <v>31</v>
      </c>
      <c r="L33" s="804" t="str">
        <f>Maaned!Q35</f>
        <v>ma</v>
      </c>
      <c r="M33" s="805" t="str">
        <f>Oktober!C39</f>
        <v>Skema 1</v>
      </c>
      <c r="N33" s="806">
        <f>Oktober!E39</f>
        <v>0</v>
      </c>
      <c r="O33" s="807">
        <f>Maaned!S35</f>
        <v>44.285714285714285</v>
      </c>
      <c r="P33" s="92"/>
      <c r="Q33" s="92"/>
      <c r="R33" s="93"/>
      <c r="S33" s="93"/>
      <c r="T33" s="816"/>
      <c r="U33" s="803">
        <f>Maaned!AD35</f>
        <v>31</v>
      </c>
      <c r="V33" s="804" t="str">
        <f>Maaned!AE35</f>
        <v>lø</v>
      </c>
      <c r="W33" s="805" t="str">
        <f>December!C39</f>
        <v>Weekend</v>
      </c>
      <c r="X33" s="806" t="str">
        <f>December!E39</f>
        <v>Nytårsaftensdag</v>
      </c>
      <c r="Y33" s="807" t="str">
        <f>Maaned!AG35</f>
        <v/>
      </c>
      <c r="Z33" s="803">
        <f>Maaned!AK35</f>
        <v>31</v>
      </c>
      <c r="AA33" s="804" t="str">
        <f>Maaned!AL35</f>
        <v>ti</v>
      </c>
      <c r="AB33" s="805" t="str">
        <f>Januar!C39</f>
        <v>Skema 2</v>
      </c>
      <c r="AC33" s="806">
        <f>Januar!E39</f>
        <v>0</v>
      </c>
      <c r="AD33" s="807" t="str">
        <f>Maaned!AN35</f>
        <v/>
      </c>
    </row>
    <row r="34" spans="1:30" ht="23" customHeight="1" thickBot="1">
      <c r="A34" s="177"/>
      <c r="B34" s="177"/>
      <c r="C34" s="177"/>
      <c r="D34" s="177"/>
      <c r="E34" s="177"/>
      <c r="F34" s="84"/>
      <c r="G34" s="84"/>
      <c r="H34" s="84"/>
      <c r="I34" s="84"/>
      <c r="J34" s="84"/>
      <c r="K34" s="177"/>
      <c r="L34" s="177"/>
      <c r="M34" s="177"/>
      <c r="N34" s="177"/>
      <c r="O34" s="177"/>
      <c r="P34" s="84"/>
      <c r="Q34" s="84"/>
      <c r="R34" s="84"/>
      <c r="S34" s="84"/>
      <c r="T34" s="84"/>
      <c r="U34" s="177"/>
      <c r="V34" s="177"/>
      <c r="W34" s="177"/>
      <c r="X34" s="177"/>
      <c r="Y34" s="177"/>
      <c r="Z34" s="178"/>
      <c r="AA34" s="178"/>
      <c r="AB34" s="177"/>
      <c r="AC34" s="177"/>
      <c r="AD34" s="176"/>
    </row>
    <row r="35" spans="1:30" ht="31" customHeight="1" thickBot="1">
      <c r="A35" s="1405" t="str">
        <f>"I alt for hele skoleåret "&amp;Vejledning!B2&amp;""</f>
        <v>I alt for hele skoleåret 2022-2023</v>
      </c>
      <c r="B35" s="1406"/>
      <c r="C35" s="1406"/>
      <c r="D35" s="1406"/>
      <c r="E35" s="1406"/>
      <c r="F35" s="1406"/>
      <c r="G35" s="1406"/>
      <c r="H35" s="1406"/>
      <c r="I35" s="1406"/>
      <c r="J35" s="1406"/>
      <c r="K35" s="1406"/>
      <c r="L35" s="1406"/>
      <c r="M35" s="1406"/>
      <c r="N35" s="1406"/>
      <c r="O35" s="1406"/>
      <c r="P35" s="1406"/>
      <c r="Q35" s="1406"/>
      <c r="R35" s="1406"/>
      <c r="S35" s="1406"/>
      <c r="T35" s="1406"/>
      <c r="U35" s="1407"/>
      <c r="V35" s="186"/>
      <c r="W35" s="187"/>
      <c r="X35" s="183"/>
      <c r="Y35" s="177"/>
      <c r="Z35" s="178"/>
      <c r="AA35" s="178"/>
      <c r="AB35" s="177"/>
      <c r="AC35" s="177"/>
      <c r="AD35" s="176"/>
    </row>
    <row r="36" spans="1:30" ht="23" customHeight="1">
      <c r="A36" s="1408" t="s">
        <v>135</v>
      </c>
      <c r="B36" s="1409"/>
      <c r="C36" s="1409"/>
      <c r="D36" s="1409"/>
      <c r="E36" s="1409"/>
      <c r="F36" s="1409"/>
      <c r="G36" s="1409"/>
      <c r="H36" s="248">
        <f>Aar!G37</f>
        <v>170</v>
      </c>
      <c r="I36" s="289"/>
      <c r="J36" s="289"/>
      <c r="K36" s="289"/>
      <c r="L36" s="289"/>
      <c r="M36" s="289"/>
      <c r="N36" s="1410" t="s">
        <v>134</v>
      </c>
      <c r="O36" s="1411"/>
      <c r="P36" s="1411"/>
      <c r="Q36" s="1411"/>
      <c r="R36" s="1411"/>
      <c r="S36" s="1411"/>
      <c r="T36" s="1411"/>
      <c r="U36" s="288">
        <f>Aar!AE37</f>
        <v>7</v>
      </c>
      <c r="V36" s="184"/>
      <c r="W36" s="177"/>
      <c r="X36" s="178"/>
      <c r="Y36" s="178"/>
      <c r="Z36" s="177"/>
      <c r="AA36" s="177"/>
      <c r="AB36" s="176"/>
      <c r="AC36" s="75"/>
      <c r="AD36" s="75"/>
    </row>
    <row r="37" spans="1:30" ht="23" customHeight="1">
      <c r="A37" s="1412" t="s">
        <v>133</v>
      </c>
      <c r="B37" s="1413"/>
      <c r="C37" s="1413"/>
      <c r="D37" s="1413"/>
      <c r="E37" s="1413"/>
      <c r="F37" s="1413"/>
      <c r="G37" s="1413"/>
      <c r="H37" s="285">
        <f>Aar!O37</f>
        <v>22</v>
      </c>
      <c r="I37" s="290"/>
      <c r="J37" s="290"/>
      <c r="K37" s="290"/>
      <c r="L37" s="290"/>
      <c r="M37" s="290"/>
      <c r="N37" s="292" t="s">
        <v>166</v>
      </c>
      <c r="O37" s="1420">
        <f>Aar!O35</f>
        <v>104</v>
      </c>
      <c r="P37" s="1420"/>
      <c r="Q37" s="1420"/>
      <c r="R37" s="284" t="s">
        <v>167</v>
      </c>
      <c r="S37" s="284"/>
      <c r="T37" s="1416">
        <f>Aar!W35</f>
        <v>7</v>
      </c>
      <c r="U37" s="1417"/>
      <c r="V37" s="184"/>
      <c r="W37" s="177"/>
      <c r="X37" s="178"/>
      <c r="Y37" s="178"/>
      <c r="Z37" s="177"/>
      <c r="AA37" s="177"/>
      <c r="AB37" s="176"/>
      <c r="AC37" s="75"/>
      <c r="AD37" s="75"/>
    </row>
    <row r="38" spans="1:30" ht="23" customHeight="1">
      <c r="A38" s="1414" t="s">
        <v>139</v>
      </c>
      <c r="B38" s="1415"/>
      <c r="C38" s="1415"/>
      <c r="D38" s="1415"/>
      <c r="E38" s="1415"/>
      <c r="F38" s="1415"/>
      <c r="G38" s="1415"/>
      <c r="H38" s="286">
        <f>Aar!W37</f>
        <v>8</v>
      </c>
      <c r="I38" s="290"/>
      <c r="J38" s="290"/>
      <c r="K38" s="290"/>
      <c r="L38" s="290"/>
      <c r="M38" s="290"/>
      <c r="N38" s="307" t="s">
        <v>188</v>
      </c>
      <c r="O38" s="1418">
        <f>Aar!AE35</f>
        <v>25</v>
      </c>
      <c r="P38" s="1418"/>
      <c r="Q38" s="1419"/>
      <c r="R38" s="305" t="s">
        <v>189</v>
      </c>
      <c r="S38" s="305"/>
      <c r="T38" s="305"/>
      <c r="U38" s="818">
        <f>Aar!AV35</f>
        <v>0</v>
      </c>
      <c r="V38" s="185"/>
      <c r="W38" s="177"/>
      <c r="X38" s="178"/>
      <c r="Y38" s="178"/>
      <c r="Z38" s="177"/>
      <c r="AA38" s="177"/>
      <c r="AB38" s="176"/>
      <c r="AC38" s="75"/>
      <c r="AD38" s="75"/>
    </row>
    <row r="39" spans="1:30" ht="23" customHeight="1" thickBot="1">
      <c r="A39" s="282" t="s">
        <v>174</v>
      </c>
      <c r="B39" s="283"/>
      <c r="C39" s="283"/>
      <c r="D39" s="283"/>
      <c r="E39" s="283"/>
      <c r="F39" s="283"/>
      <c r="G39" s="283"/>
      <c r="H39" s="287">
        <f>SUM(H36:H38)</f>
        <v>200</v>
      </c>
      <c r="I39" s="291"/>
      <c r="J39" s="291"/>
      <c r="K39" s="291"/>
      <c r="L39" s="291"/>
      <c r="M39" s="291"/>
      <c r="N39" s="822" t="s">
        <v>194</v>
      </c>
      <c r="O39" s="823"/>
      <c r="P39" s="823"/>
      <c r="Q39" s="823">
        <f>Aar!AM35</f>
        <v>23</v>
      </c>
      <c r="R39" s="820" t="s">
        <v>510</v>
      </c>
      <c r="S39" s="820"/>
      <c r="T39" s="820"/>
      <c r="U39" s="821">
        <f>Aar!AV37</f>
        <v>0</v>
      </c>
      <c r="V39" s="184"/>
      <c r="W39" s="177"/>
      <c r="X39" s="178"/>
      <c r="Y39" s="178"/>
      <c r="Z39" s="177"/>
      <c r="AA39" s="177"/>
      <c r="AB39" s="176"/>
      <c r="AC39" s="75"/>
      <c r="AD39" s="75"/>
    </row>
    <row r="40" spans="1:30" ht="15" customHeight="1">
      <c r="B40" s="89"/>
      <c r="C40" s="87"/>
      <c r="D40" s="87"/>
      <c r="E40" s="88"/>
      <c r="G40" s="89"/>
      <c r="H40" s="87"/>
      <c r="I40" s="87"/>
      <c r="J40" s="90"/>
      <c r="K40" s="89"/>
      <c r="L40" s="87"/>
      <c r="M40" s="88"/>
      <c r="N40" s="88"/>
      <c r="O40" s="88"/>
      <c r="P40" s="89"/>
      <c r="Q40" s="87"/>
      <c r="R40" s="90"/>
      <c r="S40" s="90"/>
      <c r="T40" s="89"/>
      <c r="U40" s="87"/>
      <c r="W40" s="88"/>
      <c r="X40" s="88"/>
      <c r="Y40" s="89"/>
      <c r="Z40" s="87"/>
      <c r="AA40" s="75"/>
      <c r="AB40" s="75"/>
      <c r="AC40" s="75"/>
      <c r="AD40" s="75"/>
    </row>
    <row r="41" spans="1:30" ht="15" customHeight="1"/>
  </sheetData>
  <sheetProtection sheet="1" objects="1" scenarios="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36" orientation="portrait" horizontalDpi="4294967292" verticalDpi="4294967292"/>
  <ignoredErrors>
    <ignoredError sqref="A1:AD2 A33:B33 A32:B32 Z32:AA32 A14:B31 A13:B13 E13:G13 A4:B12 A3:B3 E3:G3 E33:L33 E32:G32 E14:G31 E4:G12 J3:L3 J13:L13 J32:L32 J14:L31 J4:L12 O3:Q3 O33:V33 O13:Q13 O32:Q32 O14:Q31 O4:Q12 T3:V3 T13:V13 T32:V32 T14:V31 T4:V12 Y3:AA3 Y33:AA33 Y13:AA13 Y14:AA31 Y4:AA12 AD3 AD32 AD33 AD13 AD14:AD31 AD4:AD12"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1" id="{BCD76501-B6F8-B74D-98D4-F3CE391F978C}">
            <xm:f>OR(August!$C10="Skema 1")</xm:f>
            <x14:dxf>
              <font>
                <color theme="1"/>
              </font>
              <fill>
                <patternFill>
                  <bgColor theme="4" tint="0.79998168889431442"/>
                </patternFill>
              </fill>
            </x14:dxf>
          </x14:cfRule>
          <x14:cfRule type="expression" priority="22" id="{A1951D69-4ADB-3047-8B42-4A5141429C7B}">
            <xm:f>OR(August!$C10="Skema 2")</xm:f>
            <x14:dxf>
              <font>
                <color theme="1"/>
              </font>
              <fill>
                <patternFill>
                  <bgColor theme="4" tint="0.59996337778862885"/>
                </patternFill>
              </fill>
            </x14:dxf>
          </x14:cfRule>
          <x14:cfRule type="expression" priority="23" id="{268CA7B4-52BE-1443-93BC-121DA8356B11}">
            <xm:f>OR(August!$C10="Skema 3")</xm:f>
            <x14:dxf>
              <font>
                <color theme="0"/>
              </font>
              <fill>
                <patternFill>
                  <bgColor theme="4" tint="0.39994506668294322"/>
                </patternFill>
              </fill>
            </x14:dxf>
          </x14:cfRule>
          <x14:cfRule type="expression" priority="24" id="{347B9104-5EB7-AA4F-9364-620AC86FE217}">
            <xm:f>OR(August!$C10="Skema 4")</xm:f>
            <x14:dxf>
              <font>
                <color theme="0"/>
              </font>
              <fill>
                <patternFill>
                  <bgColor theme="4" tint="-0.24994659260841701"/>
                </patternFill>
              </fill>
            </x14:dxf>
          </x14:cfRule>
          <x14:cfRule type="expression" priority="30" id="{AF9AE05E-3605-5E4C-893C-6819AB1EE948}">
            <xm:f>OR(August!$C10="Ikke relevant")</xm:f>
            <x14:dxf>
              <font>
                <color theme="0"/>
              </font>
              <fill>
                <patternFill>
                  <bgColor theme="1"/>
                </patternFill>
              </fill>
            </x14:dxf>
          </x14:cfRule>
          <x14:cfRule type="expression" priority="101" id="{B78C599E-77F1-D644-9FE9-ABD5FC8F382C}">
            <xm:f>OR(August!$C10="pæd.dag")</xm:f>
            <x14:dxf>
              <font>
                <color theme="1"/>
              </font>
              <fill>
                <patternFill>
                  <bgColor theme="7" tint="0.39994506668294322"/>
                </patternFill>
              </fill>
            </x14:dxf>
          </x14:cfRule>
          <x14:cfRule type="expression" priority="102" id="{CDFF70CE-D945-F741-ADF6-03C1B6832B46}">
            <xm:f>OR(August!$C10="nul-dag")</xm:f>
            <x14:dxf>
              <font>
                <color theme="1"/>
              </font>
              <fill>
                <patternFill>
                  <bgColor theme="5" tint="0.79998168889431442"/>
                </patternFill>
              </fill>
            </x14:dxf>
          </x14:cfRule>
          <x14:cfRule type="expression" priority="103" id="{C726354F-05C3-9C43-946C-A3FB6A43F70E}">
            <xm:f>OR(August!$C10="SH-dag")</xm:f>
            <x14:dxf>
              <font>
                <color theme="1"/>
              </font>
              <fill>
                <patternFill>
                  <bgColor rgb="FFFF2F82"/>
                </patternFill>
              </fill>
            </x14:dxf>
          </x14:cfRule>
          <x14:cfRule type="expression" priority="104" id="{56138BA0-8BE0-4047-9775-0C98271CE80A}">
            <xm:f>OR(August!$C10="ekskursion")</xm:f>
            <x14:dxf>
              <font>
                <color theme="1"/>
              </font>
              <fill>
                <patternFill>
                  <bgColor rgb="FFFFFF00"/>
                </patternFill>
              </fill>
            </x14:dxf>
          </x14:cfRule>
          <x14:cfRule type="expression" priority="105" id="{B3976725-7BC8-274D-A17A-06C54196C59B}">
            <xm:f>OR(August!$C10="lejrskole")</xm:f>
            <x14:dxf>
              <font>
                <color theme="1"/>
              </font>
              <fill>
                <patternFill>
                  <bgColor theme="8" tint="0.59996337778862885"/>
                </patternFill>
              </fill>
            </x14:dxf>
          </x14:cfRule>
          <x14:cfRule type="expression" priority="106" id="{BED33284-DDF4-564F-A68F-1D8DD9E13F5F}">
            <xm:f>OR(August!$C10="emnedag")</xm:f>
            <x14:dxf>
              <font>
                <color theme="1"/>
              </font>
              <fill>
                <patternFill>
                  <bgColor theme="5" tint="0.59996337778862885"/>
                </patternFill>
              </fill>
            </x14:dxf>
          </x14:cfRule>
          <x14:cfRule type="expression" priority="107" id="{723F6421-6944-B64B-9A9F-457A9003CABE}">
            <xm:f>OR(August!$C10="fagdag")</xm:f>
            <x14:dxf>
              <font>
                <color theme="1"/>
              </font>
              <fill>
                <patternFill>
                  <bgColor theme="9" tint="0.59996337778862885"/>
                </patternFill>
              </fill>
            </x14:dxf>
          </x14:cfRule>
          <x14:cfRule type="expression" priority="108" id="{BDDE1528-B4C8-F547-9572-1788BDC0DBD0}">
            <xm:f>OR(August!$C10="feriedag")</xm:f>
            <x14:dxf>
              <font>
                <color theme="1"/>
              </font>
              <fill>
                <patternFill>
                  <bgColor theme="6" tint="0.39994506668294322"/>
                </patternFill>
              </fill>
            </x14:dxf>
          </x14:cfRule>
          <x14:cfRule type="expression" priority="109" id="{3D435629-D562-1843-BC8C-C49FD76A418A}">
            <xm:f>OR(August!$C10="weekend")</xm:f>
            <x14:dxf>
              <font>
                <color theme="1"/>
              </font>
              <fill>
                <patternFill>
                  <bgColor theme="0" tint="-0.14996795556505021"/>
                </patternFill>
              </fill>
            </x14:dxf>
          </x14:cfRule>
          <x14:cfRule type="expression" priority="110" stopIfTrue="1" id="{7E088C76-2C1B-4A4B-B72F-8E38A511E840}">
            <xm:f>OR(August!$C10="Orlov")</xm:f>
            <x14:dxf>
              <font>
                <color theme="0"/>
              </font>
              <fill>
                <patternFill patternType="solid">
                  <bgColor theme="6" tint="-0.24994659260841701"/>
                </patternFill>
              </fill>
            </x14:dxf>
          </x14:cfRule>
          <xm:sqref>A3:E33</xm:sqref>
        </x14:conditionalFormatting>
        <x14:conditionalFormatting xmlns:xm="http://schemas.microsoft.com/office/excel/2006/main">
          <x14:cfRule type="expression" priority="17" id="{A6A54F67-DB22-AB42-B807-1E094C48D97A}">
            <xm:f>OR(September!$C9="Skema 1")</xm:f>
            <x14:dxf>
              <font>
                <color theme="1"/>
              </font>
              <fill>
                <patternFill>
                  <bgColor theme="4" tint="0.79998168889431442"/>
                </patternFill>
              </fill>
            </x14:dxf>
          </x14:cfRule>
          <x14:cfRule type="expression" priority="18" id="{B8481A31-E298-9A4F-9913-506735F80059}">
            <xm:f>OR(September!$C9="Skema 2")</xm:f>
            <x14:dxf>
              <font>
                <color theme="1"/>
              </font>
              <fill>
                <patternFill>
                  <bgColor theme="4" tint="0.59996337778862885"/>
                </patternFill>
              </fill>
            </x14:dxf>
          </x14:cfRule>
          <x14:cfRule type="expression" priority="19" id="{2728A726-CE9E-574C-B3B3-5E1EDD834DDC}">
            <xm:f>OR(September!$C9="Skema 3")</xm:f>
            <x14:dxf>
              <font>
                <color theme="0"/>
              </font>
              <fill>
                <patternFill>
                  <bgColor theme="4" tint="0.39994506668294322"/>
                </patternFill>
              </fill>
            </x14:dxf>
          </x14:cfRule>
          <x14:cfRule type="expression" priority="20" id="{F8AFD9B1-8EEB-C144-83EB-300D51E1A14D}">
            <xm:f>OR(September!$C9="Skema 4")</xm:f>
            <x14:dxf>
              <font>
                <color theme="0"/>
              </font>
              <fill>
                <patternFill>
                  <bgColor theme="4" tint="-0.24994659260841701"/>
                </patternFill>
              </fill>
            </x14:dxf>
          </x14:cfRule>
          <x14:cfRule type="expression" priority="29" id="{ED26B2E1-0B14-3C45-AF63-E47A1587C77B}">
            <xm:f>OR(September!$C9="Ikke relevant")</xm:f>
            <x14:dxf>
              <font>
                <color theme="0"/>
              </font>
              <fill>
                <patternFill>
                  <bgColor theme="1"/>
                </patternFill>
              </fill>
            </x14:dxf>
          </x14:cfRule>
          <x14:cfRule type="expression" priority="96" id="{A8990905-205C-FF44-8F8F-FEFDE39B50C0}">
            <xm:f>OR(September!$C9="emnedag")</xm:f>
            <x14:dxf>
              <font>
                <color theme="1"/>
              </font>
              <fill>
                <patternFill>
                  <bgColor theme="5" tint="0.59996337778862885"/>
                </patternFill>
              </fill>
            </x14:dxf>
          </x14:cfRule>
          <x14:cfRule type="expression" priority="97" id="{7078B40A-5F8B-4143-80AA-1AEA7E8FB8A5}">
            <xm:f>OR(September!$C9="fagdag")</xm:f>
            <x14:dxf>
              <font>
                <color theme="1"/>
              </font>
              <fill>
                <patternFill>
                  <bgColor theme="9" tint="0.59996337778862885"/>
                </patternFill>
              </fill>
            </x14:dxf>
          </x14:cfRule>
          <x14:cfRule type="expression" priority="98" id="{3AFDEDB1-87B0-3F45-9813-D01DCEBC4125}">
            <xm:f>OR(September!$C9="feriedag")</xm:f>
            <x14:dxf>
              <font>
                <color theme="1"/>
              </font>
              <fill>
                <patternFill>
                  <bgColor theme="6" tint="0.39994506668294322"/>
                </patternFill>
              </fill>
            </x14:dxf>
          </x14:cfRule>
          <x14:cfRule type="expression" priority="99" id="{F83E5E55-9C4E-3C4E-BD25-E6F58D8EC187}">
            <xm:f>OR(September!$C9="weekend")</xm:f>
            <x14:dxf>
              <font>
                <color theme="1"/>
              </font>
              <fill>
                <patternFill>
                  <bgColor theme="0" tint="-0.14996795556505021"/>
                </patternFill>
              </fill>
            </x14:dxf>
          </x14:cfRule>
          <x14:cfRule type="expression" priority="100" stopIfTrue="1" id="{FE91662E-4ED5-BC4E-9D99-6C70386FD5E4}">
            <xm:f>OR(September!$C9="Orlov")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81" id="{DEF77C88-BD3C-6A45-8EEB-7A961DF3A37E}">
            <xm:f>OR(September!$C9="pæd.dag")</xm:f>
            <x14:dxf>
              <font>
                <color theme="1"/>
              </font>
              <fill>
                <patternFill>
                  <bgColor theme="7" tint="0.39994506668294322"/>
                </patternFill>
              </fill>
            </x14:dxf>
          </x14:cfRule>
          <x14:cfRule type="expression" priority="82" id="{DB8C7910-6163-4B4D-9819-AFD0627DBD4D}">
            <xm:f>OR(September!$C9="nul-dag")</xm:f>
            <x14:dxf>
              <font>
                <color theme="1"/>
              </font>
              <fill>
                <patternFill>
                  <bgColor theme="5" tint="0.79998168889431442"/>
                </patternFill>
              </fill>
            </x14:dxf>
          </x14:cfRule>
          <x14:cfRule type="expression" priority="83" id="{D026F715-A777-1349-B41E-F963FD6F7EA9}">
            <xm:f>OR(September!$C9="SH-dag")</xm:f>
            <x14:dxf>
              <font>
                <color theme="1"/>
              </font>
              <fill>
                <patternFill>
                  <bgColor rgb="FFFF2F82"/>
                </patternFill>
              </fill>
            </x14:dxf>
          </x14:cfRule>
          <x14:cfRule type="expression" priority="84" id="{EEADB28C-23C5-7D4E-B286-683226DD38E4}">
            <xm:f>OR(September!$C9="ekskursion")</xm:f>
            <x14:dxf>
              <font>
                <color theme="1"/>
              </font>
              <fill>
                <patternFill>
                  <bgColor rgb="FFFFFF00"/>
                </patternFill>
              </fill>
            </x14:dxf>
          </x14:cfRule>
          <x14:cfRule type="expression" priority="85" id="{6D234B6D-EBA5-3540-99F2-50B173C63F8E}">
            <xm:f>OR(September!$C9="lejrskole")</xm:f>
            <x14:dxf>
              <font>
                <color theme="1"/>
              </font>
              <fill>
                <patternFill>
                  <bgColor theme="8" tint="0.59996337778862885"/>
                </patternFill>
              </fill>
            </x14:dxf>
          </x14:cfRule>
          <xm:sqref>F3:J32</xm:sqref>
        </x14:conditionalFormatting>
        <x14:conditionalFormatting xmlns:xm="http://schemas.microsoft.com/office/excel/2006/main">
          <x14:cfRule type="expression" priority="13" id="{4FEE00F1-A8EB-3D44-BE99-A45100690B53}">
            <xm:f>OR(Oktober!$C9="Skema 1")</xm:f>
            <x14:dxf>
              <font>
                <color theme="1"/>
              </font>
              <fill>
                <patternFill>
                  <bgColor theme="4" tint="0.79998168889431442"/>
                </patternFill>
              </fill>
            </x14:dxf>
          </x14:cfRule>
          <x14:cfRule type="expression" priority="14" id="{5251657E-5CB4-4F45-8A5D-CC0704DBE973}">
            <xm:f>OR(Oktober!$C9="Skema 2")</xm:f>
            <x14:dxf>
              <font>
                <color theme="1"/>
              </font>
              <fill>
                <patternFill>
                  <bgColor theme="4" tint="0.59996337778862885"/>
                </patternFill>
              </fill>
            </x14:dxf>
          </x14:cfRule>
          <x14:cfRule type="expression" priority="15" id="{1D690458-503E-EF45-9F3E-B7EFCD794C90}">
            <xm:f>OR(Oktober!$C9="Skema 3")</xm:f>
            <x14:dxf>
              <font>
                <color theme="0"/>
              </font>
              <fill>
                <patternFill>
                  <bgColor theme="4" tint="0.39994506668294322"/>
                </patternFill>
              </fill>
            </x14:dxf>
          </x14:cfRule>
          <x14:cfRule type="expression" priority="16" id="{61858BDA-AF1E-DA4B-A664-06BA7B26C092}">
            <xm:f>OR(Oktober!$C9="Skema 4")</xm:f>
            <x14:dxf>
              <font>
                <color theme="0"/>
              </font>
              <fill>
                <patternFill>
                  <bgColor theme="4" tint="-0.24994659260841701"/>
                </patternFill>
              </fill>
            </x14:dxf>
          </x14:cfRule>
          <x14:cfRule type="expression" priority="28" id="{81C04EAD-82C5-6845-A88A-C40691238A86}">
            <xm:f>OR(Oktober!$C9="Ikke relevant")</xm:f>
            <x14:dxf>
              <font>
                <color theme="0"/>
              </font>
              <fill>
                <patternFill>
                  <bgColor theme="1"/>
                </patternFill>
              </fill>
            </x14:dxf>
          </x14:cfRule>
          <x14:cfRule type="expression" priority="66" id="{709B2BB9-B1AA-814F-A84B-19E766EE7C43}">
            <xm:f>OR(Oktober!$C9="emnedag")</xm:f>
            <x14:dxf>
              <font>
                <color theme="1"/>
              </font>
              <fill>
                <patternFill>
                  <bgColor theme="5" tint="0.59996337778862885"/>
                </patternFill>
              </fill>
            </x14:dxf>
          </x14:cfRule>
          <x14:cfRule type="expression" priority="67" id="{0C13C227-FB10-F94F-A80B-B1E19DFE6F84}">
            <xm:f>OR(Oktober!$C9="fagdag")</xm:f>
            <x14:dxf>
              <font>
                <color theme="1"/>
              </font>
              <fill>
                <patternFill>
                  <bgColor theme="9" tint="0.59996337778862885"/>
                </patternFill>
              </fill>
            </x14:dxf>
          </x14:cfRule>
          <x14:cfRule type="expression" priority="68" id="{92238027-AC6B-5740-8C00-B99B2AA7D005}">
            <xm:f>OR(Oktober!$C9="feriedag")</xm:f>
            <x14:dxf>
              <font>
                <color theme="1"/>
              </font>
              <fill>
                <patternFill>
                  <bgColor theme="6" tint="0.39994506668294322"/>
                </patternFill>
              </fill>
            </x14:dxf>
          </x14:cfRule>
          <x14:cfRule type="expression" priority="69" id="{B23AAC2D-795E-5B49-BBFA-D2542B158A75}">
            <xm:f>OR(Oktober!$C9="weekend")</xm:f>
            <x14:dxf>
              <font>
                <color theme="1"/>
              </font>
              <fill>
                <patternFill>
                  <bgColor theme="0" tint="-0.14996795556505021"/>
                </patternFill>
              </fill>
            </x14:dxf>
          </x14:cfRule>
          <x14:cfRule type="expression" priority="70" stopIfTrue="1" id="{21A4F459-3DCB-D341-934C-B6DE5F98A19C}">
            <xm:f>OR(Oktober!$C9="Orlov")</xm:f>
            <x14:dxf>
              <font>
                <color theme="0"/>
              </font>
              <fill>
                <patternFill patternType="solid">
                  <bgColor theme="6" tint="-0.24994659260841701"/>
                </patternFill>
              </fill>
            </x14:dxf>
          </x14:cfRule>
          <xm:sqref>K3:O33</xm:sqref>
        </x14:conditionalFormatting>
        <x14:conditionalFormatting xmlns:xm="http://schemas.microsoft.com/office/excel/2006/main">
          <x14:cfRule type="expression" priority="61" id="{B6C307A1-5DEC-0B42-8D75-84080930A7A4}">
            <xm:f>OR(Oktober!$C9="pæd.dag")</xm:f>
            <x14:dxf>
              <font>
                <color theme="1"/>
              </font>
              <fill>
                <patternFill>
                  <bgColor theme="7" tint="0.39994506668294322"/>
                </patternFill>
              </fill>
            </x14:dxf>
          </x14:cfRule>
          <x14:cfRule type="expression" priority="62" id="{6A855BD0-BA5F-C34B-B9C3-B5D46D20C054}">
            <xm:f>OR(Oktober!$C9="nul-dag")</xm:f>
            <x14:dxf>
              <font>
                <color theme="1"/>
              </font>
              <fill>
                <patternFill>
                  <bgColor theme="5" tint="0.79998168889431442"/>
                </patternFill>
              </fill>
            </x14:dxf>
          </x14:cfRule>
          <x14:cfRule type="expression" priority="63" id="{8AD9A72B-B3A5-4A45-9A4B-A2CCEEAA5CCB}">
            <xm:f>OR(Oktober!$C9="SH-dag")</xm:f>
            <x14:dxf>
              <font>
                <color theme="1"/>
              </font>
              <fill>
                <patternFill>
                  <bgColor rgb="FFFF2F82"/>
                </patternFill>
              </fill>
            </x14:dxf>
          </x14:cfRule>
          <x14:cfRule type="expression" priority="64" id="{37B2E358-D61F-4D4A-83D5-A34D1F5B5CFD}">
            <xm:f>OR(Oktober!$C9="ekskursion")</xm:f>
            <x14:dxf>
              <font>
                <color theme="1"/>
              </font>
              <fill>
                <patternFill>
                  <bgColor rgb="FFFFFF00"/>
                </patternFill>
              </fill>
            </x14:dxf>
          </x14:cfRule>
          <x14:cfRule type="expression" priority="65" id="{D8C38FF2-1905-C041-B360-E398BC807807}">
            <xm:f>OR(Oktober!$C9="lejrskole")</xm:f>
            <x14:dxf>
              <font>
                <color theme="1"/>
              </font>
              <fill>
                <patternFill>
                  <bgColor theme="8" tint="0.59996337778862885"/>
                </patternFill>
              </fill>
            </x14:dxf>
          </x14:cfRule>
          <xm:sqref>K3:O33</xm:sqref>
        </x14:conditionalFormatting>
        <x14:conditionalFormatting xmlns:xm="http://schemas.microsoft.com/office/excel/2006/main">
          <x14:cfRule type="expression" priority="9" id="{317FFB8E-3019-7141-B243-77D777EC5A65}">
            <xm:f>OR(November!$C9="Skema 1")</xm:f>
            <x14:dxf>
              <font>
                <color theme="1"/>
              </font>
              <fill>
                <patternFill>
                  <bgColor theme="4" tint="0.79998168889431442"/>
                </patternFill>
              </fill>
            </x14:dxf>
          </x14:cfRule>
          <x14:cfRule type="expression" priority="10" id="{C39CFCCE-590E-594E-8C8F-DDAEEAB6361A}">
            <xm:f>OR(November!$C9="Skema 2")</xm:f>
            <x14:dxf>
              <font>
                <color theme="1"/>
              </font>
              <fill>
                <patternFill>
                  <bgColor theme="4" tint="0.59996337778862885"/>
                </patternFill>
              </fill>
            </x14:dxf>
          </x14:cfRule>
          <x14:cfRule type="expression" priority="11" id="{969B370B-0733-C84C-A898-E17064F14700}">
            <xm:f>OR(November!$C9="Skema 3")</xm:f>
            <x14:dxf>
              <font>
                <color theme="0"/>
              </font>
              <fill>
                <patternFill>
                  <bgColor theme="4" tint="0.39994506668294322"/>
                </patternFill>
              </fill>
            </x14:dxf>
          </x14:cfRule>
          <x14:cfRule type="expression" priority="12" id="{DD61B19E-8B3C-EF49-802C-8FD3F32076CA}">
            <xm:f>OR(November!$C9="Skema 4")</xm:f>
            <x14:dxf>
              <font>
                <color theme="0"/>
              </font>
              <fill>
                <patternFill>
                  <bgColor theme="4" tint="-0.24994659260841701"/>
                </patternFill>
              </fill>
            </x14:dxf>
          </x14:cfRule>
          <x14:cfRule type="expression" priority="27" id="{A170BAD0-3D79-FB41-B5D8-84995AE84347}">
            <xm:f>OR(November!$C9="Ikke relevant")</xm:f>
            <x14:dxf>
              <font>
                <color theme="0"/>
              </font>
              <fill>
                <patternFill>
                  <bgColor theme="1"/>
                </patternFill>
              </fill>
            </x14:dxf>
          </x14:cfRule>
          <x14:cfRule type="expression" priority="56" id="{3B5C389C-3B05-4E44-A6F5-C3F1A1F27D69}">
            <xm:f>OR(November!$C9="emnedag")</xm:f>
            <x14:dxf>
              <font>
                <color theme="1"/>
              </font>
              <fill>
                <patternFill>
                  <bgColor theme="5" tint="0.59996337778862885"/>
                </patternFill>
              </fill>
            </x14:dxf>
          </x14:cfRule>
          <x14:cfRule type="expression" priority="57" id="{3F74E116-1BCF-674C-ADEA-3F09A8626D16}">
            <xm:f>OR(November!$C9="fagdag")</xm:f>
            <x14:dxf>
              <font>
                <color theme="1"/>
              </font>
              <fill>
                <patternFill>
                  <bgColor theme="9" tint="0.59996337778862885"/>
                </patternFill>
              </fill>
            </x14:dxf>
          </x14:cfRule>
          <x14:cfRule type="expression" priority="58" id="{3748DFC3-871A-A943-A15C-451B4B624013}">
            <xm:f>OR(November!$C9="feriedag")</xm:f>
            <x14:dxf>
              <font>
                <color theme="1"/>
              </font>
              <fill>
                <patternFill>
                  <bgColor theme="6" tint="0.39994506668294322"/>
                </patternFill>
              </fill>
            </x14:dxf>
          </x14:cfRule>
          <x14:cfRule type="expression" priority="59" id="{DCA403BE-4695-E243-9B31-CDE573D32BF5}">
            <xm:f>OR(November!$C9="weekend")</xm:f>
            <x14:dxf>
              <font>
                <color theme="1"/>
              </font>
              <fill>
                <patternFill>
                  <bgColor theme="0" tint="-0.14996795556505021"/>
                </patternFill>
              </fill>
            </x14:dxf>
          </x14:cfRule>
          <x14:cfRule type="expression" priority="60"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1" id="{CED4A093-82D9-C644-B41E-DD3A41825021}">
            <xm:f>OR(November!$C9="pæd.dag")</xm:f>
            <x14:dxf>
              <font>
                <color theme="1"/>
              </font>
              <fill>
                <patternFill>
                  <bgColor theme="7" tint="0.39994506668294322"/>
                </patternFill>
              </fill>
            </x14:dxf>
          </x14:cfRule>
          <x14:cfRule type="expression" priority="52" id="{0E350EAE-BD99-3A46-9436-D482887C3178}">
            <xm:f>OR(November!$C9="nul-dag")</xm:f>
            <x14:dxf>
              <font>
                <color theme="1"/>
              </font>
              <fill>
                <patternFill>
                  <bgColor theme="5" tint="0.79998168889431442"/>
                </patternFill>
              </fill>
            </x14:dxf>
          </x14:cfRule>
          <x14:cfRule type="expression" priority="53" id="{63CD135A-29CA-194D-840C-48CAFE0078F0}">
            <xm:f>OR(November!$C9="SH-dag")</xm:f>
            <x14:dxf>
              <font>
                <color theme="1"/>
              </font>
              <fill>
                <patternFill>
                  <bgColor rgb="FFFF2F82"/>
                </patternFill>
              </fill>
            </x14:dxf>
          </x14:cfRule>
          <x14:cfRule type="expression" priority="54" id="{B2597A19-09A9-1A4F-A327-F393C182067B}">
            <xm:f>OR(November!$C9="ekskursion")</xm:f>
            <x14:dxf>
              <font>
                <color theme="1"/>
              </font>
              <fill>
                <patternFill>
                  <bgColor rgb="FFFFFF00"/>
                </patternFill>
              </fill>
            </x14:dxf>
          </x14:cfRule>
          <x14:cfRule type="expression" priority="55" id="{55362959-AF26-2744-85D8-C7595B5E2976}">
            <xm:f>OR(November!$C9="lejrskole")</xm:f>
            <x14:dxf>
              <font>
                <color theme="1"/>
              </font>
              <fill>
                <patternFill>
                  <bgColor theme="8" tint="0.59996337778862885"/>
                </patternFill>
              </fill>
            </x14:dxf>
          </x14:cfRule>
          <xm:sqref>P3:T32</xm:sqref>
        </x14:conditionalFormatting>
        <x14:conditionalFormatting xmlns:xm="http://schemas.microsoft.com/office/excel/2006/main">
          <x14:cfRule type="expression" priority="5" id="{D7EBA1BC-C9AE-7D4C-B30E-EC1B416868F4}">
            <xm:f>OR(December!$C9="Skema 1")</xm:f>
            <x14:dxf>
              <font>
                <color theme="1"/>
              </font>
              <fill>
                <patternFill>
                  <bgColor theme="4" tint="0.79998168889431442"/>
                </patternFill>
              </fill>
            </x14:dxf>
          </x14:cfRule>
          <x14:cfRule type="expression" priority="6" id="{FD4C3246-21CD-9743-87F3-620C8162FD86}">
            <xm:f>OR(December!$C9="Skema 2")</xm:f>
            <x14:dxf>
              <font>
                <color theme="1"/>
              </font>
              <fill>
                <patternFill>
                  <bgColor theme="4" tint="0.59996337778862885"/>
                </patternFill>
              </fill>
            </x14:dxf>
          </x14:cfRule>
          <x14:cfRule type="expression" priority="7" id="{502BE986-C74F-B04A-8751-28403A9BF494}">
            <xm:f>OR(December!$C9="Skema 3")</xm:f>
            <x14:dxf>
              <font>
                <color theme="0"/>
              </font>
              <fill>
                <patternFill>
                  <bgColor theme="4" tint="0.39994506668294322"/>
                </patternFill>
              </fill>
            </x14:dxf>
          </x14:cfRule>
          <x14:cfRule type="expression" priority="8" id="{BEEEB4A5-6AC8-FE43-9BC2-6A542C8813C9}">
            <xm:f>OR(December!$C9="Skema 4")</xm:f>
            <x14:dxf>
              <font>
                <color theme="0"/>
              </font>
              <fill>
                <patternFill>
                  <bgColor theme="4" tint="-0.24994659260841701"/>
                </patternFill>
              </fill>
            </x14:dxf>
          </x14:cfRule>
          <x14:cfRule type="expression" priority="26" id="{9B0E3D34-4C10-B641-9750-3FD87A54691D}">
            <xm:f>OR(December!$C9="Ikke relevant")</xm:f>
            <x14:dxf>
              <font>
                <color theme="0"/>
              </font>
              <fill>
                <patternFill>
                  <bgColor theme="1"/>
                </patternFill>
              </fill>
            </x14:dxf>
          </x14:cfRule>
          <x14:cfRule type="expression" priority="46" id="{31D0F7ED-008C-A643-9630-E35BCC2D5713}">
            <xm:f>OR(December!$C9="emnedag")</xm:f>
            <x14:dxf>
              <font>
                <color theme="1"/>
              </font>
              <fill>
                <patternFill>
                  <bgColor theme="5" tint="0.59996337778862885"/>
                </patternFill>
              </fill>
            </x14:dxf>
          </x14:cfRule>
          <x14:cfRule type="expression" priority="47" id="{CA67FB30-F316-FD41-AA7D-A3FFA6ACA202}">
            <xm:f>OR(December!$C9="fagdag")</xm:f>
            <x14:dxf>
              <font>
                <color theme="1"/>
              </font>
              <fill>
                <patternFill>
                  <bgColor theme="9" tint="0.59996337778862885"/>
                </patternFill>
              </fill>
            </x14:dxf>
          </x14:cfRule>
          <x14:cfRule type="expression" priority="48" id="{3B95DC54-79FB-6E4F-8DC6-A7F8452A83D1}">
            <xm:f>OR(December!$C9="feriedag")</xm:f>
            <x14:dxf>
              <font>
                <color theme="1"/>
              </font>
              <fill>
                <patternFill>
                  <bgColor theme="6" tint="0.39994506668294322"/>
                </patternFill>
              </fill>
            </x14:dxf>
          </x14:cfRule>
          <x14:cfRule type="expression" priority="49" id="{BDCCCECE-18A6-DD4D-8287-DDB782F9579C}">
            <xm:f>OR(December!$C9="weekend")</xm:f>
            <x14:dxf>
              <font>
                <color theme="1"/>
              </font>
              <fill>
                <patternFill>
                  <bgColor theme="0" tint="-0.14996795556505021"/>
                </patternFill>
              </fill>
            </x14:dxf>
          </x14:cfRule>
          <x14:cfRule type="expression" priority="50" stopIfTrue="1" id="{D358BCF8-85AC-BA40-A836-B48949AC57B2}">
            <xm:f>OR(December!$C9="Orlov")</xm:f>
            <x14:dxf>
              <font>
                <color theme="0"/>
              </font>
              <fill>
                <patternFill patternType="solid">
                  <bgColor theme="6" tint="-0.24994659260841701"/>
                </patternFill>
              </fill>
            </x14:dxf>
          </x14:cfRule>
          <xm:sqref>U3:Y33</xm:sqref>
        </x14:conditionalFormatting>
        <x14:conditionalFormatting xmlns:xm="http://schemas.microsoft.com/office/excel/2006/main">
          <x14:cfRule type="expression" priority="41" id="{07ADBFA5-B73D-CF41-95CD-1AFA8C6192DD}">
            <xm:f>OR(December!$C9="pæd.dag")</xm:f>
            <x14:dxf>
              <font>
                <color theme="1"/>
              </font>
              <fill>
                <patternFill>
                  <bgColor theme="7" tint="0.39994506668294322"/>
                </patternFill>
              </fill>
            </x14:dxf>
          </x14:cfRule>
          <x14:cfRule type="expression" priority="42" id="{B713B3FF-E644-6F43-9A39-F213E292C09D}">
            <xm:f>OR(December!$C9="nul-dag")</xm:f>
            <x14:dxf>
              <font>
                <color theme="1"/>
              </font>
              <fill>
                <patternFill>
                  <bgColor theme="5" tint="0.79998168889431442"/>
                </patternFill>
              </fill>
            </x14:dxf>
          </x14:cfRule>
          <x14:cfRule type="expression" priority="43" id="{95FF3B6C-9C43-8444-AAF4-1564645F2098}">
            <xm:f>OR(December!$C9="SH-dag")</xm:f>
            <x14:dxf>
              <font>
                <color theme="1"/>
              </font>
              <fill>
                <patternFill>
                  <bgColor rgb="FFFF2F82"/>
                </patternFill>
              </fill>
            </x14:dxf>
          </x14:cfRule>
          <x14:cfRule type="expression" priority="44" id="{42C6D939-E342-794F-8D68-4D2A92B68661}">
            <xm:f>OR(December!$C9="ekskursion")</xm:f>
            <x14:dxf>
              <font>
                <color theme="1"/>
              </font>
              <fill>
                <patternFill>
                  <bgColor rgb="FFFFFF00"/>
                </patternFill>
              </fill>
            </x14:dxf>
          </x14:cfRule>
          <x14:cfRule type="expression" priority="45" id="{1F34D948-7D51-6C4D-9C12-EA1C00ECAA0D}">
            <xm:f>OR(December!$C9="lejrskole")</xm:f>
            <x14:dxf>
              <font>
                <color theme="1"/>
              </font>
              <fill>
                <patternFill>
                  <bgColor theme="8" tint="0.59996337778862885"/>
                </patternFill>
              </fill>
            </x14:dxf>
          </x14:cfRule>
          <xm:sqref>U3:Y33</xm:sqref>
        </x14:conditionalFormatting>
        <x14:conditionalFormatting xmlns:xm="http://schemas.microsoft.com/office/excel/2006/main">
          <x14:cfRule type="expression" priority="1" id="{574FAC8E-B719-8248-AB94-253102EF7EAF}">
            <xm:f>OR(Januar!$C9="Skema 1")</xm:f>
            <x14:dxf>
              <font>
                <color theme="1"/>
              </font>
              <fill>
                <patternFill>
                  <bgColor theme="4" tint="0.79998168889431442"/>
                </patternFill>
              </fill>
            </x14:dxf>
          </x14:cfRule>
          <x14:cfRule type="expression" priority="2" id="{40A8624D-C4DB-6E47-AA8C-162FE7A3C02E}">
            <xm:f>OR(Januar!$C9="Skema 2")</xm:f>
            <x14:dxf>
              <font>
                <color theme="1"/>
              </font>
              <fill>
                <patternFill>
                  <bgColor theme="4" tint="0.59996337778862885"/>
                </patternFill>
              </fill>
            </x14:dxf>
          </x14:cfRule>
          <x14:cfRule type="expression" priority="3" id="{F39B1262-9811-2243-A35C-56E5B44D5636}">
            <xm:f>OR(Januar!$C9="Skema 3")</xm:f>
            <x14:dxf>
              <font>
                <color theme="0"/>
              </font>
              <fill>
                <patternFill>
                  <bgColor theme="4" tint="0.39994506668294322"/>
                </patternFill>
              </fill>
            </x14:dxf>
          </x14:cfRule>
          <x14:cfRule type="expression" priority="4" id="{62F71BAE-4588-E24E-A4E5-F0C02F99DE26}">
            <xm:f>OR(Januar!$C9="Skema 4")</xm:f>
            <x14:dxf>
              <font>
                <color theme="0"/>
              </font>
              <fill>
                <patternFill>
                  <bgColor theme="4" tint="-0.24994659260841701"/>
                </patternFill>
              </fill>
            </x14:dxf>
          </x14:cfRule>
          <x14:cfRule type="expression" priority="25" id="{FDE39F5A-D65C-1344-816C-86CD370A3ECF}">
            <xm:f>OR(Januar!$C9="Ikke relevant")</xm:f>
            <x14:dxf>
              <font>
                <color theme="0"/>
              </font>
              <fill>
                <patternFill>
                  <bgColor theme="1"/>
                </patternFill>
              </fill>
            </x14:dxf>
          </x14:cfRule>
          <x14:cfRule type="expression" priority="36" id="{C3669A06-ECE3-1C4C-8A9E-AC7AB2A13144}">
            <xm:f>OR(Januar!$C9="emnedag")</xm:f>
            <x14:dxf>
              <font>
                <color theme="1"/>
              </font>
              <fill>
                <patternFill>
                  <bgColor theme="5" tint="0.59996337778862885"/>
                </patternFill>
              </fill>
            </x14:dxf>
          </x14:cfRule>
          <x14:cfRule type="expression" priority="37" id="{2A6AFF4D-71BF-5445-99EA-CFA1FD023307}">
            <xm:f>OR(Januar!$C9="fagdag")</xm:f>
            <x14:dxf>
              <font>
                <color theme="1"/>
              </font>
              <fill>
                <patternFill>
                  <bgColor theme="9" tint="0.59996337778862885"/>
                </patternFill>
              </fill>
            </x14:dxf>
          </x14:cfRule>
          <x14:cfRule type="expression" priority="38" id="{D62CD6F0-FB94-BE49-8742-DBB545E12DAE}">
            <xm:f>OR(Januar!$C9="feriedag")</xm:f>
            <x14:dxf>
              <font>
                <color theme="1"/>
              </font>
              <fill>
                <patternFill>
                  <bgColor theme="6" tint="0.39994506668294322"/>
                </patternFill>
              </fill>
            </x14:dxf>
          </x14:cfRule>
          <x14:cfRule type="expression" priority="39" id="{90360773-D299-7A4E-8D20-330CE4CDECBF}">
            <xm:f>OR(Januar!$C9="weekend")</xm:f>
            <x14:dxf>
              <font>
                <color theme="1"/>
              </font>
              <fill>
                <patternFill>
                  <bgColor theme="0" tint="-0.14996795556505021"/>
                </patternFill>
              </fill>
            </x14:dxf>
          </x14:cfRule>
          <x14:cfRule type="expression" priority="40" stopIfTrue="1" id="{84623046-F60B-3C47-9B00-5232AB04FE96}">
            <xm:f>OR(Januar!$C9="Orlov")</xm:f>
            <x14:dxf>
              <font>
                <color theme="0"/>
              </font>
              <fill>
                <patternFill patternType="solid">
                  <bgColor theme="6" tint="-0.24994659260841701"/>
                </patternFill>
              </fill>
            </x14:dxf>
          </x14:cfRule>
          <xm:sqref>Z3:AD33</xm:sqref>
        </x14:conditionalFormatting>
        <x14:conditionalFormatting xmlns:xm="http://schemas.microsoft.com/office/excel/2006/main">
          <x14:cfRule type="expression" priority="31" id="{7DE50EC5-7141-694F-940D-A8D18C9104D2}">
            <xm:f>OR(Januar!$C9="pæd.dag")</xm:f>
            <x14:dxf>
              <font>
                <color theme="1"/>
              </font>
              <fill>
                <patternFill>
                  <bgColor theme="7" tint="0.39994506668294322"/>
                </patternFill>
              </fill>
            </x14:dxf>
          </x14:cfRule>
          <x14:cfRule type="expression" priority="32" id="{52D09256-9D97-6546-A35A-A627276E2390}">
            <xm:f>OR(Januar!$C9="nul-dag")</xm:f>
            <x14:dxf>
              <font>
                <color theme="1"/>
              </font>
              <fill>
                <patternFill>
                  <bgColor theme="5" tint="0.79998168889431442"/>
                </patternFill>
              </fill>
            </x14:dxf>
          </x14:cfRule>
          <x14:cfRule type="expression" priority="33" id="{59A55BCC-8EC7-6B46-8D8B-F62C6CFA6265}">
            <xm:f>OR(Januar!$C9="SH-dag")</xm:f>
            <x14:dxf>
              <font>
                <color theme="1"/>
              </font>
              <fill>
                <patternFill>
                  <bgColor rgb="FFFF2F82"/>
                </patternFill>
              </fill>
            </x14:dxf>
          </x14:cfRule>
          <x14:cfRule type="expression" priority="34" id="{0A364475-486F-F548-AA5E-0240AD74B6F5}">
            <xm:f>OR(Januar!$C9="ekskursion")</xm:f>
            <x14:dxf>
              <font>
                <color theme="1"/>
              </font>
              <fill>
                <patternFill>
                  <bgColor rgb="FFFFFF00"/>
                </patternFill>
              </fill>
            </x14:dxf>
          </x14:cfRule>
          <x14:cfRule type="expression" priority="35" id="{A0D0FAB6-EDC2-F04E-9AA0-AC37C2D8CFA0}">
            <xm:f>OR(Januar!$C9="lejrskole")</xm:f>
            <x14:dxf>
              <font>
                <color theme="1"/>
              </font>
              <fill>
                <patternFill>
                  <bgColor theme="8" tint="0.59996337778862885"/>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Q41" sqref="Q41"/>
    </sheetView>
  </sheetViews>
  <sheetFormatPr baseColWidth="10" defaultColWidth="12.5" defaultRowHeight="36" customHeight="1"/>
  <cols>
    <col min="1" max="2" width="4.33203125" style="88" customWidth="1"/>
    <col min="3" max="3" width="7.83203125" style="89" customWidth="1"/>
    <col min="4" max="4" width="20.1640625" style="89" customWidth="1"/>
    <col min="5" max="5" width="3.1640625" style="87" customWidth="1"/>
    <col min="6" max="7" width="4.33203125" style="88" customWidth="1"/>
    <col min="8" max="8" width="8" style="89" customWidth="1"/>
    <col min="9" max="9" width="20.33203125" style="89" customWidth="1"/>
    <col min="10" max="10" width="4" style="87" customWidth="1"/>
    <col min="11" max="12" width="4.33203125" style="88" customWidth="1"/>
    <col min="13" max="13" width="7.83203125" style="89" customWidth="1"/>
    <col min="14" max="14" width="20.1640625" style="89" customWidth="1"/>
    <col min="15" max="15" width="4" style="87" customWidth="1"/>
    <col min="16" max="17" width="4.33203125" style="88" customWidth="1"/>
    <col min="18" max="18" width="7.83203125" style="89" customWidth="1"/>
    <col min="19" max="19" width="20.1640625" style="89" customWidth="1"/>
    <col min="20" max="20" width="4" style="87" customWidth="1"/>
    <col min="21" max="21" width="5.33203125" style="88" customWidth="1"/>
    <col min="22" max="22" width="4.33203125" style="88" customWidth="1"/>
    <col min="23" max="23" width="7.83203125" style="89" customWidth="1"/>
    <col min="24" max="24" width="20.1640625" style="89" customWidth="1"/>
    <col min="25" max="25" width="4" style="87" customWidth="1"/>
    <col min="26" max="27" width="4.33203125" style="88" customWidth="1"/>
    <col min="28" max="28" width="7.83203125" style="89" customWidth="1"/>
    <col min="29" max="29" width="20.1640625" style="89" customWidth="1"/>
    <col min="30" max="30" width="4" style="87" customWidth="1"/>
    <col min="31" max="16384" width="12.5" style="75"/>
  </cols>
  <sheetData>
    <row r="1" spans="1:30" ht="36" customHeight="1" thickBot="1">
      <c r="A1" s="175" t="str">
        <f>"ÅRSKALENDER  for  "&amp;UPPER(Maaned!A1)&amp;"  "&amp;Maaned!A3&amp;" - "&amp;TEXT(Maaned!A3-1999,"00")</f>
        <v>ÅRSKALENDER  for  MIN EGEN SKOLE  2022 - 23</v>
      </c>
      <c r="B1" s="68"/>
      <c r="C1" s="69"/>
      <c r="D1" s="69"/>
      <c r="E1" s="70"/>
      <c r="F1" s="71"/>
      <c r="G1" s="68"/>
      <c r="H1" s="69"/>
      <c r="I1" s="69"/>
      <c r="J1" s="70"/>
      <c r="K1" s="71"/>
      <c r="L1" s="68"/>
      <c r="M1" s="69"/>
      <c r="N1" s="69"/>
      <c r="O1" s="70"/>
      <c r="P1" s="71"/>
      <c r="Q1" s="68"/>
      <c r="R1" s="69"/>
      <c r="S1" s="69"/>
      <c r="T1" s="70"/>
      <c r="U1" s="71"/>
      <c r="V1" s="68"/>
      <c r="W1" s="69"/>
      <c r="X1" s="69"/>
      <c r="Y1" s="70"/>
      <c r="Z1" s="71"/>
      <c r="AA1" s="68"/>
      <c r="AB1" s="69"/>
      <c r="AC1" s="69"/>
      <c r="AD1" s="72"/>
    </row>
    <row r="2" spans="1:30" s="74" customFormat="1" ht="23" customHeight="1" thickBot="1">
      <c r="A2" s="815" t="s">
        <v>104</v>
      </c>
      <c r="B2" s="793"/>
      <c r="C2" s="794"/>
      <c r="D2" s="794"/>
      <c r="E2" s="795"/>
      <c r="F2" s="792" t="s">
        <v>105</v>
      </c>
      <c r="G2" s="793"/>
      <c r="H2" s="794"/>
      <c r="I2" s="794"/>
      <c r="J2" s="795"/>
      <c r="K2" s="792" t="s">
        <v>106</v>
      </c>
      <c r="L2" s="793"/>
      <c r="M2" s="794"/>
      <c r="N2" s="794"/>
      <c r="O2" s="795"/>
      <c r="P2" s="792" t="s">
        <v>107</v>
      </c>
      <c r="Q2" s="793"/>
      <c r="R2" s="794"/>
      <c r="S2" s="794"/>
      <c r="T2" s="795"/>
      <c r="U2" s="792" t="s">
        <v>108</v>
      </c>
      <c r="V2" s="793"/>
      <c r="W2" s="794"/>
      <c r="X2" s="794"/>
      <c r="Y2" s="795"/>
      <c r="Z2" s="792" t="s">
        <v>109</v>
      </c>
      <c r="AA2" s="793"/>
      <c r="AB2" s="794"/>
      <c r="AC2" s="794"/>
      <c r="AD2" s="835"/>
    </row>
    <row r="3" spans="1:30" ht="23" customHeight="1">
      <c r="A3" s="796">
        <f>Maaned!AR5</f>
        <v>1</v>
      </c>
      <c r="B3" s="797" t="str">
        <f>Maaned!AS5</f>
        <v>on</v>
      </c>
      <c r="C3" s="798" t="str">
        <f>Februar!C9</f>
        <v>Skema 2</v>
      </c>
      <c r="D3" s="832">
        <f>Februar!E9</f>
        <v>0</v>
      </c>
      <c r="E3" s="812" t="str">
        <f>Maaned!AU5</f>
        <v/>
      </c>
      <c r="F3" s="796">
        <f>Maaned!AY5</f>
        <v>1</v>
      </c>
      <c r="G3" s="797" t="str">
        <f>Maaned!AZ5</f>
        <v>on</v>
      </c>
      <c r="H3" s="798" t="str">
        <f>Marts!C9</f>
        <v>Skema 2</v>
      </c>
      <c r="I3" s="832">
        <f>Marts!E9</f>
        <v>0</v>
      </c>
      <c r="J3" s="800" t="str">
        <f>Maaned!BB5</f>
        <v/>
      </c>
      <c r="K3" s="796">
        <f>Maaned!BF5</f>
        <v>1</v>
      </c>
      <c r="L3" s="797" t="str">
        <f>Maaned!BG5</f>
        <v>lø</v>
      </c>
      <c r="M3" s="798" t="str">
        <f>April!C9</f>
        <v>Weekend</v>
      </c>
      <c r="N3" s="832">
        <f>April!E9</f>
        <v>0</v>
      </c>
      <c r="O3" s="812" t="str">
        <f>Maaned!BI5</f>
        <v/>
      </c>
      <c r="P3" s="796">
        <f>Maaned!BM5</f>
        <v>1</v>
      </c>
      <c r="Q3" s="797" t="str">
        <f>Maaned!BN5</f>
        <v>ma</v>
      </c>
      <c r="R3" s="798" t="str">
        <f>Maj!C9</f>
        <v>Skema 2</v>
      </c>
      <c r="S3" s="832">
        <f>Maj!E9</f>
        <v>0</v>
      </c>
      <c r="T3" s="800">
        <f>Maaned!BP5</f>
        <v>18.142857142857142</v>
      </c>
      <c r="U3" s="796">
        <f>Maaned!BT5</f>
        <v>1</v>
      </c>
      <c r="V3" s="797" t="str">
        <f>Maaned!BU5</f>
        <v>to</v>
      </c>
      <c r="W3" s="798" t="str">
        <f>Juni!C9</f>
        <v>Skema 2</v>
      </c>
      <c r="X3" s="832">
        <f>Juni!E9</f>
        <v>0</v>
      </c>
      <c r="Y3" s="812" t="str">
        <f>Maaned!BW5</f>
        <v/>
      </c>
      <c r="Z3" s="796">
        <f>Maaned!CA5</f>
        <v>1</v>
      </c>
      <c r="AA3" s="797" t="str">
        <f>Maaned!CB5</f>
        <v>lø</v>
      </c>
      <c r="AB3" s="798" t="str">
        <f>Juli!C9</f>
        <v>Weekend</v>
      </c>
      <c r="AC3" s="832">
        <f>Juli!E9</f>
        <v>0</v>
      </c>
      <c r="AD3" s="800" t="str">
        <f>Maaned!CD5</f>
        <v/>
      </c>
    </row>
    <row r="4" spans="1:30" ht="23" customHeight="1">
      <c r="A4" s="801">
        <f>Maaned!AR6</f>
        <v>2</v>
      </c>
      <c r="B4" s="790" t="str">
        <f>Maaned!AS6</f>
        <v>to</v>
      </c>
      <c r="C4" s="791" t="str">
        <f>Februar!C10</f>
        <v>Skema 2</v>
      </c>
      <c r="D4" s="833">
        <f>Februar!E10</f>
        <v>0</v>
      </c>
      <c r="E4" s="210" t="str">
        <f>Maaned!AU6</f>
        <v/>
      </c>
      <c r="F4" s="801">
        <f>Maaned!AY6</f>
        <v>2</v>
      </c>
      <c r="G4" s="790" t="str">
        <f>Maaned!AZ6</f>
        <v>to</v>
      </c>
      <c r="H4" s="791" t="str">
        <f>Marts!C10</f>
        <v>Skema 2</v>
      </c>
      <c r="I4" s="833">
        <f>Marts!E10</f>
        <v>0</v>
      </c>
      <c r="J4" s="802" t="str">
        <f>Maaned!BB6</f>
        <v/>
      </c>
      <c r="K4" s="801">
        <f>Maaned!BF6</f>
        <v>2</v>
      </c>
      <c r="L4" s="790" t="str">
        <f>Maaned!BG6</f>
        <v>sø</v>
      </c>
      <c r="M4" s="791" t="str">
        <f>April!C10</f>
        <v>Weekend</v>
      </c>
      <c r="N4" s="833" t="str">
        <f>April!E10</f>
        <v>Palmesøndag</v>
      </c>
      <c r="O4" s="210" t="str">
        <f>Maaned!BI6</f>
        <v/>
      </c>
      <c r="P4" s="801">
        <f>Maaned!BM6</f>
        <v>2</v>
      </c>
      <c r="Q4" s="790" t="str">
        <f>Maaned!BN6</f>
        <v>ti</v>
      </c>
      <c r="R4" s="791" t="str">
        <f>Maj!C10</f>
        <v>Skema 2</v>
      </c>
      <c r="S4" s="833">
        <f>Maj!E10</f>
        <v>0</v>
      </c>
      <c r="T4" s="802" t="str">
        <f>Maaned!BP6</f>
        <v/>
      </c>
      <c r="U4" s="801">
        <f>Maaned!BT6</f>
        <v>2</v>
      </c>
      <c r="V4" s="790" t="str">
        <f>Maaned!BU6</f>
        <v>fr</v>
      </c>
      <c r="W4" s="791" t="str">
        <f>Juni!C10</f>
        <v>Skema 2</v>
      </c>
      <c r="X4" s="833">
        <f>Juni!E10</f>
        <v>0</v>
      </c>
      <c r="Y4" s="210" t="str">
        <f>Maaned!BW6</f>
        <v/>
      </c>
      <c r="Z4" s="801">
        <f>Maaned!CA6</f>
        <v>2</v>
      </c>
      <c r="AA4" s="790" t="str">
        <f>Maaned!CB6</f>
        <v>sø</v>
      </c>
      <c r="AB4" s="791" t="str">
        <f>Juli!C10</f>
        <v>Weekend</v>
      </c>
      <c r="AC4" s="833">
        <f>Juli!E10</f>
        <v>0</v>
      </c>
      <c r="AD4" s="802" t="str">
        <f>Maaned!CD6</f>
        <v/>
      </c>
    </row>
    <row r="5" spans="1:30" ht="23" customHeight="1">
      <c r="A5" s="801">
        <f>Maaned!AR7</f>
        <v>3</v>
      </c>
      <c r="B5" s="790" t="str">
        <f>Maaned!AS7</f>
        <v>fr</v>
      </c>
      <c r="C5" s="791" t="str">
        <f>Februar!C11</f>
        <v>Skema 2</v>
      </c>
      <c r="D5" s="833">
        <f>Februar!E11</f>
        <v>0</v>
      </c>
      <c r="E5" s="210" t="str">
        <f>Maaned!AU7</f>
        <v/>
      </c>
      <c r="F5" s="801">
        <f>Maaned!AY7</f>
        <v>3</v>
      </c>
      <c r="G5" s="790" t="str">
        <f>Maaned!AZ7</f>
        <v>fr</v>
      </c>
      <c r="H5" s="791" t="str">
        <f>Marts!C11</f>
        <v>Skema 2</v>
      </c>
      <c r="I5" s="833">
        <f>Marts!E11</f>
        <v>0</v>
      </c>
      <c r="J5" s="802" t="str">
        <f>Maaned!BB7</f>
        <v/>
      </c>
      <c r="K5" s="801">
        <f>Maaned!BF7</f>
        <v>3</v>
      </c>
      <c r="L5" s="790" t="str">
        <f>Maaned!BG7</f>
        <v>ma</v>
      </c>
      <c r="M5" s="791" t="str">
        <f>April!C11</f>
        <v>Nul-dag</v>
      </c>
      <c r="N5" s="833">
        <f>April!E11</f>
        <v>0</v>
      </c>
      <c r="O5" s="210">
        <f>Maaned!BI7</f>
        <v>14.142857142857142</v>
      </c>
      <c r="P5" s="801">
        <f>Maaned!BM7</f>
        <v>3</v>
      </c>
      <c r="Q5" s="790" t="str">
        <f>Maaned!BN7</f>
        <v>on</v>
      </c>
      <c r="R5" s="791" t="str">
        <f>Maj!C11</f>
        <v>Skema 2</v>
      </c>
      <c r="S5" s="833">
        <f>Maj!E11</f>
        <v>0</v>
      </c>
      <c r="T5" s="802" t="str">
        <f>Maaned!BP7</f>
        <v/>
      </c>
      <c r="U5" s="801">
        <f>Maaned!BT7</f>
        <v>3</v>
      </c>
      <c r="V5" s="790" t="str">
        <f>Maaned!BU7</f>
        <v>lø</v>
      </c>
      <c r="W5" s="791" t="str">
        <f>Juni!C11</f>
        <v>Weekend</v>
      </c>
      <c r="X5" s="833">
        <f>Juni!E11</f>
        <v>0</v>
      </c>
      <c r="Y5" s="210" t="str">
        <f>Maaned!BW7</f>
        <v/>
      </c>
      <c r="Z5" s="801">
        <f>Maaned!CA7</f>
        <v>3</v>
      </c>
      <c r="AA5" s="790" t="str">
        <f>Maaned!CB7</f>
        <v>ma</v>
      </c>
      <c r="AB5" s="791" t="str">
        <f>Juli!C11</f>
        <v>Nul-dag</v>
      </c>
      <c r="AC5" s="833">
        <f>Juli!E11</f>
        <v>0</v>
      </c>
      <c r="AD5" s="802">
        <f>Maaned!CD7</f>
        <v>27.142857142857142</v>
      </c>
    </row>
    <row r="6" spans="1:30" ht="23" customHeight="1">
      <c r="A6" s="801">
        <f>Maaned!AR8</f>
        <v>4</v>
      </c>
      <c r="B6" s="790" t="str">
        <f>Maaned!AS8</f>
        <v>lø</v>
      </c>
      <c r="C6" s="791" t="str">
        <f>Februar!C12</f>
        <v>Weekend</v>
      </c>
      <c r="D6" s="833">
        <f>Februar!E12</f>
        <v>0</v>
      </c>
      <c r="E6" s="210" t="str">
        <f>Maaned!AU8</f>
        <v/>
      </c>
      <c r="F6" s="801">
        <f>Maaned!AY8</f>
        <v>4</v>
      </c>
      <c r="G6" s="790" t="str">
        <f>Maaned!AZ8</f>
        <v>lø</v>
      </c>
      <c r="H6" s="791" t="str">
        <f>Marts!C12</f>
        <v>Weekend</v>
      </c>
      <c r="I6" s="833">
        <f>Marts!E12</f>
        <v>0</v>
      </c>
      <c r="J6" s="802" t="str">
        <f>Maaned!BB8</f>
        <v/>
      </c>
      <c r="K6" s="801">
        <f>Maaned!BF8</f>
        <v>4</v>
      </c>
      <c r="L6" s="790" t="str">
        <f>Maaned!BG8</f>
        <v>ti</v>
      </c>
      <c r="M6" s="791" t="str">
        <f>April!C12</f>
        <v>Nul-dag</v>
      </c>
      <c r="N6" s="833">
        <f>April!E12</f>
        <v>0</v>
      </c>
      <c r="O6" s="210" t="str">
        <f>Maaned!BI8</f>
        <v/>
      </c>
      <c r="P6" s="801">
        <f>Maaned!BM8</f>
        <v>4</v>
      </c>
      <c r="Q6" s="790" t="str">
        <f>Maaned!BN8</f>
        <v>to</v>
      </c>
      <c r="R6" s="791" t="str">
        <f>Maj!C12</f>
        <v>Skema 2</v>
      </c>
      <c r="S6" s="833">
        <f>Maj!E12</f>
        <v>0</v>
      </c>
      <c r="T6" s="802" t="str">
        <f>Maaned!BP8</f>
        <v/>
      </c>
      <c r="U6" s="801">
        <f>Maaned!BT8</f>
        <v>4</v>
      </c>
      <c r="V6" s="790" t="str">
        <f>Maaned!BU8</f>
        <v>sø</v>
      </c>
      <c r="W6" s="791" t="str">
        <f>Juni!C12</f>
        <v>Weekend</v>
      </c>
      <c r="X6" s="833">
        <f>Juni!E12</f>
        <v>0</v>
      </c>
      <c r="Y6" s="210" t="str">
        <f>Maaned!BW8</f>
        <v/>
      </c>
      <c r="Z6" s="801">
        <f>Maaned!CA8</f>
        <v>4</v>
      </c>
      <c r="AA6" s="790" t="str">
        <f>Maaned!CB8</f>
        <v>ti</v>
      </c>
      <c r="AB6" s="791" t="str">
        <f>Juli!C12</f>
        <v>Nul-dag</v>
      </c>
      <c r="AC6" s="833">
        <f>Juli!E12</f>
        <v>0</v>
      </c>
      <c r="AD6" s="802" t="str">
        <f>Maaned!CD8</f>
        <v/>
      </c>
    </row>
    <row r="7" spans="1:30" ht="23" customHeight="1">
      <c r="A7" s="801">
        <f>Maaned!AR9</f>
        <v>5</v>
      </c>
      <c r="B7" s="790" t="str">
        <f>Maaned!AS9</f>
        <v>sø</v>
      </c>
      <c r="C7" s="791" t="str">
        <f>Februar!C13</f>
        <v>Weekend</v>
      </c>
      <c r="D7" s="833">
        <f>Februar!E13</f>
        <v>0</v>
      </c>
      <c r="E7" s="210" t="str">
        <f>Maaned!AU9</f>
        <v/>
      </c>
      <c r="F7" s="801">
        <f>Maaned!AY9</f>
        <v>5</v>
      </c>
      <c r="G7" s="790" t="str">
        <f>Maaned!AZ9</f>
        <v>sø</v>
      </c>
      <c r="H7" s="791" t="str">
        <f>Marts!C13</f>
        <v>Weekend</v>
      </c>
      <c r="I7" s="833">
        <f>Marts!E13</f>
        <v>0</v>
      </c>
      <c r="J7" s="802" t="str">
        <f>Maaned!BB9</f>
        <v/>
      </c>
      <c r="K7" s="801">
        <f>Maaned!BF9</f>
        <v>5</v>
      </c>
      <c r="L7" s="790" t="str">
        <f>Maaned!BG9</f>
        <v>on</v>
      </c>
      <c r="M7" s="791" t="str">
        <f>April!C13</f>
        <v>Nul-dag</v>
      </c>
      <c r="N7" s="833">
        <f>April!E13</f>
        <v>0</v>
      </c>
      <c r="O7" s="210" t="str">
        <f>Maaned!BI9</f>
        <v/>
      </c>
      <c r="P7" s="801">
        <f>Maaned!BM9</f>
        <v>5</v>
      </c>
      <c r="Q7" s="790" t="str">
        <f>Maaned!BN9</f>
        <v>fr</v>
      </c>
      <c r="R7" s="791" t="str">
        <f>Maj!C13</f>
        <v>SH-dag</v>
      </c>
      <c r="S7" s="833" t="str">
        <f>Maj!E13</f>
        <v>St. Bededag</v>
      </c>
      <c r="T7" s="802" t="str">
        <f>Maaned!BP9</f>
        <v/>
      </c>
      <c r="U7" s="801">
        <f>Maaned!BT9</f>
        <v>5</v>
      </c>
      <c r="V7" s="790" t="str">
        <f>Maaned!BU9</f>
        <v>ma</v>
      </c>
      <c r="W7" s="791" t="str">
        <f>Juni!C13</f>
        <v>Nul-dag</v>
      </c>
      <c r="X7" s="833" t="str">
        <f>Juni!E13</f>
        <v>Grundlovsdag</v>
      </c>
      <c r="Y7" s="210">
        <f>Maaned!BW9</f>
        <v>23.142857142857142</v>
      </c>
      <c r="Z7" s="801">
        <f>Maaned!CA9</f>
        <v>5</v>
      </c>
      <c r="AA7" s="790" t="str">
        <f>Maaned!CB9</f>
        <v>on</v>
      </c>
      <c r="AB7" s="791" t="str">
        <f>Juli!C13</f>
        <v>Nul-dag</v>
      </c>
      <c r="AC7" s="833">
        <f>Juli!E13</f>
        <v>0</v>
      </c>
      <c r="AD7" s="802" t="str">
        <f>Maaned!CD9</f>
        <v/>
      </c>
    </row>
    <row r="8" spans="1:30" ht="23" customHeight="1">
      <c r="A8" s="801">
        <f>Maaned!AR10</f>
        <v>6</v>
      </c>
      <c r="B8" s="790" t="str">
        <f>Maaned!AS10</f>
        <v>ma</v>
      </c>
      <c r="C8" s="791" t="str">
        <f>Februar!C14</f>
        <v>Skema 2</v>
      </c>
      <c r="D8" s="833">
        <f>Februar!E14</f>
        <v>0</v>
      </c>
      <c r="E8" s="210">
        <f>Maaned!AU10</f>
        <v>6.1428571428571432</v>
      </c>
      <c r="F8" s="801">
        <f>Maaned!AY10</f>
        <v>6</v>
      </c>
      <c r="G8" s="790" t="str">
        <f>Maaned!AZ10</f>
        <v>ma</v>
      </c>
      <c r="H8" s="791" t="str">
        <f>Marts!C14</f>
        <v>Skema 2</v>
      </c>
      <c r="I8" s="833">
        <f>Marts!E14</f>
        <v>0</v>
      </c>
      <c r="J8" s="802">
        <f>Maaned!BB10</f>
        <v>10.142857142857142</v>
      </c>
      <c r="K8" s="801">
        <f>Maaned!BF10</f>
        <v>6</v>
      </c>
      <c r="L8" s="790" t="str">
        <f>Maaned!BG10</f>
        <v>to</v>
      </c>
      <c r="M8" s="791" t="str">
        <f>April!C14</f>
        <v>SH-dag</v>
      </c>
      <c r="N8" s="833" t="str">
        <f>April!E14</f>
        <v>Skærtorsdag</v>
      </c>
      <c r="O8" s="210" t="str">
        <f>Maaned!BI10</f>
        <v/>
      </c>
      <c r="P8" s="801">
        <f>Maaned!BM10</f>
        <v>6</v>
      </c>
      <c r="Q8" s="790" t="str">
        <f>Maaned!BN10</f>
        <v>lø</v>
      </c>
      <c r="R8" s="791" t="str">
        <f>Maj!C14</f>
        <v>Weekend</v>
      </c>
      <c r="S8" s="833">
        <f>Maj!E14</f>
        <v>0</v>
      </c>
      <c r="T8" s="802" t="str">
        <f>Maaned!BP10</f>
        <v/>
      </c>
      <c r="U8" s="801">
        <f>Maaned!BT10</f>
        <v>6</v>
      </c>
      <c r="V8" s="790" t="str">
        <f>Maaned!BU10</f>
        <v>ti</v>
      </c>
      <c r="W8" s="791" t="str">
        <f>Juni!C14</f>
        <v>Skema 2</v>
      </c>
      <c r="X8" s="833">
        <f>Juni!E14</f>
        <v>0</v>
      </c>
      <c r="Y8" s="210" t="str">
        <f>Maaned!BW10</f>
        <v/>
      </c>
      <c r="Z8" s="801">
        <f>Maaned!CA10</f>
        <v>6</v>
      </c>
      <c r="AA8" s="790" t="str">
        <f>Maaned!CB10</f>
        <v>to</v>
      </c>
      <c r="AB8" s="791" t="str">
        <f>Juli!C14</f>
        <v>Feriedag</v>
      </c>
      <c r="AC8" s="833" t="str">
        <f>Juli!E14</f>
        <v>Sommerferie</v>
      </c>
      <c r="AD8" s="802" t="str">
        <f>Maaned!CD10</f>
        <v/>
      </c>
    </row>
    <row r="9" spans="1:30" ht="23" customHeight="1">
      <c r="A9" s="801">
        <f>Maaned!AR11</f>
        <v>7</v>
      </c>
      <c r="B9" s="790" t="str">
        <f>Maaned!AS11</f>
        <v>ti</v>
      </c>
      <c r="C9" s="791" t="str">
        <f>Februar!C15</f>
        <v>Skema 2</v>
      </c>
      <c r="D9" s="833">
        <f>Februar!E15</f>
        <v>0</v>
      </c>
      <c r="E9" s="210" t="str">
        <f>Maaned!AU11</f>
        <v/>
      </c>
      <c r="F9" s="801">
        <f>Maaned!AY11</f>
        <v>7</v>
      </c>
      <c r="G9" s="790" t="str">
        <f>Maaned!AZ11</f>
        <v>ti</v>
      </c>
      <c r="H9" s="791" t="str">
        <f>Marts!C15</f>
        <v>Skema 2</v>
      </c>
      <c r="I9" s="833">
        <f>Marts!E15</f>
        <v>0</v>
      </c>
      <c r="J9" s="802" t="str">
        <f>Maaned!BB11</f>
        <v/>
      </c>
      <c r="K9" s="801">
        <f>Maaned!BF11</f>
        <v>7</v>
      </c>
      <c r="L9" s="790" t="str">
        <f>Maaned!BG11</f>
        <v>fr</v>
      </c>
      <c r="M9" s="791" t="str">
        <f>April!C15</f>
        <v>SH-dag</v>
      </c>
      <c r="N9" s="833" t="str">
        <f>April!E15</f>
        <v>Langfredag</v>
      </c>
      <c r="O9" s="210" t="str">
        <f>Maaned!BI11</f>
        <v/>
      </c>
      <c r="P9" s="801">
        <f>Maaned!BM11</f>
        <v>7</v>
      </c>
      <c r="Q9" s="790" t="str">
        <f>Maaned!BN11</f>
        <v>sø</v>
      </c>
      <c r="R9" s="791" t="str">
        <f>Maj!C15</f>
        <v>Weekend</v>
      </c>
      <c r="S9" s="833">
        <f>Maj!E15</f>
        <v>0</v>
      </c>
      <c r="T9" s="802" t="str">
        <f>Maaned!BP11</f>
        <v/>
      </c>
      <c r="U9" s="801">
        <f>Maaned!BT11</f>
        <v>7</v>
      </c>
      <c r="V9" s="790" t="str">
        <f>Maaned!BU11</f>
        <v>on</v>
      </c>
      <c r="W9" s="791" t="str">
        <f>Juni!C15</f>
        <v>Lejrskole</v>
      </c>
      <c r="X9" s="833" t="str">
        <f>Juni!E15</f>
        <v>Storlejr. Afgang kl. 08.00</v>
      </c>
      <c r="Y9" s="210" t="str">
        <f>Maaned!BW11</f>
        <v/>
      </c>
      <c r="Z9" s="801">
        <f>Maaned!CA11</f>
        <v>7</v>
      </c>
      <c r="AA9" s="790" t="str">
        <f>Maaned!CB11</f>
        <v>fr</v>
      </c>
      <c r="AB9" s="791" t="str">
        <f>Juli!C15</f>
        <v>Feriedag</v>
      </c>
      <c r="AC9" s="833" t="str">
        <f>Juli!E15</f>
        <v>Sommerferie</v>
      </c>
      <c r="AD9" s="802" t="str">
        <f>Maaned!CD11</f>
        <v/>
      </c>
    </row>
    <row r="10" spans="1:30" ht="23" customHeight="1">
      <c r="A10" s="801">
        <f>Maaned!AR12</f>
        <v>8</v>
      </c>
      <c r="B10" s="790" t="str">
        <f>Maaned!AS12</f>
        <v>on</v>
      </c>
      <c r="C10" s="791" t="str">
        <f>Februar!C16</f>
        <v>Skema 2</v>
      </c>
      <c r="D10" s="833">
        <f>Februar!E16</f>
        <v>0</v>
      </c>
      <c r="E10" s="210" t="str">
        <f>Maaned!AU12</f>
        <v/>
      </c>
      <c r="F10" s="801">
        <f>Maaned!AY12</f>
        <v>8</v>
      </c>
      <c r="G10" s="790" t="str">
        <f>Maaned!AZ12</f>
        <v>on</v>
      </c>
      <c r="H10" s="791" t="str">
        <f>Marts!C16</f>
        <v>Skema 2</v>
      </c>
      <c r="I10" s="833">
        <f>Marts!E16</f>
        <v>0</v>
      </c>
      <c r="J10" s="802" t="str">
        <f>Maaned!BB12</f>
        <v/>
      </c>
      <c r="K10" s="801">
        <f>Maaned!BF12</f>
        <v>8</v>
      </c>
      <c r="L10" s="790" t="str">
        <f>Maaned!BG12</f>
        <v>lø</v>
      </c>
      <c r="M10" s="791" t="str">
        <f>April!C16</f>
        <v>Weekend</v>
      </c>
      <c r="N10" s="833">
        <f>April!E16</f>
        <v>0</v>
      </c>
      <c r="O10" s="210" t="str">
        <f>Maaned!BI12</f>
        <v/>
      </c>
      <c r="P10" s="801">
        <f>Maaned!BM12</f>
        <v>8</v>
      </c>
      <c r="Q10" s="790" t="str">
        <f>Maaned!BN12</f>
        <v>ma</v>
      </c>
      <c r="R10" s="791" t="str">
        <f>Maj!C16</f>
        <v>Skema 2</v>
      </c>
      <c r="S10" s="833">
        <f>Maj!E16</f>
        <v>0</v>
      </c>
      <c r="T10" s="802">
        <f>Maaned!BP12</f>
        <v>19.142857142857142</v>
      </c>
      <c r="U10" s="801">
        <f>Maaned!BT12</f>
        <v>8</v>
      </c>
      <c r="V10" s="790" t="str">
        <f>Maaned!BU12</f>
        <v>to</v>
      </c>
      <c r="W10" s="791" t="str">
        <f>Juni!C16</f>
        <v>Lejrskole</v>
      </c>
      <c r="X10" s="833" t="str">
        <f>Juni!E16</f>
        <v xml:space="preserve">Storlejr </v>
      </c>
      <c r="Y10" s="210" t="str">
        <f>Maaned!BW12</f>
        <v/>
      </c>
      <c r="Z10" s="801">
        <f>Maaned!CA12</f>
        <v>8</v>
      </c>
      <c r="AA10" s="790" t="str">
        <f>Maaned!CB12</f>
        <v>lø</v>
      </c>
      <c r="AB10" s="791" t="str">
        <f>Juli!C16</f>
        <v>Weekend</v>
      </c>
      <c r="AC10" s="833">
        <f>Juli!E16</f>
        <v>0</v>
      </c>
      <c r="AD10" s="802" t="str">
        <f>Maaned!CD12</f>
        <v/>
      </c>
    </row>
    <row r="11" spans="1:30" ht="23" customHeight="1">
      <c r="A11" s="801">
        <f>Maaned!AR13</f>
        <v>9</v>
      </c>
      <c r="B11" s="790" t="str">
        <f>Maaned!AS13</f>
        <v>to</v>
      </c>
      <c r="C11" s="791" t="str">
        <f>Februar!C17</f>
        <v>Skema 2</v>
      </c>
      <c r="D11" s="833">
        <f>Februar!E17</f>
        <v>0</v>
      </c>
      <c r="E11" s="210" t="str">
        <f>Maaned!AU13</f>
        <v/>
      </c>
      <c r="F11" s="801">
        <f>Maaned!AY13</f>
        <v>9</v>
      </c>
      <c r="G11" s="790" t="str">
        <f>Maaned!AZ13</f>
        <v>to</v>
      </c>
      <c r="H11" s="791" t="str">
        <f>Marts!C17</f>
        <v>Skema 2</v>
      </c>
      <c r="I11" s="833">
        <f>Marts!E17</f>
        <v>0</v>
      </c>
      <c r="J11" s="802" t="str">
        <f>Maaned!BB13</f>
        <v/>
      </c>
      <c r="K11" s="801">
        <f>Maaned!BF13</f>
        <v>9</v>
      </c>
      <c r="L11" s="790" t="str">
        <f>Maaned!BG13</f>
        <v>sø</v>
      </c>
      <c r="M11" s="791" t="str">
        <f>April!C17</f>
        <v>Weekend</v>
      </c>
      <c r="N11" s="833" t="str">
        <f>April!E17</f>
        <v>Påskedag</v>
      </c>
      <c r="O11" s="210" t="str">
        <f>Maaned!BI13</f>
        <v/>
      </c>
      <c r="P11" s="801">
        <f>Maaned!BM13</f>
        <v>9</v>
      </c>
      <c r="Q11" s="790" t="str">
        <f>Maaned!BN13</f>
        <v>ti</v>
      </c>
      <c r="R11" s="791" t="str">
        <f>Maj!C17</f>
        <v>Skema 2</v>
      </c>
      <c r="S11" s="833">
        <f>Maj!E17</f>
        <v>0</v>
      </c>
      <c r="T11" s="802" t="str">
        <f>Maaned!BP13</f>
        <v/>
      </c>
      <c r="U11" s="801">
        <f>Maaned!BT13</f>
        <v>9</v>
      </c>
      <c r="V11" s="790" t="str">
        <f>Maaned!BU13</f>
        <v>fr</v>
      </c>
      <c r="W11" s="791" t="str">
        <f>Juni!C17</f>
        <v>Lejrskole</v>
      </c>
      <c r="X11" s="833" t="str">
        <f>Juni!E17</f>
        <v>Storlejr. Hjemkomst kl. 15.00</v>
      </c>
      <c r="Y11" s="210" t="str">
        <f>Maaned!BW13</f>
        <v/>
      </c>
      <c r="Z11" s="801">
        <f>Maaned!CA13</f>
        <v>9</v>
      </c>
      <c r="AA11" s="790" t="str">
        <f>Maaned!CB13</f>
        <v>sø</v>
      </c>
      <c r="AB11" s="791" t="str">
        <f>Juli!C17</f>
        <v>Weekend</v>
      </c>
      <c r="AC11" s="833">
        <f>Juli!E17</f>
        <v>0</v>
      </c>
      <c r="AD11" s="802" t="str">
        <f>Maaned!CD13</f>
        <v/>
      </c>
    </row>
    <row r="12" spans="1:30" ht="23" customHeight="1">
      <c r="A12" s="801">
        <f>Maaned!AR14</f>
        <v>10</v>
      </c>
      <c r="B12" s="790" t="str">
        <f>Maaned!AS14</f>
        <v>fr</v>
      </c>
      <c r="C12" s="791" t="str">
        <f>Februar!C18</f>
        <v>Skema 2</v>
      </c>
      <c r="D12" s="833">
        <f>Februar!E18</f>
        <v>0</v>
      </c>
      <c r="E12" s="210" t="str">
        <f>Maaned!AU14</f>
        <v/>
      </c>
      <c r="F12" s="801">
        <f>Maaned!AY14</f>
        <v>10</v>
      </c>
      <c r="G12" s="790" t="str">
        <f>Maaned!AZ14</f>
        <v>fr</v>
      </c>
      <c r="H12" s="791" t="str">
        <f>Marts!C18</f>
        <v>Skema 2</v>
      </c>
      <c r="I12" s="833">
        <f>Marts!E18</f>
        <v>0</v>
      </c>
      <c r="J12" s="802" t="str">
        <f>Maaned!BB14</f>
        <v/>
      </c>
      <c r="K12" s="801">
        <f>Maaned!BF14</f>
        <v>10</v>
      </c>
      <c r="L12" s="790" t="str">
        <f>Maaned!BG14</f>
        <v>ma</v>
      </c>
      <c r="M12" s="791" t="str">
        <f>April!C18</f>
        <v>SH-dag</v>
      </c>
      <c r="N12" s="833" t="str">
        <f>April!E18</f>
        <v>2. påskedag</v>
      </c>
      <c r="O12" s="210">
        <f>Maaned!BI14</f>
        <v>15.142857142857142</v>
      </c>
      <c r="P12" s="801">
        <f>Maaned!BM14</f>
        <v>10</v>
      </c>
      <c r="Q12" s="790" t="str">
        <f>Maaned!BN14</f>
        <v>on</v>
      </c>
      <c r="R12" s="791" t="str">
        <f>Maj!C18</f>
        <v>Skema 2</v>
      </c>
      <c r="S12" s="833">
        <f>Maj!E18</f>
        <v>0</v>
      </c>
      <c r="T12" s="802" t="str">
        <f>Maaned!BP14</f>
        <v/>
      </c>
      <c r="U12" s="801">
        <f>Maaned!BT14</f>
        <v>10</v>
      </c>
      <c r="V12" s="790" t="str">
        <f>Maaned!BU14</f>
        <v>lø</v>
      </c>
      <c r="W12" s="791" t="str">
        <f>Juni!C18</f>
        <v>Weekend</v>
      </c>
      <c r="X12" s="833">
        <f>Juni!E18</f>
        <v>0</v>
      </c>
      <c r="Y12" s="210" t="str">
        <f>Maaned!BW14</f>
        <v/>
      </c>
      <c r="Z12" s="801">
        <f>Maaned!CA14</f>
        <v>10</v>
      </c>
      <c r="AA12" s="790" t="str">
        <f>Maaned!CB14</f>
        <v>ma</v>
      </c>
      <c r="AB12" s="791" t="str">
        <f>Juli!C18</f>
        <v>Feriedag</v>
      </c>
      <c r="AC12" s="833" t="str">
        <f>Juli!E18</f>
        <v>Sommerferie</v>
      </c>
      <c r="AD12" s="802">
        <f>Maaned!CD14</f>
        <v>28.142857142857142</v>
      </c>
    </row>
    <row r="13" spans="1:30" ht="23" customHeight="1">
      <c r="A13" s="801">
        <f>Maaned!AR15</f>
        <v>11</v>
      </c>
      <c r="B13" s="790" t="str">
        <f>Maaned!AS15</f>
        <v>lø</v>
      </c>
      <c r="C13" s="791" t="str">
        <f>Februar!C19</f>
        <v>Weekend</v>
      </c>
      <c r="D13" s="833">
        <f>Februar!E19</f>
        <v>0</v>
      </c>
      <c r="E13" s="210" t="str">
        <f>Maaned!AU15</f>
        <v/>
      </c>
      <c r="F13" s="801">
        <f>Maaned!AY15</f>
        <v>11</v>
      </c>
      <c r="G13" s="790" t="str">
        <f>Maaned!AZ15</f>
        <v>lø</v>
      </c>
      <c r="H13" s="791" t="str">
        <f>Marts!C19</f>
        <v>Pæd.dag</v>
      </c>
      <c r="I13" s="833">
        <f>Marts!E19</f>
        <v>0</v>
      </c>
      <c r="J13" s="802" t="str">
        <f>Maaned!BB15</f>
        <v/>
      </c>
      <c r="K13" s="801">
        <f>Maaned!BF15</f>
        <v>11</v>
      </c>
      <c r="L13" s="790" t="str">
        <f>Maaned!BG15</f>
        <v>ti</v>
      </c>
      <c r="M13" s="791" t="str">
        <f>April!C19</f>
        <v>Skema 2</v>
      </c>
      <c r="N13" s="833">
        <f>April!E19</f>
        <v>0</v>
      </c>
      <c r="O13" s="210" t="str">
        <f>Maaned!BI15</f>
        <v/>
      </c>
      <c r="P13" s="801">
        <f>Maaned!BM15</f>
        <v>11</v>
      </c>
      <c r="Q13" s="790" t="str">
        <f>Maaned!BN15</f>
        <v>to</v>
      </c>
      <c r="R13" s="791" t="str">
        <f>Maj!C19</f>
        <v>Skema 2</v>
      </c>
      <c r="S13" s="833">
        <f>Maj!E19</f>
        <v>0</v>
      </c>
      <c r="T13" s="802" t="str">
        <f>Maaned!BP15</f>
        <v/>
      </c>
      <c r="U13" s="801">
        <f>Maaned!BT15</f>
        <v>11</v>
      </c>
      <c r="V13" s="790" t="str">
        <f>Maaned!BU15</f>
        <v>sø</v>
      </c>
      <c r="W13" s="791" t="str">
        <f>Juni!C19</f>
        <v>Weekend</v>
      </c>
      <c r="X13" s="833">
        <f>Juni!E19</f>
        <v>0</v>
      </c>
      <c r="Y13" s="210" t="str">
        <f>Maaned!BW15</f>
        <v/>
      </c>
      <c r="Z13" s="801">
        <f>Maaned!CA15</f>
        <v>11</v>
      </c>
      <c r="AA13" s="790" t="str">
        <f>Maaned!CB15</f>
        <v>ti</v>
      </c>
      <c r="AB13" s="791" t="str">
        <f>Juli!C19</f>
        <v>Feriedag</v>
      </c>
      <c r="AC13" s="833" t="str">
        <f>Juli!E19</f>
        <v>Sommerferie</v>
      </c>
      <c r="AD13" s="802" t="str">
        <f>Maaned!CD15</f>
        <v/>
      </c>
    </row>
    <row r="14" spans="1:30" ht="23" customHeight="1">
      <c r="A14" s="801">
        <f>Maaned!AR16</f>
        <v>12</v>
      </c>
      <c r="B14" s="790" t="str">
        <f>Maaned!AS16</f>
        <v>sø</v>
      </c>
      <c r="C14" s="791" t="str">
        <f>Februar!C20</f>
        <v>Weekend</v>
      </c>
      <c r="D14" s="833">
        <f>Februar!E20</f>
        <v>0</v>
      </c>
      <c r="E14" s="210" t="str">
        <f>Maaned!AU16</f>
        <v/>
      </c>
      <c r="F14" s="801">
        <f>Maaned!AY16</f>
        <v>12</v>
      </c>
      <c r="G14" s="790" t="str">
        <f>Maaned!AZ16</f>
        <v>sø</v>
      </c>
      <c r="H14" s="791" t="str">
        <f>Marts!C20</f>
        <v>Weekend</v>
      </c>
      <c r="I14" s="833">
        <f>Marts!E20</f>
        <v>0</v>
      </c>
      <c r="J14" s="802" t="str">
        <f>Maaned!BB16</f>
        <v/>
      </c>
      <c r="K14" s="801">
        <f>Maaned!BF16</f>
        <v>12</v>
      </c>
      <c r="L14" s="790" t="str">
        <f>Maaned!BG16</f>
        <v>on</v>
      </c>
      <c r="M14" s="791" t="str">
        <f>April!C20</f>
        <v>Skema 2</v>
      </c>
      <c r="N14" s="833">
        <f>April!E20</f>
        <v>0</v>
      </c>
      <c r="O14" s="210" t="str">
        <f>Maaned!BI16</f>
        <v/>
      </c>
      <c r="P14" s="801">
        <f>Maaned!BM16</f>
        <v>12</v>
      </c>
      <c r="Q14" s="790" t="str">
        <f>Maaned!BN16</f>
        <v>fr</v>
      </c>
      <c r="R14" s="791" t="str">
        <f>Maj!C20</f>
        <v>Skema 2</v>
      </c>
      <c r="S14" s="833">
        <f>Maj!E20</f>
        <v>0</v>
      </c>
      <c r="T14" s="802" t="str">
        <f>Maaned!BP16</f>
        <v/>
      </c>
      <c r="U14" s="801">
        <f>Maaned!BT16</f>
        <v>12</v>
      </c>
      <c r="V14" s="790" t="str">
        <f>Maaned!BU16</f>
        <v>ma</v>
      </c>
      <c r="W14" s="791" t="str">
        <f>Juni!C20</f>
        <v>Skema 2</v>
      </c>
      <c r="X14" s="833">
        <f>Juni!E20</f>
        <v>0</v>
      </c>
      <c r="Y14" s="210">
        <f>Maaned!BW16</f>
        <v>24.142857142857142</v>
      </c>
      <c r="Z14" s="801">
        <f>Maaned!CA16</f>
        <v>12</v>
      </c>
      <c r="AA14" s="790" t="str">
        <f>Maaned!CB16</f>
        <v>on</v>
      </c>
      <c r="AB14" s="791" t="str">
        <f>Juli!C20</f>
        <v>Feriedag</v>
      </c>
      <c r="AC14" s="833" t="str">
        <f>Juli!E20</f>
        <v>Sommerferie</v>
      </c>
      <c r="AD14" s="802" t="str">
        <f>Maaned!CD16</f>
        <v/>
      </c>
    </row>
    <row r="15" spans="1:30" ht="23" customHeight="1">
      <c r="A15" s="801">
        <f>Maaned!AR17</f>
        <v>13</v>
      </c>
      <c r="B15" s="790" t="str">
        <f>Maaned!AS17</f>
        <v>ma</v>
      </c>
      <c r="C15" s="791" t="str">
        <f>Februar!C21</f>
        <v>Nul-dag</v>
      </c>
      <c r="D15" s="833" t="str">
        <f>Februar!E21</f>
        <v>Vinterferie</v>
      </c>
      <c r="E15" s="210">
        <f>Maaned!AU17</f>
        <v>7.1428571428571432</v>
      </c>
      <c r="F15" s="801">
        <f>Maaned!AY17</f>
        <v>13</v>
      </c>
      <c r="G15" s="790" t="str">
        <f>Maaned!AZ17</f>
        <v>ma</v>
      </c>
      <c r="H15" s="791" t="str">
        <f>Marts!C21</f>
        <v>Skema 2</v>
      </c>
      <c r="I15" s="833">
        <f>Marts!E21</f>
        <v>0</v>
      </c>
      <c r="J15" s="802">
        <f>Maaned!BB17</f>
        <v>11.142857142857142</v>
      </c>
      <c r="K15" s="801">
        <f>Maaned!BF17</f>
        <v>13</v>
      </c>
      <c r="L15" s="790" t="str">
        <f>Maaned!BG17</f>
        <v>to</v>
      </c>
      <c r="M15" s="791" t="str">
        <f>April!C21</f>
        <v>Skema 2</v>
      </c>
      <c r="N15" s="833">
        <f>April!E21</f>
        <v>0</v>
      </c>
      <c r="O15" s="210" t="str">
        <f>Maaned!BI17</f>
        <v/>
      </c>
      <c r="P15" s="801">
        <f>Maaned!BM17</f>
        <v>13</v>
      </c>
      <c r="Q15" s="790" t="str">
        <f>Maaned!BN17</f>
        <v>lø</v>
      </c>
      <c r="R15" s="791" t="str">
        <f>Maj!C21</f>
        <v>Weekend</v>
      </c>
      <c r="S15" s="833">
        <f>Maj!E21</f>
        <v>0</v>
      </c>
      <c r="T15" s="802" t="str">
        <f>Maaned!BP17</f>
        <v/>
      </c>
      <c r="U15" s="801">
        <f>Maaned!BT17</f>
        <v>13</v>
      </c>
      <c r="V15" s="790" t="str">
        <f>Maaned!BU17</f>
        <v>ti</v>
      </c>
      <c r="W15" s="791" t="str">
        <f>Juni!C21</f>
        <v>Skema 2</v>
      </c>
      <c r="X15" s="833">
        <f>Juni!E21</f>
        <v>0</v>
      </c>
      <c r="Y15" s="210" t="str">
        <f>Maaned!BW17</f>
        <v/>
      </c>
      <c r="Z15" s="801">
        <f>Maaned!CA17</f>
        <v>13</v>
      </c>
      <c r="AA15" s="790" t="str">
        <f>Maaned!CB17</f>
        <v>to</v>
      </c>
      <c r="AB15" s="791" t="str">
        <f>Juli!C21</f>
        <v>Feriedag</v>
      </c>
      <c r="AC15" s="833" t="str">
        <f>Juli!E21</f>
        <v>Sommerferie</v>
      </c>
      <c r="AD15" s="802" t="str">
        <f>Maaned!CD17</f>
        <v/>
      </c>
    </row>
    <row r="16" spans="1:30" ht="23" customHeight="1">
      <c r="A16" s="801">
        <f>Maaned!AR18</f>
        <v>14</v>
      </c>
      <c r="B16" s="790" t="str">
        <f>Maaned!AS18</f>
        <v>ti</v>
      </c>
      <c r="C16" s="791" t="str">
        <f>Februar!C22</f>
        <v>Nul-dag</v>
      </c>
      <c r="D16" s="833" t="str">
        <f>Februar!E22</f>
        <v>Vinterferie</v>
      </c>
      <c r="E16" s="210" t="str">
        <f>Maaned!AU18</f>
        <v/>
      </c>
      <c r="F16" s="801">
        <f>Maaned!AY18</f>
        <v>14</v>
      </c>
      <c r="G16" s="790" t="str">
        <f>Maaned!AZ18</f>
        <v>ti</v>
      </c>
      <c r="H16" s="791" t="str">
        <f>Marts!C22</f>
        <v>Skema 2</v>
      </c>
      <c r="I16" s="833">
        <f>Marts!E22</f>
        <v>0</v>
      </c>
      <c r="J16" s="802" t="str">
        <f>Maaned!BB18</f>
        <v/>
      </c>
      <c r="K16" s="801">
        <f>Maaned!BF18</f>
        <v>14</v>
      </c>
      <c r="L16" s="790" t="str">
        <f>Maaned!BG18</f>
        <v>fr</v>
      </c>
      <c r="M16" s="791" t="str">
        <f>April!C22</f>
        <v>Skema 2</v>
      </c>
      <c r="N16" s="833">
        <f>April!E22</f>
        <v>0</v>
      </c>
      <c r="O16" s="210" t="str">
        <f>Maaned!BI18</f>
        <v/>
      </c>
      <c r="P16" s="801">
        <f>Maaned!BM18</f>
        <v>14</v>
      </c>
      <c r="Q16" s="790" t="str">
        <f>Maaned!BN18</f>
        <v>sø</v>
      </c>
      <c r="R16" s="791" t="str">
        <f>Maj!C22</f>
        <v>Weekend</v>
      </c>
      <c r="S16" s="833">
        <f>Maj!E22</f>
        <v>0</v>
      </c>
      <c r="T16" s="802" t="str">
        <f>Maaned!BP18</f>
        <v/>
      </c>
      <c r="U16" s="801">
        <f>Maaned!BT18</f>
        <v>14</v>
      </c>
      <c r="V16" s="790" t="str">
        <f>Maaned!BU18</f>
        <v>on</v>
      </c>
      <c r="W16" s="791" t="str">
        <f>Juni!C22</f>
        <v>Skema 2</v>
      </c>
      <c r="X16" s="833">
        <f>Juni!E22</f>
        <v>0</v>
      </c>
      <c r="Y16" s="210" t="str">
        <f>Maaned!BW18</f>
        <v/>
      </c>
      <c r="Z16" s="801">
        <f>Maaned!CA18</f>
        <v>14</v>
      </c>
      <c r="AA16" s="790" t="str">
        <f>Maaned!CB18</f>
        <v>fr</v>
      </c>
      <c r="AB16" s="791" t="str">
        <f>Juli!C22</f>
        <v>Feriedag</v>
      </c>
      <c r="AC16" s="833" t="str">
        <f>Juli!E22</f>
        <v>Sommerferie</v>
      </c>
      <c r="AD16" s="802" t="str">
        <f>Maaned!CD18</f>
        <v/>
      </c>
    </row>
    <row r="17" spans="1:30" ht="23" customHeight="1">
      <c r="A17" s="801">
        <f>Maaned!AR19</f>
        <v>15</v>
      </c>
      <c r="B17" s="790" t="str">
        <f>Maaned!AS19</f>
        <v>on</v>
      </c>
      <c r="C17" s="791" t="str">
        <f>Februar!C23</f>
        <v>Nul-dag</v>
      </c>
      <c r="D17" s="833" t="str">
        <f>Februar!E23</f>
        <v>Vinterferie</v>
      </c>
      <c r="E17" s="210" t="str">
        <f>Maaned!AU19</f>
        <v/>
      </c>
      <c r="F17" s="801">
        <f>Maaned!AY19</f>
        <v>15</v>
      </c>
      <c r="G17" s="790" t="str">
        <f>Maaned!AZ19</f>
        <v>on</v>
      </c>
      <c r="H17" s="791" t="str">
        <f>Marts!C23</f>
        <v>Skema 2</v>
      </c>
      <c r="I17" s="833">
        <f>Marts!E23</f>
        <v>0</v>
      </c>
      <c r="J17" s="802" t="str">
        <f>Maaned!BB19</f>
        <v/>
      </c>
      <c r="K17" s="801">
        <f>Maaned!BF19</f>
        <v>15</v>
      </c>
      <c r="L17" s="790" t="str">
        <f>Maaned!BG19</f>
        <v>lø</v>
      </c>
      <c r="M17" s="791" t="str">
        <f>April!C23</f>
        <v>Weekend</v>
      </c>
      <c r="N17" s="833">
        <f>April!E23</f>
        <v>0</v>
      </c>
      <c r="O17" s="210" t="str">
        <f>Maaned!BI19</f>
        <v/>
      </c>
      <c r="P17" s="801">
        <f>Maaned!BM19</f>
        <v>15</v>
      </c>
      <c r="Q17" s="790" t="str">
        <f>Maaned!BN19</f>
        <v>ma</v>
      </c>
      <c r="R17" s="791" t="str">
        <f>Maj!C23</f>
        <v>Skema 2</v>
      </c>
      <c r="S17" s="833">
        <f>Maj!E23</f>
        <v>0</v>
      </c>
      <c r="T17" s="802">
        <f>Maaned!BP19</f>
        <v>20.142857142857142</v>
      </c>
      <c r="U17" s="801">
        <f>Maaned!BT19</f>
        <v>15</v>
      </c>
      <c r="V17" s="790" t="str">
        <f>Maaned!BU19</f>
        <v>to</v>
      </c>
      <c r="W17" s="791" t="str">
        <f>Juni!C23</f>
        <v>Skema 2</v>
      </c>
      <c r="X17" s="833">
        <f>Juni!E23</f>
        <v>0</v>
      </c>
      <c r="Y17" s="210" t="str">
        <f>Maaned!BW19</f>
        <v/>
      </c>
      <c r="Z17" s="801">
        <f>Maaned!CA19</f>
        <v>15</v>
      </c>
      <c r="AA17" s="790" t="str">
        <f>Maaned!CB19</f>
        <v>lø</v>
      </c>
      <c r="AB17" s="791" t="str">
        <f>Juli!C23</f>
        <v>Weekend</v>
      </c>
      <c r="AC17" s="833">
        <f>Juli!E23</f>
        <v>0</v>
      </c>
      <c r="AD17" s="802" t="str">
        <f>Maaned!CD19</f>
        <v/>
      </c>
    </row>
    <row r="18" spans="1:30" ht="23" customHeight="1">
      <c r="A18" s="801">
        <f>Maaned!AR20</f>
        <v>16</v>
      </c>
      <c r="B18" s="790" t="str">
        <f>Maaned!AS20</f>
        <v>to</v>
      </c>
      <c r="C18" s="791" t="str">
        <f>Februar!C24</f>
        <v>Nul-dag</v>
      </c>
      <c r="D18" s="833" t="str">
        <f>Februar!E24</f>
        <v>Vinterferie</v>
      </c>
      <c r="E18" s="210" t="str">
        <f>Maaned!AU20</f>
        <v/>
      </c>
      <c r="F18" s="801">
        <f>Maaned!AY20</f>
        <v>16</v>
      </c>
      <c r="G18" s="790" t="str">
        <f>Maaned!AZ20</f>
        <v>to</v>
      </c>
      <c r="H18" s="791" t="str">
        <f>Marts!C24</f>
        <v>Skema 2</v>
      </c>
      <c r="I18" s="833">
        <f>Marts!E24</f>
        <v>0</v>
      </c>
      <c r="J18" s="802" t="str">
        <f>Maaned!BB20</f>
        <v/>
      </c>
      <c r="K18" s="801">
        <f>Maaned!BF20</f>
        <v>16</v>
      </c>
      <c r="L18" s="790" t="str">
        <f>Maaned!BG20</f>
        <v>sø</v>
      </c>
      <c r="M18" s="791" t="str">
        <f>April!C24</f>
        <v>Weekend</v>
      </c>
      <c r="N18" s="833">
        <f>April!E24</f>
        <v>0</v>
      </c>
      <c r="O18" s="210" t="str">
        <f>Maaned!BI20</f>
        <v/>
      </c>
      <c r="P18" s="801">
        <f>Maaned!BM20</f>
        <v>16</v>
      </c>
      <c r="Q18" s="790" t="str">
        <f>Maaned!BN20</f>
        <v>ti</v>
      </c>
      <c r="R18" s="791" t="str">
        <f>Maj!C24</f>
        <v>Skema 2</v>
      </c>
      <c r="S18" s="833">
        <f>Maj!E24</f>
        <v>0</v>
      </c>
      <c r="T18" s="802" t="str">
        <f>Maaned!BP20</f>
        <v/>
      </c>
      <c r="U18" s="801">
        <f>Maaned!BT20</f>
        <v>16</v>
      </c>
      <c r="V18" s="790" t="str">
        <f>Maaned!BU20</f>
        <v>fr</v>
      </c>
      <c r="W18" s="791" t="str">
        <f>Juni!C24</f>
        <v>Skema 2</v>
      </c>
      <c r="X18" s="833">
        <f>Juni!E24</f>
        <v>0</v>
      </c>
      <c r="Y18" s="210" t="str">
        <f>Maaned!BW20</f>
        <v/>
      </c>
      <c r="Z18" s="801">
        <f>Maaned!CA20</f>
        <v>16</v>
      </c>
      <c r="AA18" s="790" t="str">
        <f>Maaned!CB20</f>
        <v>sø</v>
      </c>
      <c r="AB18" s="791" t="str">
        <f>Juli!C24</f>
        <v>Weekend</v>
      </c>
      <c r="AC18" s="833">
        <f>Juli!E24</f>
        <v>0</v>
      </c>
      <c r="AD18" s="802" t="str">
        <f>Maaned!CD20</f>
        <v/>
      </c>
    </row>
    <row r="19" spans="1:30" ht="23" customHeight="1">
      <c r="A19" s="801">
        <f>Maaned!AR21</f>
        <v>17</v>
      </c>
      <c r="B19" s="790" t="str">
        <f>Maaned!AS21</f>
        <v>fr</v>
      </c>
      <c r="C19" s="791" t="str">
        <f>Februar!C25</f>
        <v>Nul-dag</v>
      </c>
      <c r="D19" s="833" t="str">
        <f>Februar!E25</f>
        <v>Vinterferie</v>
      </c>
      <c r="E19" s="210" t="str">
        <f>Maaned!AU21</f>
        <v/>
      </c>
      <c r="F19" s="801">
        <f>Maaned!AY21</f>
        <v>17</v>
      </c>
      <c r="G19" s="790" t="str">
        <f>Maaned!AZ21</f>
        <v>fr</v>
      </c>
      <c r="H19" s="791" t="str">
        <f>Marts!C25</f>
        <v>Skema 2</v>
      </c>
      <c r="I19" s="833">
        <f>Marts!E25</f>
        <v>0</v>
      </c>
      <c r="J19" s="802" t="str">
        <f>Maaned!BB21</f>
        <v/>
      </c>
      <c r="K19" s="801">
        <f>Maaned!BF21</f>
        <v>17</v>
      </c>
      <c r="L19" s="790" t="str">
        <f>Maaned!BG21</f>
        <v>ma</v>
      </c>
      <c r="M19" s="791" t="str">
        <f>April!C25</f>
        <v>Skema 2</v>
      </c>
      <c r="N19" s="833">
        <f>April!E25</f>
        <v>0</v>
      </c>
      <c r="O19" s="210">
        <f>Maaned!BI21</f>
        <v>16.142857142857142</v>
      </c>
      <c r="P19" s="801">
        <f>Maaned!BM21</f>
        <v>17</v>
      </c>
      <c r="Q19" s="790" t="str">
        <f>Maaned!BN21</f>
        <v>on</v>
      </c>
      <c r="R19" s="791" t="str">
        <f>Maj!C25</f>
        <v>Skema 2</v>
      </c>
      <c r="S19" s="833">
        <f>Maj!E25</f>
        <v>0</v>
      </c>
      <c r="T19" s="802" t="str">
        <f>Maaned!BP21</f>
        <v/>
      </c>
      <c r="U19" s="801">
        <f>Maaned!BT21</f>
        <v>17</v>
      </c>
      <c r="V19" s="790" t="str">
        <f>Maaned!BU21</f>
        <v>lø</v>
      </c>
      <c r="W19" s="791" t="str">
        <f>Juni!C25</f>
        <v>Weekend</v>
      </c>
      <c r="X19" s="833">
        <f>Juni!E25</f>
        <v>0</v>
      </c>
      <c r="Y19" s="210" t="str">
        <f>Maaned!BW21</f>
        <v/>
      </c>
      <c r="Z19" s="801">
        <f>Maaned!CA21</f>
        <v>17</v>
      </c>
      <c r="AA19" s="790" t="str">
        <f>Maaned!CB21</f>
        <v>ma</v>
      </c>
      <c r="AB19" s="791" t="str">
        <f>Juli!C25</f>
        <v>Feriedag</v>
      </c>
      <c r="AC19" s="833" t="str">
        <f>Juli!E25</f>
        <v>Sommerferie</v>
      </c>
      <c r="AD19" s="802">
        <f>Maaned!CD21</f>
        <v>29.142857142857142</v>
      </c>
    </row>
    <row r="20" spans="1:30" ht="23" customHeight="1">
      <c r="A20" s="801">
        <f>Maaned!AR22</f>
        <v>18</v>
      </c>
      <c r="B20" s="790" t="str">
        <f>Maaned!AS22</f>
        <v>lø</v>
      </c>
      <c r="C20" s="791" t="str">
        <f>Februar!C26</f>
        <v>Weekend</v>
      </c>
      <c r="D20" s="833">
        <f>Februar!E26</f>
        <v>0</v>
      </c>
      <c r="E20" s="210" t="str">
        <f>Maaned!AU22</f>
        <v/>
      </c>
      <c r="F20" s="801">
        <f>Maaned!AY22</f>
        <v>18</v>
      </c>
      <c r="G20" s="790" t="str">
        <f>Maaned!AZ22</f>
        <v>lø</v>
      </c>
      <c r="H20" s="791" t="str">
        <f>Marts!C26</f>
        <v>Weekend</v>
      </c>
      <c r="I20" s="833">
        <f>Marts!E26</f>
        <v>0</v>
      </c>
      <c r="J20" s="802" t="str">
        <f>Maaned!BB22</f>
        <v/>
      </c>
      <c r="K20" s="801">
        <f>Maaned!BF22</f>
        <v>18</v>
      </c>
      <c r="L20" s="790" t="str">
        <f>Maaned!BG22</f>
        <v>ti</v>
      </c>
      <c r="M20" s="791" t="str">
        <f>April!C26</f>
        <v>Emnedag</v>
      </c>
      <c r="N20" s="833" t="str">
        <f>April!E26</f>
        <v>Pige/drengedag</v>
      </c>
      <c r="O20" s="210" t="str">
        <f>Maaned!BI22</f>
        <v/>
      </c>
      <c r="P20" s="801">
        <f>Maaned!BM22</f>
        <v>18</v>
      </c>
      <c r="Q20" s="790" t="str">
        <f>Maaned!BN22</f>
        <v>to</v>
      </c>
      <c r="R20" s="791" t="str">
        <f>Maj!C26</f>
        <v>SH-dag</v>
      </c>
      <c r="S20" s="833" t="str">
        <f>Maj!E26</f>
        <v>Kr. himmelfartsdag</v>
      </c>
      <c r="T20" s="802" t="str">
        <f>Maaned!BP22</f>
        <v/>
      </c>
      <c r="U20" s="801">
        <f>Maaned!BT22</f>
        <v>18</v>
      </c>
      <c r="V20" s="790" t="str">
        <f>Maaned!BU22</f>
        <v>sø</v>
      </c>
      <c r="W20" s="791" t="str">
        <f>Juni!C26</f>
        <v>Weekend</v>
      </c>
      <c r="X20" s="833">
        <f>Juni!E26</f>
        <v>0</v>
      </c>
      <c r="Y20" s="210" t="str">
        <f>Maaned!BW22</f>
        <v/>
      </c>
      <c r="Z20" s="801">
        <f>Maaned!CA22</f>
        <v>18</v>
      </c>
      <c r="AA20" s="790" t="str">
        <f>Maaned!CB22</f>
        <v>ti</v>
      </c>
      <c r="AB20" s="791" t="str">
        <f>Juli!C26</f>
        <v>Feriedag</v>
      </c>
      <c r="AC20" s="833" t="str">
        <f>Juli!E26</f>
        <v>Sommerferie</v>
      </c>
      <c r="AD20" s="802" t="str">
        <f>Maaned!CD22</f>
        <v/>
      </c>
    </row>
    <row r="21" spans="1:30" ht="23" customHeight="1">
      <c r="A21" s="801">
        <f>Maaned!AR23</f>
        <v>19</v>
      </c>
      <c r="B21" s="790" t="str">
        <f>Maaned!AS23</f>
        <v>sø</v>
      </c>
      <c r="C21" s="791" t="str">
        <f>Februar!C27</f>
        <v>Weekend</v>
      </c>
      <c r="D21" s="833">
        <f>Februar!E27</f>
        <v>0</v>
      </c>
      <c r="E21" s="210" t="str">
        <f>Maaned!AU23</f>
        <v/>
      </c>
      <c r="F21" s="801">
        <f>Maaned!AY23</f>
        <v>19</v>
      </c>
      <c r="G21" s="790" t="str">
        <f>Maaned!AZ23</f>
        <v>sø</v>
      </c>
      <c r="H21" s="791" t="str">
        <f>Marts!C27</f>
        <v>Weekend</v>
      </c>
      <c r="I21" s="833">
        <f>Marts!E27</f>
        <v>0</v>
      </c>
      <c r="J21" s="802" t="str">
        <f>Maaned!BB23</f>
        <v/>
      </c>
      <c r="K21" s="801">
        <f>Maaned!BF23</f>
        <v>19</v>
      </c>
      <c r="L21" s="790" t="str">
        <f>Maaned!BG23</f>
        <v>on</v>
      </c>
      <c r="M21" s="791" t="str">
        <f>April!C27</f>
        <v>Emnedag</v>
      </c>
      <c r="N21" s="833" t="str">
        <f>April!E27</f>
        <v>Pige/drengedag</v>
      </c>
      <c r="O21" s="210" t="str">
        <f>Maaned!BI23</f>
        <v/>
      </c>
      <c r="P21" s="801">
        <f>Maaned!BM23</f>
        <v>19</v>
      </c>
      <c r="Q21" s="790" t="str">
        <f>Maaned!BN23</f>
        <v>fr</v>
      </c>
      <c r="R21" s="791" t="str">
        <f>Maj!C27</f>
        <v>Nul-dag</v>
      </c>
      <c r="S21" s="833">
        <f>Maj!E27</f>
        <v>0</v>
      </c>
      <c r="T21" s="802" t="str">
        <f>Maaned!BP23</f>
        <v/>
      </c>
      <c r="U21" s="801">
        <f>Maaned!BT23</f>
        <v>19</v>
      </c>
      <c r="V21" s="790" t="str">
        <f>Maaned!BU23</f>
        <v>ma</v>
      </c>
      <c r="W21" s="791" t="str">
        <f>Juni!C27</f>
        <v>Skema 2</v>
      </c>
      <c r="X21" s="833">
        <f>Juni!E27</f>
        <v>0</v>
      </c>
      <c r="Y21" s="210">
        <f>Maaned!BW23</f>
        <v>25.142857142857142</v>
      </c>
      <c r="Z21" s="801">
        <f>Maaned!CA23</f>
        <v>19</v>
      </c>
      <c r="AA21" s="790" t="str">
        <f>Maaned!CB23</f>
        <v>on</v>
      </c>
      <c r="AB21" s="791" t="str">
        <f>Juli!C27</f>
        <v>Feriedag</v>
      </c>
      <c r="AC21" s="833" t="str">
        <f>Juli!E27</f>
        <v>Sommerferie</v>
      </c>
      <c r="AD21" s="802" t="str">
        <f>Maaned!CD23</f>
        <v/>
      </c>
    </row>
    <row r="22" spans="1:30" ht="23" customHeight="1">
      <c r="A22" s="801">
        <f>Maaned!AR24</f>
        <v>20</v>
      </c>
      <c r="B22" s="790" t="str">
        <f>Maaned!AS24</f>
        <v>ma</v>
      </c>
      <c r="C22" s="791" t="str">
        <f>Februar!C28</f>
        <v>Skema 2</v>
      </c>
      <c r="D22" s="833">
        <f>Februar!E28</f>
        <v>0</v>
      </c>
      <c r="E22" s="210">
        <f>Maaned!AU24</f>
        <v>8.1428571428571423</v>
      </c>
      <c r="F22" s="801">
        <f>Maaned!AY24</f>
        <v>20</v>
      </c>
      <c r="G22" s="790" t="str">
        <f>Maaned!AZ24</f>
        <v>ma</v>
      </c>
      <c r="H22" s="791" t="str">
        <f>Marts!C28</f>
        <v>Skema 2</v>
      </c>
      <c r="I22" s="833">
        <f>Marts!E28</f>
        <v>0</v>
      </c>
      <c r="J22" s="802">
        <f>Maaned!BB24</f>
        <v>12.142857142857142</v>
      </c>
      <c r="K22" s="801">
        <f>Maaned!BF24</f>
        <v>20</v>
      </c>
      <c r="L22" s="790" t="str">
        <f>Maaned!BG24</f>
        <v>to</v>
      </c>
      <c r="M22" s="791" t="str">
        <f>April!C28</f>
        <v>Skema 2</v>
      </c>
      <c r="N22" s="833">
        <f>April!E28</f>
        <v>0</v>
      </c>
      <c r="O22" s="210" t="str">
        <f>Maaned!BI24</f>
        <v/>
      </c>
      <c r="P22" s="801">
        <f>Maaned!BM24</f>
        <v>20</v>
      </c>
      <c r="Q22" s="790" t="str">
        <f>Maaned!BN24</f>
        <v>lø</v>
      </c>
      <c r="R22" s="791" t="str">
        <f>Maj!C28</f>
        <v>Weekend</v>
      </c>
      <c r="S22" s="833">
        <f>Maj!E28</f>
        <v>0</v>
      </c>
      <c r="T22" s="802" t="str">
        <f>Maaned!BP24</f>
        <v/>
      </c>
      <c r="U22" s="801">
        <f>Maaned!BT24</f>
        <v>20</v>
      </c>
      <c r="V22" s="790" t="str">
        <f>Maaned!BU24</f>
        <v>ti</v>
      </c>
      <c r="W22" s="791" t="str">
        <f>Juni!C28</f>
        <v>Skema 2</v>
      </c>
      <c r="X22" s="833">
        <f>Juni!E28</f>
        <v>0</v>
      </c>
      <c r="Y22" s="210" t="str">
        <f>Maaned!BW24</f>
        <v/>
      </c>
      <c r="Z22" s="801">
        <f>Maaned!CA24</f>
        <v>20</v>
      </c>
      <c r="AA22" s="790" t="str">
        <f>Maaned!CB24</f>
        <v>to</v>
      </c>
      <c r="AB22" s="791" t="str">
        <f>Juli!C28</f>
        <v>Feriedag</v>
      </c>
      <c r="AC22" s="833" t="str">
        <f>Juli!E28</f>
        <v>Sommerferie</v>
      </c>
      <c r="AD22" s="802" t="str">
        <f>Maaned!CD24</f>
        <v/>
      </c>
    </row>
    <row r="23" spans="1:30" ht="23" customHeight="1">
      <c r="A23" s="801">
        <f>Maaned!AR25</f>
        <v>21</v>
      </c>
      <c r="B23" s="790" t="str">
        <f>Maaned!AS25</f>
        <v>ti</v>
      </c>
      <c r="C23" s="791" t="str">
        <f>Februar!C29</f>
        <v>Skema 2</v>
      </c>
      <c r="D23" s="833">
        <f>Februar!E29</f>
        <v>0</v>
      </c>
      <c r="E23" s="210" t="str">
        <f>Maaned!AU25</f>
        <v/>
      </c>
      <c r="F23" s="801">
        <f>Maaned!AY25</f>
        <v>21</v>
      </c>
      <c r="G23" s="790" t="str">
        <f>Maaned!AZ25</f>
        <v>ti</v>
      </c>
      <c r="H23" s="791" t="str">
        <f>Marts!C29</f>
        <v>Skema 2</v>
      </c>
      <c r="I23" s="833">
        <f>Marts!E29</f>
        <v>0</v>
      </c>
      <c r="J23" s="802" t="str">
        <f>Maaned!BB25</f>
        <v/>
      </c>
      <c r="K23" s="801">
        <f>Maaned!BF25</f>
        <v>21</v>
      </c>
      <c r="L23" s="790" t="str">
        <f>Maaned!BG25</f>
        <v>fr</v>
      </c>
      <c r="M23" s="791" t="str">
        <f>April!C29</f>
        <v>Skema 2</v>
      </c>
      <c r="N23" s="833">
        <f>April!E29</f>
        <v>0</v>
      </c>
      <c r="O23" s="210" t="str">
        <f>Maaned!BI25</f>
        <v/>
      </c>
      <c r="P23" s="801">
        <f>Maaned!BM25</f>
        <v>21</v>
      </c>
      <c r="Q23" s="790" t="str">
        <f>Maaned!BN25</f>
        <v>sø</v>
      </c>
      <c r="R23" s="791" t="str">
        <f>Maj!C29</f>
        <v>Weekend</v>
      </c>
      <c r="S23" s="833">
        <f>Maj!E29</f>
        <v>0</v>
      </c>
      <c r="T23" s="802" t="str">
        <f>Maaned!BP25</f>
        <v/>
      </c>
      <c r="U23" s="801">
        <f>Maaned!BT25</f>
        <v>21</v>
      </c>
      <c r="V23" s="790" t="str">
        <f>Maaned!BU25</f>
        <v>on</v>
      </c>
      <c r="W23" s="791" t="str">
        <f>Juni!C29</f>
        <v>Skema 2</v>
      </c>
      <c r="X23" s="833">
        <f>Juni!E29</f>
        <v>0</v>
      </c>
      <c r="Y23" s="210" t="str">
        <f>Maaned!BW25</f>
        <v/>
      </c>
      <c r="Z23" s="801">
        <f>Maaned!CA25</f>
        <v>21</v>
      </c>
      <c r="AA23" s="790" t="str">
        <f>Maaned!CB25</f>
        <v>fr</v>
      </c>
      <c r="AB23" s="791" t="str">
        <f>Juli!C29</f>
        <v>Feriedag</v>
      </c>
      <c r="AC23" s="833" t="str">
        <f>Juli!E29</f>
        <v>Sommerferie</v>
      </c>
      <c r="AD23" s="802" t="str">
        <f>Maaned!CD25</f>
        <v/>
      </c>
    </row>
    <row r="24" spans="1:30" ht="23" customHeight="1">
      <c r="A24" s="801">
        <f>Maaned!AR26</f>
        <v>22</v>
      </c>
      <c r="B24" s="790" t="str">
        <f>Maaned!AS26</f>
        <v>on</v>
      </c>
      <c r="C24" s="791" t="str">
        <f>Februar!C30</f>
        <v>Skema 2</v>
      </c>
      <c r="D24" s="833">
        <f>Februar!E30</f>
        <v>0</v>
      </c>
      <c r="E24" s="210" t="str">
        <f>Maaned!AU26</f>
        <v/>
      </c>
      <c r="F24" s="801">
        <f>Maaned!AY26</f>
        <v>22</v>
      </c>
      <c r="G24" s="790" t="str">
        <f>Maaned!AZ26</f>
        <v>on</v>
      </c>
      <c r="H24" s="791" t="str">
        <f>Marts!C30</f>
        <v>Skema 2</v>
      </c>
      <c r="I24" s="833">
        <f>Marts!E30</f>
        <v>0</v>
      </c>
      <c r="J24" s="802" t="str">
        <f>Maaned!BB26</f>
        <v/>
      </c>
      <c r="K24" s="801">
        <f>Maaned!BF26</f>
        <v>22</v>
      </c>
      <c r="L24" s="790" t="str">
        <f>Maaned!BG26</f>
        <v>lø</v>
      </c>
      <c r="M24" s="791" t="str">
        <f>April!C30</f>
        <v>Weekend</v>
      </c>
      <c r="N24" s="833">
        <f>April!E30</f>
        <v>0</v>
      </c>
      <c r="O24" s="210" t="str">
        <f>Maaned!BI26</f>
        <v/>
      </c>
      <c r="P24" s="801">
        <f>Maaned!BM26</f>
        <v>22</v>
      </c>
      <c r="Q24" s="790" t="str">
        <f>Maaned!BN26</f>
        <v>ma</v>
      </c>
      <c r="R24" s="791" t="str">
        <f>Maj!C30</f>
        <v>Skema 2</v>
      </c>
      <c r="S24" s="833">
        <f>Maj!E30</f>
        <v>0</v>
      </c>
      <c r="T24" s="802">
        <f>Maaned!BP26</f>
        <v>21.142857142857142</v>
      </c>
      <c r="U24" s="801">
        <f>Maaned!BT26</f>
        <v>22</v>
      </c>
      <c r="V24" s="790" t="str">
        <f>Maaned!BU26</f>
        <v>to</v>
      </c>
      <c r="W24" s="791" t="str">
        <f>Juni!C30</f>
        <v>Skema 2</v>
      </c>
      <c r="X24" s="833">
        <f>Juni!E30</f>
        <v>0</v>
      </c>
      <c r="Y24" s="210" t="str">
        <f>Maaned!BW26</f>
        <v/>
      </c>
      <c r="Z24" s="801">
        <f>Maaned!CA26</f>
        <v>22</v>
      </c>
      <c r="AA24" s="790" t="str">
        <f>Maaned!CB26</f>
        <v>lø</v>
      </c>
      <c r="AB24" s="791" t="str">
        <f>Juli!C30</f>
        <v>Weekend</v>
      </c>
      <c r="AC24" s="833">
        <f>Juli!E30</f>
        <v>0</v>
      </c>
      <c r="AD24" s="802" t="str">
        <f>Maaned!CD26</f>
        <v/>
      </c>
    </row>
    <row r="25" spans="1:30" ht="23" customHeight="1">
      <c r="A25" s="801">
        <f>Maaned!AR27</f>
        <v>23</v>
      </c>
      <c r="B25" s="790" t="str">
        <f>Maaned!AS27</f>
        <v>to</v>
      </c>
      <c r="C25" s="791" t="str">
        <f>Februar!C31</f>
        <v>Fagdag</v>
      </c>
      <c r="D25" s="833" t="str">
        <f>Februar!E31</f>
        <v>Engelsk</v>
      </c>
      <c r="E25" s="210" t="str">
        <f>Maaned!AU27</f>
        <v/>
      </c>
      <c r="F25" s="801">
        <f>Maaned!AY27</f>
        <v>23</v>
      </c>
      <c r="G25" s="790" t="str">
        <f>Maaned!AZ27</f>
        <v>to</v>
      </c>
      <c r="H25" s="791" t="str">
        <f>Marts!C31</f>
        <v>Skema 2</v>
      </c>
      <c r="I25" s="833">
        <f>Marts!E31</f>
        <v>0</v>
      </c>
      <c r="J25" s="802" t="str">
        <f>Maaned!BB27</f>
        <v/>
      </c>
      <c r="K25" s="801">
        <f>Maaned!BF27</f>
        <v>23</v>
      </c>
      <c r="L25" s="790" t="str">
        <f>Maaned!BG27</f>
        <v>sø</v>
      </c>
      <c r="M25" s="791" t="str">
        <f>April!C31</f>
        <v>Weekend</v>
      </c>
      <c r="N25" s="833">
        <f>April!E31</f>
        <v>0</v>
      </c>
      <c r="O25" s="210" t="str">
        <f>Maaned!BI27</f>
        <v/>
      </c>
      <c r="P25" s="801">
        <f>Maaned!BM27</f>
        <v>23</v>
      </c>
      <c r="Q25" s="790" t="str">
        <f>Maaned!BN27</f>
        <v>ti</v>
      </c>
      <c r="R25" s="791" t="str">
        <f>Maj!C31</f>
        <v>Skema 2</v>
      </c>
      <c r="S25" s="833">
        <f>Maj!E31</f>
        <v>0</v>
      </c>
      <c r="T25" s="802" t="str">
        <f>Maaned!BP27</f>
        <v/>
      </c>
      <c r="U25" s="801">
        <f>Maaned!BT27</f>
        <v>23</v>
      </c>
      <c r="V25" s="790" t="str">
        <f>Maaned!BU27</f>
        <v>fr</v>
      </c>
      <c r="W25" s="791" t="str">
        <f>Juni!C31</f>
        <v>Emnedag</v>
      </c>
      <c r="X25" s="833" t="str">
        <f>Juni!E31</f>
        <v>Sidste skoledag</v>
      </c>
      <c r="Y25" s="210" t="str">
        <f>Maaned!BW27</f>
        <v/>
      </c>
      <c r="Z25" s="801">
        <f>Maaned!CA27</f>
        <v>23</v>
      </c>
      <c r="AA25" s="790" t="str">
        <f>Maaned!CB27</f>
        <v>sø</v>
      </c>
      <c r="AB25" s="791" t="str">
        <f>Juli!C31</f>
        <v>Weekend</v>
      </c>
      <c r="AC25" s="833">
        <f>Juli!E31</f>
        <v>0</v>
      </c>
      <c r="AD25" s="802" t="str">
        <f>Maaned!CD27</f>
        <v/>
      </c>
    </row>
    <row r="26" spans="1:30" ht="23" customHeight="1">
      <c r="A26" s="801">
        <f>Maaned!AR28</f>
        <v>24</v>
      </c>
      <c r="B26" s="790" t="str">
        <f>Maaned!AS28</f>
        <v>fr</v>
      </c>
      <c r="C26" s="791" t="str">
        <f>Februar!C32</f>
        <v>Skema 2</v>
      </c>
      <c r="D26" s="833">
        <f>Februar!E32</f>
        <v>0</v>
      </c>
      <c r="E26" s="210" t="str">
        <f>Maaned!AU28</f>
        <v/>
      </c>
      <c r="F26" s="801">
        <f>Maaned!AY28</f>
        <v>24</v>
      </c>
      <c r="G26" s="790" t="str">
        <f>Maaned!AZ28</f>
        <v>fr</v>
      </c>
      <c r="H26" s="791" t="str">
        <f>Marts!C32</f>
        <v>Skema 2</v>
      </c>
      <c r="I26" s="833">
        <f>Marts!E32</f>
        <v>0</v>
      </c>
      <c r="J26" s="802" t="str">
        <f>Maaned!BB28</f>
        <v/>
      </c>
      <c r="K26" s="801">
        <f>Maaned!BF28</f>
        <v>24</v>
      </c>
      <c r="L26" s="790" t="str">
        <f>Maaned!BG28</f>
        <v>ma</v>
      </c>
      <c r="M26" s="791" t="str">
        <f>April!C32</f>
        <v>Skema 2</v>
      </c>
      <c r="N26" s="833">
        <f>April!E32</f>
        <v>0</v>
      </c>
      <c r="O26" s="210">
        <f>Maaned!BI28</f>
        <v>17.142857142857142</v>
      </c>
      <c r="P26" s="801">
        <f>Maaned!BM28</f>
        <v>24</v>
      </c>
      <c r="Q26" s="790" t="str">
        <f>Maaned!BN28</f>
        <v>on</v>
      </c>
      <c r="R26" s="791" t="str">
        <f>Maj!C32</f>
        <v>Skema 2</v>
      </c>
      <c r="S26" s="833">
        <f>Maj!E32</f>
        <v>0</v>
      </c>
      <c r="T26" s="802" t="str">
        <f>Maaned!BP28</f>
        <v/>
      </c>
      <c r="U26" s="801">
        <f>Maaned!BT28</f>
        <v>24</v>
      </c>
      <c r="V26" s="790" t="str">
        <f>Maaned!BU28</f>
        <v>lø</v>
      </c>
      <c r="W26" s="791" t="str">
        <f>Juni!C32</f>
        <v>Weekend</v>
      </c>
      <c r="X26" s="833">
        <f>Juni!E32</f>
        <v>0</v>
      </c>
      <c r="Y26" s="210" t="str">
        <f>Maaned!BW28</f>
        <v/>
      </c>
      <c r="Z26" s="801">
        <f>Maaned!CA28</f>
        <v>24</v>
      </c>
      <c r="AA26" s="790" t="str">
        <f>Maaned!CB28</f>
        <v>ma</v>
      </c>
      <c r="AB26" s="791" t="str">
        <f>Juli!C32</f>
        <v>Feriedag</v>
      </c>
      <c r="AC26" s="833" t="str">
        <f>Juli!E32</f>
        <v>Sommerferie</v>
      </c>
      <c r="AD26" s="802">
        <f>Maaned!CD28</f>
        <v>30.142857142857142</v>
      </c>
    </row>
    <row r="27" spans="1:30" ht="23" customHeight="1">
      <c r="A27" s="801">
        <f>Maaned!AR29</f>
        <v>25</v>
      </c>
      <c r="B27" s="790" t="str">
        <f>Maaned!AS29</f>
        <v>lø</v>
      </c>
      <c r="C27" s="791" t="str">
        <f>Februar!C33</f>
        <v>Weekend</v>
      </c>
      <c r="D27" s="833">
        <f>Februar!E33</f>
        <v>0</v>
      </c>
      <c r="E27" s="210" t="str">
        <f>Maaned!AU29</f>
        <v/>
      </c>
      <c r="F27" s="801">
        <f>Maaned!AY29</f>
        <v>25</v>
      </c>
      <c r="G27" s="790" t="str">
        <f>Maaned!AZ29</f>
        <v>lø</v>
      </c>
      <c r="H27" s="791" t="str">
        <f>Marts!C33</f>
        <v>Weekend</v>
      </c>
      <c r="I27" s="833">
        <f>Marts!E33</f>
        <v>0</v>
      </c>
      <c r="J27" s="802" t="str">
        <f>Maaned!BB29</f>
        <v/>
      </c>
      <c r="K27" s="801">
        <f>Maaned!BF29</f>
        <v>25</v>
      </c>
      <c r="L27" s="790" t="str">
        <f>Maaned!BG29</f>
        <v>ti</v>
      </c>
      <c r="M27" s="791" t="str">
        <f>April!C33</f>
        <v>Skema 2</v>
      </c>
      <c r="N27" s="833">
        <f>April!E33</f>
        <v>0</v>
      </c>
      <c r="O27" s="210" t="str">
        <f>Maaned!BI29</f>
        <v/>
      </c>
      <c r="P27" s="801">
        <f>Maaned!BM29</f>
        <v>25</v>
      </c>
      <c r="Q27" s="790" t="str">
        <f>Maaned!BN29</f>
        <v>to</v>
      </c>
      <c r="R27" s="791" t="str">
        <f>Maj!C33</f>
        <v>Skema 2</v>
      </c>
      <c r="S27" s="833">
        <f>Maj!E33</f>
        <v>0</v>
      </c>
      <c r="T27" s="802" t="str">
        <f>Maaned!BP29</f>
        <v/>
      </c>
      <c r="U27" s="801">
        <f>Maaned!BT29</f>
        <v>25</v>
      </c>
      <c r="V27" s="790" t="str">
        <f>Maaned!BU29</f>
        <v>sø</v>
      </c>
      <c r="W27" s="791" t="str">
        <f>Juni!C33</f>
        <v>Weekend</v>
      </c>
      <c r="X27" s="833">
        <f>Juni!E33</f>
        <v>0</v>
      </c>
      <c r="Y27" s="210" t="str">
        <f>Maaned!BW29</f>
        <v/>
      </c>
      <c r="Z27" s="801">
        <f>Maaned!CA29</f>
        <v>25</v>
      </c>
      <c r="AA27" s="790" t="str">
        <f>Maaned!CB29</f>
        <v>ti</v>
      </c>
      <c r="AB27" s="791" t="str">
        <f>Juli!C33</f>
        <v>Feriedag</v>
      </c>
      <c r="AC27" s="833" t="str">
        <f>Juli!E33</f>
        <v>Sommerferie</v>
      </c>
      <c r="AD27" s="802" t="str">
        <f>Maaned!CD29</f>
        <v/>
      </c>
    </row>
    <row r="28" spans="1:30" ht="23" customHeight="1">
      <c r="A28" s="801">
        <f>Maaned!AR30</f>
        <v>26</v>
      </c>
      <c r="B28" s="790" t="str">
        <f>Maaned!AS30</f>
        <v>sø</v>
      </c>
      <c r="C28" s="791" t="str">
        <f>Februar!C34</f>
        <v>Weekend</v>
      </c>
      <c r="D28" s="833">
        <f>Februar!E34</f>
        <v>0</v>
      </c>
      <c r="E28" s="210" t="str">
        <f>Maaned!AU30</f>
        <v/>
      </c>
      <c r="F28" s="801">
        <f>Maaned!AY30</f>
        <v>26</v>
      </c>
      <c r="G28" s="790" t="str">
        <f>Maaned!AZ30</f>
        <v>sø</v>
      </c>
      <c r="H28" s="791" t="str">
        <f>Marts!C34</f>
        <v>Weekend</v>
      </c>
      <c r="I28" s="833">
        <f>Marts!E34</f>
        <v>0</v>
      </c>
      <c r="J28" s="802" t="str">
        <f>Maaned!BB30</f>
        <v/>
      </c>
      <c r="K28" s="801">
        <f>Maaned!BF30</f>
        <v>26</v>
      </c>
      <c r="L28" s="790" t="str">
        <f>Maaned!BG30</f>
        <v>on</v>
      </c>
      <c r="M28" s="791" t="str">
        <f>April!C34</f>
        <v>Skema 2</v>
      </c>
      <c r="N28" s="833">
        <f>April!E34</f>
        <v>0</v>
      </c>
      <c r="O28" s="210" t="str">
        <f>Maaned!BI30</f>
        <v/>
      </c>
      <c r="P28" s="801">
        <f>Maaned!BM30</f>
        <v>26</v>
      </c>
      <c r="Q28" s="790" t="str">
        <f>Maaned!BN30</f>
        <v>fr</v>
      </c>
      <c r="R28" s="791" t="str">
        <f>Maj!C34</f>
        <v>Skema 2</v>
      </c>
      <c r="S28" s="833">
        <f>Maj!E34</f>
        <v>0</v>
      </c>
      <c r="T28" s="802" t="str">
        <f>Maaned!BP30</f>
        <v/>
      </c>
      <c r="U28" s="801">
        <f>Maaned!BT30</f>
        <v>26</v>
      </c>
      <c r="V28" s="790" t="str">
        <f>Maaned!BU30</f>
        <v>ma</v>
      </c>
      <c r="W28" s="791" t="str">
        <f>Juni!C34</f>
        <v>Pæd.dag</v>
      </c>
      <c r="X28" s="833">
        <f>Juni!E34</f>
        <v>0</v>
      </c>
      <c r="Y28" s="210">
        <f>Maaned!BW30</f>
        <v>26.142857142857142</v>
      </c>
      <c r="Z28" s="801">
        <f>Maaned!CA30</f>
        <v>26</v>
      </c>
      <c r="AA28" s="790" t="str">
        <f>Maaned!CB30</f>
        <v>on</v>
      </c>
      <c r="AB28" s="791" t="str">
        <f>Juli!C34</f>
        <v>Feriedag</v>
      </c>
      <c r="AC28" s="833" t="str">
        <f>Juli!E34</f>
        <v>Sommerferie</v>
      </c>
      <c r="AD28" s="802" t="str">
        <f>Maaned!CD30</f>
        <v/>
      </c>
    </row>
    <row r="29" spans="1:30" ht="23" customHeight="1">
      <c r="A29" s="801">
        <f>Maaned!AR31</f>
        <v>27</v>
      </c>
      <c r="B29" s="790" t="str">
        <f>Maaned!AS31</f>
        <v>ma</v>
      </c>
      <c r="C29" s="791" t="str">
        <f>Februar!C35</f>
        <v>Skema 2</v>
      </c>
      <c r="D29" s="833">
        <f>Februar!E35</f>
        <v>0</v>
      </c>
      <c r="E29" s="210">
        <f>Maaned!AU31</f>
        <v>9.1428571428571423</v>
      </c>
      <c r="F29" s="801">
        <f>Maaned!AY31</f>
        <v>27</v>
      </c>
      <c r="G29" s="790" t="str">
        <f>Maaned!AZ31</f>
        <v>ma</v>
      </c>
      <c r="H29" s="791" t="str">
        <f>Marts!C35</f>
        <v>Skema 2</v>
      </c>
      <c r="I29" s="833">
        <f>Marts!E35</f>
        <v>0</v>
      </c>
      <c r="J29" s="802">
        <f>Maaned!BB31</f>
        <v>13.142857142857142</v>
      </c>
      <c r="K29" s="801">
        <f>Maaned!BF31</f>
        <v>27</v>
      </c>
      <c r="L29" s="790" t="str">
        <f>Maaned!BG31</f>
        <v>to</v>
      </c>
      <c r="M29" s="791" t="str">
        <f>April!C35</f>
        <v>Skema 2</v>
      </c>
      <c r="N29" s="833">
        <f>April!E35</f>
        <v>0</v>
      </c>
      <c r="O29" s="210" t="str">
        <f>Maaned!BI31</f>
        <v/>
      </c>
      <c r="P29" s="801">
        <f>Maaned!BM31</f>
        <v>27</v>
      </c>
      <c r="Q29" s="790" t="str">
        <f>Maaned!BN31</f>
        <v>lø</v>
      </c>
      <c r="R29" s="791" t="str">
        <f>Maj!C35</f>
        <v>Weekend</v>
      </c>
      <c r="S29" s="833">
        <f>Maj!E35</f>
        <v>0</v>
      </c>
      <c r="T29" s="802" t="str">
        <f>Maaned!BP31</f>
        <v/>
      </c>
      <c r="U29" s="801">
        <f>Maaned!BT31</f>
        <v>27</v>
      </c>
      <c r="V29" s="790" t="str">
        <f>Maaned!BU31</f>
        <v>ti</v>
      </c>
      <c r="W29" s="791" t="str">
        <f>Juni!C35</f>
        <v>Pæd.dag</v>
      </c>
      <c r="X29" s="833">
        <f>Juni!E35</f>
        <v>0</v>
      </c>
      <c r="Y29" s="210" t="str">
        <f>Maaned!BW31</f>
        <v/>
      </c>
      <c r="Z29" s="801">
        <f>Maaned!CA31</f>
        <v>27</v>
      </c>
      <c r="AA29" s="790" t="str">
        <f>Maaned!CB31</f>
        <v>to</v>
      </c>
      <c r="AB29" s="791" t="str">
        <f>Juli!C35</f>
        <v>Feriedag</v>
      </c>
      <c r="AC29" s="833" t="str">
        <f>Juli!E35</f>
        <v>Sommerferie</v>
      </c>
      <c r="AD29" s="802" t="str">
        <f>Maaned!CD31</f>
        <v/>
      </c>
    </row>
    <row r="30" spans="1:30" ht="23" customHeight="1" thickBot="1">
      <c r="A30" s="803">
        <f>Maaned!AR32</f>
        <v>28</v>
      </c>
      <c r="B30" s="804" t="str">
        <f>Maaned!AS32</f>
        <v>ti</v>
      </c>
      <c r="C30" s="805" t="str">
        <f>Februar!C36</f>
        <v>Skema 2</v>
      </c>
      <c r="D30" s="831">
        <f>Februar!E36</f>
        <v>0</v>
      </c>
      <c r="E30" s="813" t="str">
        <f>Maaned!AU32</f>
        <v/>
      </c>
      <c r="F30" s="801">
        <f>Maaned!AY32</f>
        <v>28</v>
      </c>
      <c r="G30" s="790" t="str">
        <f>Maaned!AZ32</f>
        <v>ti</v>
      </c>
      <c r="H30" s="791" t="str">
        <f>Marts!C36</f>
        <v>Fagdag</v>
      </c>
      <c r="I30" s="833" t="str">
        <f>Marts!E36</f>
        <v>Idræt</v>
      </c>
      <c r="J30" s="802" t="str">
        <f>Maaned!BB32</f>
        <v/>
      </c>
      <c r="K30" s="801">
        <f>Maaned!BF32</f>
        <v>28</v>
      </c>
      <c r="L30" s="790" t="str">
        <f>Maaned!BG32</f>
        <v>fr</v>
      </c>
      <c r="M30" s="791" t="str">
        <f>April!C36</f>
        <v>Skema 2</v>
      </c>
      <c r="N30" s="833">
        <f>April!E36</f>
        <v>0</v>
      </c>
      <c r="O30" s="210" t="str">
        <f>Maaned!BI32</f>
        <v/>
      </c>
      <c r="P30" s="801">
        <f>Maaned!BM32</f>
        <v>28</v>
      </c>
      <c r="Q30" s="790" t="str">
        <f>Maaned!BN32</f>
        <v>sø</v>
      </c>
      <c r="R30" s="791" t="str">
        <f>Maj!C36</f>
        <v>Weekend</v>
      </c>
      <c r="S30" s="833" t="str">
        <f>Maj!E36</f>
        <v>Pinsedag</v>
      </c>
      <c r="T30" s="802" t="str">
        <f>Maaned!BP32</f>
        <v/>
      </c>
      <c r="U30" s="801">
        <f>Maaned!BT32</f>
        <v>28</v>
      </c>
      <c r="V30" s="790" t="str">
        <f>Maaned!BU32</f>
        <v>on</v>
      </c>
      <c r="W30" s="791" t="str">
        <f>Juni!C36</f>
        <v>Pæd.dag</v>
      </c>
      <c r="X30" s="833">
        <f>Juni!E36</f>
        <v>0</v>
      </c>
      <c r="Y30" s="210" t="str">
        <f>Maaned!BW32</f>
        <v/>
      </c>
      <c r="Z30" s="801">
        <f>Maaned!CA32</f>
        <v>28</v>
      </c>
      <c r="AA30" s="790" t="str">
        <f>Maaned!CB32</f>
        <v>fr</v>
      </c>
      <c r="AB30" s="791" t="str">
        <f>Juli!C36</f>
        <v>Feriedag</v>
      </c>
      <c r="AC30" s="833" t="str">
        <f>Juli!E36</f>
        <v>Sommerferie</v>
      </c>
      <c r="AD30" s="802" t="str">
        <f>Maaned!CD32</f>
        <v/>
      </c>
    </row>
    <row r="31" spans="1:30" ht="23" customHeight="1">
      <c r="A31" s="828"/>
      <c r="B31" s="828"/>
      <c r="C31" s="829"/>
      <c r="D31" s="830"/>
      <c r="E31" s="834"/>
      <c r="F31" s="801">
        <f>Maaned!AY33</f>
        <v>29</v>
      </c>
      <c r="G31" s="790" t="str">
        <f>Maaned!AZ33</f>
        <v>on</v>
      </c>
      <c r="H31" s="791" t="str">
        <f>Marts!C37</f>
        <v>Skema 2</v>
      </c>
      <c r="I31" s="833">
        <f>Marts!E37</f>
        <v>0</v>
      </c>
      <c r="J31" s="802" t="str">
        <f>Maaned!BB33</f>
        <v/>
      </c>
      <c r="K31" s="801">
        <f>Maaned!BF33</f>
        <v>29</v>
      </c>
      <c r="L31" s="790" t="str">
        <f>Maaned!BG33</f>
        <v>lø</v>
      </c>
      <c r="M31" s="791" t="str">
        <f>April!C37</f>
        <v>Weekend</v>
      </c>
      <c r="N31" s="833">
        <f>April!E37</f>
        <v>0</v>
      </c>
      <c r="O31" s="210" t="str">
        <f>Maaned!BI33</f>
        <v/>
      </c>
      <c r="P31" s="801">
        <f>Maaned!BM33</f>
        <v>29</v>
      </c>
      <c r="Q31" s="790" t="str">
        <f>Maaned!BN33</f>
        <v>ma</v>
      </c>
      <c r="R31" s="791" t="str">
        <f>Maj!C37</f>
        <v>SH-dag</v>
      </c>
      <c r="S31" s="833" t="str">
        <f>Maj!E37</f>
        <v>2. pinsedag</v>
      </c>
      <c r="T31" s="802">
        <f>Maaned!BP33</f>
        <v>22.142857142857142</v>
      </c>
      <c r="U31" s="801">
        <f>Maaned!BT33</f>
        <v>29</v>
      </c>
      <c r="V31" s="790" t="str">
        <f>Maaned!BU33</f>
        <v>to</v>
      </c>
      <c r="W31" s="791" t="str">
        <f>Juni!C37</f>
        <v>Nul-dag</v>
      </c>
      <c r="X31" s="833">
        <f>Juni!E37</f>
        <v>0</v>
      </c>
      <c r="Y31" s="210" t="str">
        <f>Maaned!BW33</f>
        <v/>
      </c>
      <c r="Z31" s="801">
        <f>Maaned!CA33</f>
        <v>29</v>
      </c>
      <c r="AA31" s="790" t="str">
        <f>Maaned!CB33</f>
        <v>lø</v>
      </c>
      <c r="AB31" s="791" t="str">
        <f>Juli!C37</f>
        <v>Weekend</v>
      </c>
      <c r="AC31" s="833">
        <f>Juli!E37</f>
        <v>0</v>
      </c>
      <c r="AD31" s="802" t="str">
        <f>Maaned!CD33</f>
        <v/>
      </c>
    </row>
    <row r="32" spans="1:30" ht="23" customHeight="1" thickBot="1">
      <c r="A32" s="92"/>
      <c r="B32" s="92"/>
      <c r="C32" s="93"/>
      <c r="D32" s="93"/>
      <c r="E32" s="816"/>
      <c r="F32" s="801">
        <f>Maaned!AY34</f>
        <v>30</v>
      </c>
      <c r="G32" s="790" t="str">
        <f>Maaned!AZ34</f>
        <v>to</v>
      </c>
      <c r="H32" s="791" t="str">
        <f>Marts!C38</f>
        <v>Skema 2</v>
      </c>
      <c r="I32" s="833">
        <f>Marts!E38</f>
        <v>0</v>
      </c>
      <c r="J32" s="802" t="str">
        <f>Maaned!BB34</f>
        <v/>
      </c>
      <c r="K32" s="803">
        <f>Maaned!BF34</f>
        <v>30</v>
      </c>
      <c r="L32" s="804" t="str">
        <f>Maaned!BG34</f>
        <v>sø</v>
      </c>
      <c r="M32" s="805" t="str">
        <f>April!C38</f>
        <v>Weekend</v>
      </c>
      <c r="N32" s="831">
        <f>April!E38</f>
        <v>0</v>
      </c>
      <c r="O32" s="813" t="str">
        <f>Maaned!BI34</f>
        <v/>
      </c>
      <c r="P32" s="801">
        <f>Maaned!BM34</f>
        <v>30</v>
      </c>
      <c r="Q32" s="790" t="str">
        <f>Maaned!BN34</f>
        <v>ti</v>
      </c>
      <c r="R32" s="791" t="str">
        <f>Maj!C38</f>
        <v>Skema 2</v>
      </c>
      <c r="S32" s="833">
        <f>Maj!E38</f>
        <v>0</v>
      </c>
      <c r="T32" s="802" t="str">
        <f>Maaned!BP34</f>
        <v/>
      </c>
      <c r="U32" s="803">
        <f>Maaned!BT34</f>
        <v>30</v>
      </c>
      <c r="V32" s="804" t="str">
        <f>Maaned!BU34</f>
        <v>fr</v>
      </c>
      <c r="W32" s="805" t="str">
        <f>Juni!C38</f>
        <v>Nul-dag</v>
      </c>
      <c r="X32" s="831">
        <f>Juni!E38</f>
        <v>0</v>
      </c>
      <c r="Y32" s="813" t="str">
        <f>Maaned!BW34</f>
        <v/>
      </c>
      <c r="Z32" s="801">
        <f>Maaned!CA34</f>
        <v>30</v>
      </c>
      <c r="AA32" s="790" t="str">
        <f>Maaned!CB34</f>
        <v>sø</v>
      </c>
      <c r="AB32" s="791" t="str">
        <f>Juli!C38</f>
        <v>Weekend</v>
      </c>
      <c r="AC32" s="833">
        <f>Juli!E38</f>
        <v>0</v>
      </c>
      <c r="AD32" s="802" t="str">
        <f>Maaned!CD34</f>
        <v/>
      </c>
    </row>
    <row r="33" spans="1:30" ht="23" customHeight="1" thickBot="1">
      <c r="A33" s="92"/>
      <c r="B33" s="92"/>
      <c r="C33" s="93"/>
      <c r="D33" s="93"/>
      <c r="E33" s="816"/>
      <c r="F33" s="803">
        <f>Maaned!AY35</f>
        <v>31</v>
      </c>
      <c r="G33" s="804" t="str">
        <f>Maaned!AZ35</f>
        <v>fr</v>
      </c>
      <c r="H33" s="805" t="str">
        <f>Marts!C39</f>
        <v>Skema 2</v>
      </c>
      <c r="I33" s="831">
        <f>Marts!E39</f>
        <v>0</v>
      </c>
      <c r="J33" s="807" t="str">
        <f>Maaned!BB35</f>
        <v/>
      </c>
      <c r="K33" s="92"/>
      <c r="L33" s="92"/>
      <c r="M33" s="93"/>
      <c r="N33" s="93"/>
      <c r="O33" s="816"/>
      <c r="P33" s="803">
        <f>Maaned!BM35</f>
        <v>31</v>
      </c>
      <c r="Q33" s="804" t="str">
        <f>Maaned!BN35</f>
        <v>on</v>
      </c>
      <c r="R33" s="805" t="str">
        <f>Maj!C39</f>
        <v>Skema 2</v>
      </c>
      <c r="S33" s="831">
        <f>Maj!E39</f>
        <v>0</v>
      </c>
      <c r="T33" s="807" t="str">
        <f>Maaned!BP35</f>
        <v/>
      </c>
      <c r="U33" s="92"/>
      <c r="V33" s="92"/>
      <c r="W33" s="93"/>
      <c r="X33" s="93"/>
      <c r="Y33" s="816"/>
      <c r="Z33" s="803">
        <f>Maaned!CA35</f>
        <v>31</v>
      </c>
      <c r="AA33" s="804" t="str">
        <f>Maaned!CB35</f>
        <v>ma</v>
      </c>
      <c r="AB33" s="805" t="str">
        <f>Juli!C39</f>
        <v>Feriedag</v>
      </c>
      <c r="AC33" s="831" t="str">
        <f>Juli!E39</f>
        <v>Sommerferie</v>
      </c>
      <c r="AD33" s="807">
        <f>Maaned!CD35</f>
        <v>31.142857142857142</v>
      </c>
    </row>
    <row r="34" spans="1:30" ht="23" customHeight="1">
      <c r="A34" s="84"/>
      <c r="B34" s="84"/>
      <c r="C34" s="84"/>
      <c r="D34" s="84"/>
      <c r="E34" s="84"/>
      <c r="F34" s="177"/>
      <c r="G34" s="177"/>
      <c r="H34" s="177"/>
      <c r="I34" s="177"/>
      <c r="J34" s="177"/>
      <c r="K34" s="84"/>
      <c r="L34" s="84"/>
      <c r="M34" s="84"/>
      <c r="N34" s="84"/>
      <c r="O34" s="84"/>
      <c r="P34" s="177"/>
      <c r="Q34" s="177"/>
      <c r="R34" s="177"/>
      <c r="S34" s="177"/>
      <c r="T34" s="177"/>
      <c r="U34" s="84"/>
      <c r="V34" s="84"/>
      <c r="W34" s="84"/>
      <c r="X34" s="84"/>
      <c r="Y34" s="84"/>
      <c r="Z34" s="177"/>
      <c r="AA34" s="177"/>
      <c r="AB34" s="177"/>
      <c r="AC34" s="177"/>
      <c r="AD34" s="177"/>
    </row>
    <row r="35" spans="1:30" ht="23" customHeight="1" thickBot="1">
      <c r="A35" s="84"/>
      <c r="B35" s="84"/>
      <c r="C35" s="84"/>
      <c r="D35" s="84"/>
      <c r="E35" s="84"/>
      <c r="F35" s="177"/>
      <c r="G35" s="177"/>
      <c r="H35" s="177"/>
      <c r="I35" s="177"/>
      <c r="J35" s="177"/>
      <c r="K35" s="84"/>
      <c r="L35" s="84"/>
      <c r="M35" s="84"/>
      <c r="N35" s="84"/>
      <c r="O35" s="84"/>
      <c r="P35" s="177"/>
      <c r="Q35" s="177"/>
      <c r="R35" s="177"/>
      <c r="S35" s="177"/>
      <c r="T35" s="177"/>
      <c r="U35" s="84"/>
      <c r="V35" s="84"/>
      <c r="W35" s="84"/>
      <c r="X35" s="84"/>
      <c r="Y35" s="84"/>
      <c r="Z35" s="177"/>
      <c r="AA35" s="177"/>
      <c r="AB35" s="177"/>
      <c r="AC35" s="177"/>
      <c r="AD35" s="177"/>
    </row>
    <row r="36" spans="1:30" ht="29" customHeight="1" thickBot="1">
      <c r="A36" s="1405" t="str">
        <f>"I alt for hele skoleåret "&amp;Vejledning!B3&amp;""</f>
        <v>I alt for hele skoleåret Vejledning til planlægningsværtøj vedr.</v>
      </c>
      <c r="B36" s="1406"/>
      <c r="C36" s="1406"/>
      <c r="D36" s="1406"/>
      <c r="E36" s="1406"/>
      <c r="F36" s="1406"/>
      <c r="G36" s="1406"/>
      <c r="H36" s="1406"/>
      <c r="I36" s="1406"/>
      <c r="J36" s="1406"/>
      <c r="K36" s="1406"/>
      <c r="L36" s="1406"/>
      <c r="M36" s="1406"/>
      <c r="N36" s="1406"/>
      <c r="O36" s="1406"/>
      <c r="P36" s="1406"/>
      <c r="Q36" s="1406"/>
      <c r="R36" s="1406"/>
      <c r="S36" s="1406"/>
      <c r="T36" s="1406"/>
      <c r="U36" s="1407"/>
      <c r="V36" s="186"/>
      <c r="W36" s="187"/>
      <c r="X36" s="183"/>
      <c r="Y36" s="84"/>
      <c r="Z36" s="177"/>
      <c r="AA36" s="177"/>
      <c r="AB36" s="177"/>
      <c r="AC36" s="177"/>
      <c r="AD36" s="177"/>
    </row>
    <row r="37" spans="1:30" ht="23" customHeight="1">
      <c r="A37" s="1408" t="s">
        <v>135</v>
      </c>
      <c r="B37" s="1409"/>
      <c r="C37" s="1409"/>
      <c r="D37" s="1409"/>
      <c r="E37" s="1409"/>
      <c r="F37" s="1409"/>
      <c r="G37" s="1409"/>
      <c r="H37" s="248">
        <f>Aar!G37</f>
        <v>170</v>
      </c>
      <c r="I37" s="289"/>
      <c r="J37" s="289"/>
      <c r="K37" s="289"/>
      <c r="L37" s="289"/>
      <c r="M37" s="289"/>
      <c r="N37" s="1410" t="s">
        <v>134</v>
      </c>
      <c r="O37" s="1411"/>
      <c r="P37" s="1411"/>
      <c r="Q37" s="1411"/>
      <c r="R37" s="1411"/>
      <c r="S37" s="1411"/>
      <c r="T37" s="1411"/>
      <c r="U37" s="288">
        <f>Aar!AE37</f>
        <v>7</v>
      </c>
      <c r="V37" s="184"/>
      <c r="W37" s="177"/>
      <c r="X37" s="178"/>
      <c r="Y37" s="178"/>
      <c r="Z37" s="177"/>
      <c r="AA37" s="177"/>
      <c r="AB37" s="176"/>
      <c r="AC37" s="75"/>
      <c r="AD37" s="75"/>
    </row>
    <row r="38" spans="1:30" ht="23" customHeight="1">
      <c r="A38" s="1412" t="s">
        <v>133</v>
      </c>
      <c r="B38" s="1413"/>
      <c r="C38" s="1413"/>
      <c r="D38" s="1413"/>
      <c r="E38" s="1413"/>
      <c r="F38" s="1413"/>
      <c r="G38" s="1413"/>
      <c r="H38" s="285">
        <f>Aar!O37</f>
        <v>22</v>
      </c>
      <c r="I38" s="290"/>
      <c r="J38" s="290"/>
      <c r="K38" s="290"/>
      <c r="L38" s="290"/>
      <c r="M38" s="290"/>
      <c r="N38" s="292" t="s">
        <v>166</v>
      </c>
      <c r="O38" s="1420">
        <f>Aar!O35</f>
        <v>104</v>
      </c>
      <c r="P38" s="1420"/>
      <c r="Q38" s="1420"/>
      <c r="R38" s="284" t="s">
        <v>167</v>
      </c>
      <c r="S38" s="284"/>
      <c r="T38" s="1416">
        <f>Aar!W35</f>
        <v>7</v>
      </c>
      <c r="U38" s="1417"/>
      <c r="V38" s="184"/>
      <c r="W38" s="177"/>
      <c r="X38" s="178"/>
      <c r="Y38" s="178"/>
      <c r="Z38" s="177"/>
      <c r="AA38" s="177"/>
      <c r="AB38" s="176"/>
      <c r="AC38" s="75"/>
      <c r="AD38" s="75"/>
    </row>
    <row r="39" spans="1:30" ht="23" customHeight="1">
      <c r="A39" s="1414" t="s">
        <v>139</v>
      </c>
      <c r="B39" s="1415"/>
      <c r="C39" s="1415"/>
      <c r="D39" s="1415"/>
      <c r="E39" s="1415"/>
      <c r="F39" s="1415"/>
      <c r="G39" s="1415"/>
      <c r="H39" s="286">
        <f>Aar!W37</f>
        <v>8</v>
      </c>
      <c r="I39" s="290"/>
      <c r="J39" s="290"/>
      <c r="K39" s="290"/>
      <c r="L39" s="290"/>
      <c r="M39" s="290"/>
      <c r="N39" s="307" t="s">
        <v>188</v>
      </c>
      <c r="O39" s="1418">
        <f>Aar!AE35</f>
        <v>25</v>
      </c>
      <c r="P39" s="1418"/>
      <c r="Q39" s="1419"/>
      <c r="R39" s="305" t="s">
        <v>189</v>
      </c>
      <c r="S39" s="305"/>
      <c r="T39" s="305"/>
      <c r="U39" s="818">
        <f>Aar!AV35</f>
        <v>0</v>
      </c>
      <c r="V39" s="185"/>
      <c r="W39" s="177"/>
      <c r="X39" s="178"/>
      <c r="Y39" s="178"/>
      <c r="Z39" s="177"/>
      <c r="AA39" s="177"/>
      <c r="AB39" s="176"/>
      <c r="AC39" s="75"/>
      <c r="AD39" s="75"/>
    </row>
    <row r="40" spans="1:30" ht="23" customHeight="1" thickBot="1">
      <c r="A40" s="282" t="s">
        <v>174</v>
      </c>
      <c r="B40" s="283"/>
      <c r="C40" s="283"/>
      <c r="D40" s="283"/>
      <c r="E40" s="283"/>
      <c r="F40" s="283"/>
      <c r="G40" s="283"/>
      <c r="H40" s="287">
        <f>SUM(H37:H39)</f>
        <v>200</v>
      </c>
      <c r="I40" s="291"/>
      <c r="J40" s="291"/>
      <c r="K40" s="291"/>
      <c r="L40" s="291"/>
      <c r="M40" s="291"/>
      <c r="N40" s="822" t="s">
        <v>194</v>
      </c>
      <c r="O40" s="823"/>
      <c r="P40" s="823"/>
      <c r="Q40" s="823">
        <f>Aar!AM35</f>
        <v>23</v>
      </c>
      <c r="R40" s="820" t="s">
        <v>510</v>
      </c>
      <c r="S40" s="820"/>
      <c r="T40" s="820"/>
      <c r="U40" s="821">
        <f>Aar!AV37</f>
        <v>0</v>
      </c>
      <c r="V40" s="184"/>
      <c r="W40" s="177"/>
      <c r="X40" s="178"/>
      <c r="Y40" s="178"/>
      <c r="Z40" s="177"/>
      <c r="AA40" s="177"/>
      <c r="AB40" s="176"/>
      <c r="AC40" s="75"/>
      <c r="AD40" s="75"/>
    </row>
  </sheetData>
  <sheetProtection sheet="1" objects="1" scenarios="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dataValidations count="1">
    <dataValidation type="list" allowBlank="1" showInputMessage="1" sqref="C31" xr:uid="{00000000-0002-0000-0400-000000000000}">
      <formula1>$A$31:$A$42</formula1>
    </dataValidation>
  </dataValidations>
  <printOptions horizontalCentered="1" verticalCentered="1"/>
  <pageMargins left="0.35433070866141736" right="0.35433070866141736" top="0.39370078740157483" bottom="0.39370078740157483" header="0.19685039370078741" footer="0.11811023622047245"/>
  <pageSetup paperSize="9" scale="37" orientation="portrait" horizontalDpi="4294967292" verticalDpi="4294967292"/>
  <ignoredErrors>
    <ignoredError sqref="F7:G7 F10:G10 F14:G14 F16:G16 F21:G21 F23:G23 F28:G28 F30:G30 K6:L6 K13:L13 K7:L7 K14:L14 K20:L20 K21:L21 K27:L27 K28:L28 C33:G33 K33:Q33 P4:Q4 F11:G11 P11:Q11 P18:Q18 P25:Q25 C32:G32 P32:Q32 F8:G8 U8:V8 F9:G9 U9:V9 U15:V15 U16:V16 U22:V22 U23:V23 U29:V29 U30:V30 Z6:AA6 U33:AA33 Z13:AA13 Z20:AA20 Z27:AA27 F6:G6 F15:G15 F12:G12 F17:G17 F22:G22 F24:G24 F29:G29 F13:G13 F20:G20 F27:G27 F19:G19 F18:G18 F26:G26 F25:G25 K5:L5 K3:L3 K10:L10 K16:L16 K23:L23 K31:L31 K30:L30 K4:L4 K11:L11 K32:L32 K8:L8 K9:L9 K15:L15 K12:L12 K17:L17 K22:L22 K24:L24 K29:L29 K19:L19 K18:L18 K26:L26 K25:L25 P3:Q3 P6:Q6 P13:Q13 P7:Q7 P14:Q14 P20:Q20 P21:Q21 P27:Q27 P28:Q28 P5:Q5 P10:Q10 P16:Q16 P23:Q23 P31:Q31 P30:Q30 P8:Q8 P9:Q9 P15:Q15 P12:Q12 P17:Q17 P22:Q22 P24:Q24 P29:Q29 P19:Q19 P26:Q26 U3:V3 U4:V4 U11:V11 U18:V18 U25:V25 U32:V32 U6:V6 U13:V13 U7:V7 U14:V14 U20:V20 U21:V21 U27:V27 U28:V28 U5:V5 U10:V10 U31:V31 U12:V12 U17:V17 U24:V24 U19:V19 U26:V26 Z3:AA3 Z8:AA8 Z9:AA9 Z15:AA15 Z16:AA16 Z22:AA22 Z23:AA23 Z29:AA29 Z30:AA30 Z4:AA4 Z11:AA11 Z18:AA18 Z25:AA25 Z32:AA32 Z7:AA7 Z14:AA14 Z21:AA21 Z28:AA28 Z5:AA5 Z10:AA10 Z31:AA31 Z12:AA12 Z17:AA17 Z24:AA24 Z19:AA19 Z26:AA26 F3:G3 F5:G5 F4:G4 F31:G3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21" id="{0AB281AD-E70D-B542-939D-EF5BD8824FD8}">
            <xm:f>OR(Februar!$C9="Skema 1")</xm:f>
            <x14:dxf>
              <font>
                <color theme="1"/>
              </font>
              <fill>
                <patternFill>
                  <bgColor theme="4" tint="0.7999816888943144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91" id="{10B48BC6-8EAF-2942-BB6D-13EE2B42F7DD}">
            <xm:f>OR(Februar!$C9="weekend")</xm:f>
            <x14:dxf>
              <font>
                <color theme="1"/>
              </font>
              <fill>
                <patternFill>
                  <bgColor theme="0" tint="-0.14996795556505021"/>
                </patternFill>
              </fill>
            </x14:dxf>
          </x14:cfRule>
          <xm:sqref>A3:E30</xm:sqref>
        </x14:conditionalFormatting>
        <x14:conditionalFormatting xmlns:xm="http://schemas.microsoft.com/office/excel/2006/main">
          <x14:cfRule type="expression" priority="92" stopIfTrue="1" id="{97279CEF-ECAE-2646-970C-2A7450844C7C}">
            <xm:f>OR(Februar!$C9="Orlov")</xm:f>
            <x14:dxf>
              <font>
                <color theme="0"/>
              </font>
              <fill>
                <patternFill patternType="solid">
                  <bgColor theme="6" tint="-0.24994659260841701"/>
                </patternFill>
              </fill>
            </x14:dxf>
          </x14:cfRule>
          <xm:sqref>A3:E30</xm:sqref>
        </x14:conditionalFormatting>
        <x14:conditionalFormatting xmlns:xm="http://schemas.microsoft.com/office/excel/2006/main">
          <x14:cfRule type="expression" priority="86" id="{0CC0AE7B-459A-DE49-8983-75A273A5D06F}">
            <xm:f>OR(Februar!$C9="ekskursion")</xm:f>
            <x14:dxf>
              <font>
                <color theme="1"/>
              </font>
              <fill>
                <patternFill>
                  <bgColor rgb="FFFFFF00"/>
                </patternFill>
              </fill>
            </x14:dxf>
          </x14:cfRule>
          <xm:sqref>A3:E30</xm:sqref>
        </x14:conditionalFormatting>
        <x14:conditionalFormatting xmlns:xm="http://schemas.microsoft.com/office/excel/2006/main">
          <x14:cfRule type="expression" priority="84" id="{39C4D426-F21A-FE41-AD48-523EDD85B599}">
            <xm:f>OR(Februar!$C9="nul-dag")</xm:f>
            <x14:dxf>
              <font>
                <color theme="1"/>
              </font>
              <fill>
                <patternFill>
                  <bgColor theme="5" tint="0.79998168889431442"/>
                </patternFill>
              </fill>
            </x14:dxf>
          </x14:cfRule>
          <x14:cfRule type="expression" priority="85" id="{06C03DDE-3533-E649-9DE8-8AD68AEE153F}">
            <xm:f>OR(Februar!$C9="SH-dag")</xm:f>
            <x14:dxf>
              <font>
                <color theme="1"/>
              </font>
              <fill>
                <patternFill>
                  <bgColor rgb="FFFF2F82"/>
                </patternFill>
              </fill>
            </x14:dxf>
          </x14:cfRule>
          <xm:sqref>A3:E30</xm:sqref>
        </x14:conditionalFormatting>
        <x14:conditionalFormatting xmlns:xm="http://schemas.microsoft.com/office/excel/2006/main">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31" id="{3AB6D212-85A0-F04D-920B-A92267DB488B}">
            <xm:f>OR(Marts!$C9="Ikke relevant")</xm:f>
            <x14:dxf>
              <font>
                <color theme="0"/>
              </font>
              <fill>
                <patternFill>
                  <bgColor theme="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76" id="{0F5CAAAC-B94A-0946-BE6A-D17B3DED7811}">
            <xm:f>OR(Marts!$C9="ekskursion")</xm:f>
            <x14:dxf>
              <font>
                <color theme="1"/>
              </font>
              <fill>
                <patternFill>
                  <bgColor rgb="FFFFFF00"/>
                </patternFill>
              </fill>
            </x14:dxf>
          </x14:cfRule>
          <xm:sqref>F3:J33</xm:sqref>
        </x14:conditionalFormatting>
        <x14:conditionalFormatting xmlns:xm="http://schemas.microsoft.com/office/excel/2006/main">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m:sqref>F3:J33</xm:sqref>
        </x14:conditionalFormatting>
        <x14:conditionalFormatting xmlns:xm="http://schemas.microsoft.com/office/excel/2006/main">
          <x14:cfRule type="expression" priority="30" id="{6306EA6E-7EFD-BB4E-8E6A-C4B3394E39EE}">
            <xm:f>OR(April!$C9="ikke relevant")</xm:f>
            <x14:dxf>
              <font>
                <color theme="0"/>
              </font>
              <fill>
                <patternFill>
                  <bgColor theme="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68" id="{8D108F10-178F-994B-B53E-B126B41262A3}">
            <xm:f>OR(April!$C9="emnedag")</xm:f>
            <x14:dxf>
              <font>
                <color theme="1"/>
              </font>
              <fill>
                <patternFill>
                  <bgColor theme="5" tint="0.59996337778862885"/>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71" id="{A75B3236-996A-9B43-B894-25887F31CA82}">
            <xm:f>OR(April!$C9="weekend")</xm:f>
            <x14:dxf>
              <font>
                <color theme="1"/>
              </font>
              <fill>
                <patternFill>
                  <bgColor theme="0" tint="-0.14996795556505021"/>
                </patternFill>
              </fill>
            </x14:dxf>
          </x14:cfRule>
          <xm:sqref>K3:O32</xm:sqref>
        </x14:conditionalFormatting>
        <x14:conditionalFormatting xmlns:xm="http://schemas.microsoft.com/office/excel/2006/main">
          <x14:cfRule type="expression" priority="72" stopIfTrue="1" id="{75133B94-247C-034A-8A6D-3FA79206DDF4}">
            <xm:f>OR(April!$C9="Orlov")</xm:f>
            <x14:dxf>
              <font>
                <color theme="0"/>
              </font>
              <fill>
                <patternFill patternType="solid">
                  <bgColor theme="6" tint="-0.24994659260841701"/>
                </patternFill>
              </fill>
            </x14:dxf>
          </x14:cfRule>
          <xm:sqref>K3:O32</xm:sqref>
        </x14:conditionalFormatting>
        <x14:conditionalFormatting xmlns:xm="http://schemas.microsoft.com/office/excel/2006/main">
          <x14:cfRule type="expression" priority="66" id="{86C9FF40-FEB8-0C4D-973A-8E7738579157}">
            <xm:f>OR(April!$C9="ekskursion")</xm:f>
            <x14:dxf>
              <font>
                <color theme="1"/>
              </font>
              <fill>
                <patternFill>
                  <bgColor rgb="FFFFFF00"/>
                </patternFill>
              </fill>
            </x14:dxf>
          </x14:cfRule>
          <xm:sqref>K3:O32</xm:sqref>
        </x14:conditionalFormatting>
        <x14:conditionalFormatting xmlns:xm="http://schemas.microsoft.com/office/excel/2006/main">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16" id="{B911483F-34B1-0841-AE6D-1366C2EBA141}">
            <xm:f>OR(April!$C9="Skema 4")</xm:f>
            <x14:dxf>
              <font>
                <color theme="0"/>
              </font>
              <fill>
                <patternFill>
                  <bgColor theme="4" tint="-0.2499465926084170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m:sqref>K3:O32</xm:sqref>
        </x14:conditionalFormatting>
        <x14:conditionalFormatting xmlns:xm="http://schemas.microsoft.com/office/excel/2006/main">
          <x14:cfRule type="expression" priority="9" id="{03041ED0-70A6-B841-82DD-8E909FE4848C}">
            <xm:f>OR(Maj!$C9="Skema 1")</xm:f>
            <x14:dxf>
              <font>
                <color theme="1"/>
              </font>
              <fill>
                <patternFill>
                  <bgColor theme="4" tint="0.7999816888943144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2" id="{EDA7D371-A004-6C45-86BF-4760DC1B3BE6}">
            <xm:f>OR(Maj!$C9="Skema 4")</xm:f>
            <x14:dxf>
              <font>
                <color theme="0"/>
              </font>
              <fill>
                <patternFill>
                  <bgColor theme="4" tint="-0.24994659260841701"/>
                </patternFill>
              </fill>
            </x14:dxf>
          </x14:cfRule>
          <x14:cfRule type="expression" priority="29" id="{8931C539-23F9-3D4C-BF47-13E25A58A4D9}">
            <xm:f>OR(Maj!$C9="Ikke relevant")</xm:f>
            <x14:dxf>
              <font>
                <color theme="0"/>
              </font>
              <fill>
                <patternFill>
                  <bgColor theme="1"/>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m:sqref>P3:T33</xm:sqref>
        </x14:conditionalFormatting>
        <x14:conditionalFormatting xmlns:xm="http://schemas.microsoft.com/office/excel/2006/main">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6" id="{B6E9AB86-49BF-A44A-92F6-92D75FC06D26}">
            <xm:f>OR(Maj!$C9="ekskursion")</xm:f>
            <x14:dxf>
              <font>
                <color theme="1"/>
              </font>
              <fill>
                <patternFill>
                  <bgColor rgb="FFFFFF00"/>
                </patternFill>
              </fill>
            </x14:dxf>
          </x14:cfRule>
          <xm:sqref>P3:T33</xm:sqref>
        </x14:conditionalFormatting>
        <x14:conditionalFormatting xmlns:xm="http://schemas.microsoft.com/office/excel/2006/main">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m:sqref>P3:T33</xm:sqref>
        </x14:conditionalFormatting>
        <x14:conditionalFormatting xmlns:xm="http://schemas.microsoft.com/office/excel/2006/main">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9" id="{C3A6622B-2656-1148-8021-15583886E755}">
            <xm:f>OR(Juni!$C9="fagdag")</xm:f>
            <x14:dxf>
              <font>
                <color theme="1"/>
              </font>
              <fill>
                <patternFill>
                  <bgColor theme="9" tint="0.59996337778862885"/>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51" id="{4C3AAFF6-429E-B148-ABA3-4235BAD6AF07}">
            <xm:f>OR(Juni!$C9="weekend")</xm:f>
            <x14:dxf>
              <font>
                <color theme="1"/>
              </font>
              <fill>
                <patternFill>
                  <bgColor theme="0" tint="-0.14996795556505021"/>
                </patternFill>
              </fill>
            </x14:dxf>
          </x14:cfRule>
          <xm:sqref>U3:Y32</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m:sqref>U3:Y32</xm:sqref>
        </x14:conditionalFormatting>
        <x14:conditionalFormatting xmlns:xm="http://schemas.microsoft.com/office/excel/2006/main">
          <x14:cfRule type="expression" priority="46" id="{929A9DD8-CC91-C644-BF67-D6FE634ED795}">
            <xm:f>OR(Juni!$C9="ekskursion")</xm:f>
            <x14:dxf>
              <font>
                <color theme="1"/>
              </font>
              <fill>
                <patternFill>
                  <bgColor rgb="FFFFFF00"/>
                </patternFill>
              </fill>
            </x14:dxf>
          </x14:cfRule>
          <xm:sqref>U3:Y32</xm:sqref>
        </x14:conditionalFormatting>
        <x14:conditionalFormatting xmlns:xm="http://schemas.microsoft.com/office/excel/2006/main">
          <x14:cfRule type="expression" priority="44" id="{6984B7EC-16D3-4C4A-BA3B-40F03CB56610}">
            <xm:f>OR(Juni!$C9="nul-dag")</xm:f>
            <x14:dxf>
              <font>
                <color theme="1"/>
              </font>
              <fill>
                <patternFill>
                  <bgColor theme="5" tint="0.79998168889431442"/>
                </patternFill>
              </fill>
            </x14:dxf>
          </x14:cfRule>
          <x14:cfRule type="expression" priority="45" id="{E0EAF2A4-095E-234E-B0BB-557171345B2A}">
            <xm:f>OR(Juni!$C9="SH-dag")</xm:f>
            <x14:dxf>
              <font>
                <color theme="1"/>
              </font>
              <fill>
                <patternFill>
                  <bgColor rgb="FFFF2F82"/>
                </patternFill>
              </fill>
            </x14:dxf>
          </x14:cfRule>
          <xm:sqref>U3:Y32</xm:sqref>
        </x14:conditionalFormatting>
        <x14:conditionalFormatting xmlns:xm="http://schemas.microsoft.com/office/excel/2006/main">
          <x14:cfRule type="expression" priority="1" id="{AD285191-2CE1-8B4F-96B3-7DBA611FD62F}">
            <xm:f>OR(Juli!$C9="Skema 1")</xm:f>
            <x14:dxf>
              <font>
                <color theme="1"/>
              </font>
              <fill>
                <patternFill>
                  <bgColor theme="4" tint="0.7999816888943144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3" id="{FEFA4618-0E81-6343-8086-7C039E3E2BF2}">
            <xm:f>OR(Juli!$C9="Skema 3")</xm:f>
            <x14:dxf>
              <font>
                <color theme="0"/>
              </font>
              <fill>
                <patternFill>
                  <bgColor theme="4" tint="0.39994506668294322"/>
                </patternFill>
              </fill>
            </x14:dxf>
          </x14:cfRule>
          <x14:cfRule type="expression" priority="4" id="{FF8A0C49-7711-2148-84C9-C6A2DAD7D220}">
            <xm:f>OR(Juli!$C9="Skema 4")</xm:f>
            <x14:dxf>
              <font>
                <color theme="0"/>
              </font>
              <fill>
                <patternFill>
                  <bgColor theme="4" tint="-0.24994659260841701"/>
                </patternFill>
              </fill>
            </x14:dxf>
          </x14:cfRule>
          <x14:cfRule type="expression" priority="25" id="{F0BEE529-422E-E340-A6EC-06762E977344}">
            <xm:f>OR(Juli!$C9="Ikke relevant")</xm:f>
            <x14:dxf>
              <font>
                <color theme="0"/>
              </font>
              <fill>
                <patternFill>
                  <bgColor theme="1"/>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7" id="{68A3A017-2778-6742-A269-1079E334C9D2}">
            <xm:f>OR(Juli!$C9="lejrskole")</xm:f>
            <x14:dxf>
              <font>
                <color theme="1"/>
              </font>
              <fill>
                <patternFill>
                  <bgColor theme="8" tint="0.59996337778862885"/>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m:sqref>Z3:AD33</xm:sqref>
        </x14:conditionalFormatting>
        <x14:conditionalFormatting xmlns:xm="http://schemas.microsoft.com/office/excel/2006/main">
          <x14:cfRule type="expression" priority="42" stopIfTrue="1" id="{7CF96F1D-A969-D441-8FE0-B4A2FADD1DAB}">
            <xm:f>OR(Juli!$C9="Orlov")</xm:f>
            <x14:dxf>
              <font>
                <color theme="0"/>
              </font>
              <fill>
                <patternFill patternType="solid">
                  <bgColor theme="6" tint="-0.24994659260841701"/>
                </patternFill>
              </fill>
            </x14:dxf>
          </x14:cfRule>
          <xm:sqref>Z3:AD33</xm:sqref>
        </x14:conditionalFormatting>
        <x14:conditionalFormatting xmlns:xm="http://schemas.microsoft.com/office/excel/2006/main">
          <x14:cfRule type="expression" priority="36" id="{1CE3DB7B-733A-E640-B601-A4D92D9964F8}">
            <xm:f>OR(Juli!$C9="ekskursion")</xm:f>
            <x14:dxf>
              <font>
                <color theme="1"/>
              </font>
              <fill>
                <patternFill>
                  <bgColor rgb="FFFFFF00"/>
                </patternFill>
              </fill>
            </x14:dxf>
          </x14:cfRule>
          <xm:sqref>Z3:AD33</xm:sqref>
        </x14:conditionalFormatting>
        <x14:conditionalFormatting xmlns:xm="http://schemas.microsoft.com/office/excel/2006/main">
          <x14:cfRule type="expression" priority="34" id="{93A40936-AA49-0443-9ADE-D6753D0D065C}">
            <xm:f>OR(Juli!$C9="nul-dag")</xm:f>
            <x14:dxf>
              <font>
                <color theme="1"/>
              </font>
              <fill>
                <patternFill>
                  <bgColor theme="5" tint="0.79998168889431442"/>
                </patternFill>
              </fill>
            </x14:dxf>
          </x14:cfRule>
          <x14:cfRule type="expression" priority="35" id="{099C738A-55FA-FF4B-83F9-9DBABCB4DF0F}">
            <xm:f>OR(Juli!$C9="SH-dag")</xm:f>
            <x14:dxf>
              <font>
                <color theme="1"/>
              </font>
              <fill>
                <patternFill>
                  <bgColor rgb="FFFF2F82"/>
                </patternFill>
              </fill>
            </x14:dxf>
          </x14:cfRule>
          <xm:sqref>Z3:AD33</xm:sqref>
        </x14:conditionalFormatting>
        <x14:conditionalFormatting xmlns:xm="http://schemas.microsoft.com/office/excel/2006/main">
          <x14:cfRule type="expression" priority="32" id="{AA8D41F6-A3CD-5249-A8C0-AF6CB62E51FE}">
            <xm:f>OR(Februar!$C9="Ikke relevant")</xm:f>
            <x14:dxf>
              <font>
                <color theme="0"/>
              </font>
              <fill>
                <patternFill>
                  <bgColor theme="1"/>
                </patternFill>
              </fill>
            </x14:dxf>
          </x14:cfRule>
          <xm:sqref>A3:E30</xm:sqref>
        </x14:conditionalFormatting>
        <x14:conditionalFormatting xmlns:xm="http://schemas.microsoft.com/office/excel/2006/main">
          <x14:cfRule type="expression" priority="503" id="{4869A631-E5B2-AC4A-9F64-07F866BAB5B5}">
            <xm:f>OR(Maaned!#REF!="pæd.dag")</xm:f>
            <x14:dxf>
              <font>
                <color theme="1"/>
              </font>
              <fill>
                <patternFill>
                  <bgColor theme="7" tint="0.39994506668294322"/>
                </patternFill>
              </fill>
            </x14:dxf>
          </x14:cfRule>
          <x14:cfRule type="expression" priority="504" id="{16BF4041-5844-EF42-A47B-6A70837B4FEC}">
            <xm:f>OR(Maaned!#REF!="lejrskole")</xm:f>
            <x14:dxf>
              <font>
                <color theme="1"/>
              </font>
              <fill>
                <patternFill>
                  <bgColor theme="8" tint="0.59996337778862885"/>
                </patternFill>
              </fill>
            </x14:dxf>
          </x14:cfRule>
          <x14:cfRule type="expression" priority="505" id="{D5F29B49-D605-7245-83DF-DFB7B5E07041}">
            <xm:f>OR(Maaned!#REF!="emnedag")</xm:f>
            <x14:dxf>
              <font>
                <color theme="1"/>
              </font>
              <fill>
                <patternFill>
                  <bgColor theme="5" tint="0.59996337778862885"/>
                </patternFill>
              </fill>
            </x14:dxf>
          </x14:cfRule>
          <x14:cfRule type="expression" priority="506" id="{57E068A6-D249-1E4A-84B8-176519CE97D6}">
            <xm:f>OR(Maaned!#REF!="fagdag")</xm:f>
            <x14:dxf>
              <font>
                <color theme="1"/>
              </font>
              <fill>
                <patternFill>
                  <bgColor theme="9" tint="0.59996337778862885"/>
                </patternFill>
              </fill>
            </x14:dxf>
          </x14:cfRule>
          <x14:cfRule type="expression" priority="507" id="{F6CC4708-7E92-A745-9939-7594EE6EADA0}">
            <xm:f>OR(Maaned!#REF!="feriedag")</xm:f>
            <x14:dxf>
              <font>
                <color theme="1"/>
              </font>
              <fill>
                <patternFill>
                  <bgColor theme="6" tint="0.39994506668294322"/>
                </patternFill>
              </fill>
            </x14:dxf>
          </x14:cfRule>
          <x14:cfRule type="expression" priority="508" id="{10B48BC6-8EAF-2942-BB6D-13EE2B42F7DD}">
            <xm:f>OR(Maaned!#REF!="weekend")</xm:f>
            <x14:dxf>
              <font>
                <color theme="1"/>
              </font>
              <fill>
                <patternFill>
                  <bgColor theme="0" tint="-0.14996795556505021"/>
                </patternFill>
              </fill>
            </x14:dxf>
          </x14:cfRule>
          <xm:sqref>A31:E31</xm:sqref>
        </x14:conditionalFormatting>
        <x14:conditionalFormatting xmlns:xm="http://schemas.microsoft.com/office/excel/2006/main">
          <x14:cfRule type="expression" priority="510" stopIfTrue="1" id="{97279CEF-ECAE-2646-970C-2A7450844C7C}">
            <xm:f>OR(Maaned!#REF!="skoledag")</xm:f>
            <x14:dxf>
              <font>
                <color theme="1"/>
              </font>
              <fill>
                <patternFill patternType="none">
                  <bgColor auto="1"/>
                </patternFill>
              </fill>
            </x14:dxf>
          </x14:cfRule>
          <xm:sqref>A31:E31</xm:sqref>
        </x14:conditionalFormatting>
        <x14:conditionalFormatting xmlns:xm="http://schemas.microsoft.com/office/excel/2006/main">
          <x14:cfRule type="expression" priority="512" id="{0CC0AE7B-459A-DE49-8983-75A273A5D06F}">
            <xm:f>OR(Maaned!#REF!="ekskursion")</xm:f>
            <x14:dxf>
              <font>
                <color theme="1"/>
              </font>
              <fill>
                <patternFill>
                  <bgColor rgb="FFFFFF00"/>
                </patternFill>
              </fill>
            </x14:dxf>
          </x14:cfRule>
          <xm:sqref>A31:E31</xm:sqref>
        </x14:conditionalFormatting>
        <x14:conditionalFormatting xmlns:xm="http://schemas.microsoft.com/office/excel/2006/main">
          <x14:cfRule type="expression" priority="515" id="{39C4D426-F21A-FE41-AD48-523EDD85B599}">
            <xm:f>OR(Maaned!#REF!="nul-dag")</xm:f>
            <x14:dxf>
              <font>
                <color theme="1"/>
              </font>
              <fill>
                <patternFill>
                  <bgColor theme="3" tint="0.59996337778862885"/>
                </patternFill>
              </fill>
            </x14:dxf>
          </x14:cfRule>
          <x14:cfRule type="expression" priority="516" id="{06C03DDE-3533-E649-9DE8-8AD68AEE153F}">
            <xm:f>OR(Maaned!#REF!="SH-dag")</xm:f>
            <x14:dxf>
              <font>
                <color theme="1"/>
              </font>
              <fill>
                <patternFill>
                  <bgColor rgb="FFFF2F82"/>
                </patternFill>
              </fill>
            </x14:dxf>
          </x14:cfRule>
          <xm:sqref>A31:E31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121"/>
  <sheetViews>
    <sheetView showGridLines="0" showOutlineSymbols="0" zoomScale="125" workbookViewId="0">
      <pane ySplit="4" topLeftCell="A30" activePane="bottomLeft" state="frozenSplit"/>
      <selection activeCell="F22" sqref="F22"/>
      <selection pane="bottomLeft" activeCell="A30" sqref="A30:A44"/>
    </sheetView>
  </sheetViews>
  <sheetFormatPr baseColWidth="10" defaultColWidth="11.5" defaultRowHeight="13" outlineLevelCol="1"/>
  <cols>
    <col min="1" max="1" width="92.83203125" style="105" customWidth="1"/>
    <col min="2" max="2" width="3.33203125" style="105" customWidth="1"/>
    <col min="3" max="3" width="4.6640625" style="105" customWidth="1"/>
    <col min="4" max="4" width="10.1640625" style="105" customWidth="1"/>
    <col min="5" max="5" width="3.1640625" style="105" customWidth="1"/>
    <col min="6" max="6" width="32.83203125" style="105" customWidth="1" outlineLevel="1"/>
    <col min="7" max="7" width="15.5" style="105" customWidth="1" outlineLevel="1"/>
    <col min="8" max="8" width="11.83203125" style="105" customWidth="1" outlineLevel="1"/>
    <col min="9" max="9" width="3.33203125" style="105" customWidth="1"/>
    <col min="10" max="10" width="4.6640625" style="105" customWidth="1"/>
    <col min="11" max="11" width="9" style="105" customWidth="1"/>
    <col min="12" max="12" width="2.83203125" style="105" customWidth="1"/>
    <col min="13" max="13" width="32.83203125" style="105" customWidth="1" outlineLevel="1"/>
    <col min="14" max="14" width="15.5" style="105" customWidth="1" outlineLevel="1"/>
    <col min="15" max="15" width="11.83203125" style="105" customWidth="1" outlineLevel="1"/>
    <col min="16" max="16" width="3.33203125" style="105" customWidth="1"/>
    <col min="17" max="17" width="4.6640625" style="105" customWidth="1"/>
    <col min="18" max="18" width="9" style="105" customWidth="1"/>
    <col min="19" max="19" width="2.83203125" style="105" customWidth="1"/>
    <col min="20" max="20" width="32.6640625" style="105" customWidth="1" outlineLevel="1"/>
    <col min="21" max="21" width="15.5" style="105" customWidth="1" outlineLevel="1"/>
    <col min="22" max="22" width="11.83203125" style="105" customWidth="1" outlineLevel="1"/>
    <col min="23" max="23" width="3.33203125" style="105" customWidth="1"/>
    <col min="24" max="24" width="4.6640625" style="105" customWidth="1"/>
    <col min="25" max="25" width="9" style="105" customWidth="1"/>
    <col min="26" max="26" width="2.83203125" style="105" customWidth="1"/>
    <col min="27" max="27" width="32.83203125" style="105" customWidth="1" outlineLevel="1"/>
    <col min="28" max="28" width="15.5" style="105" customWidth="1" outlineLevel="1"/>
    <col min="29" max="29" width="11.83203125" style="105" customWidth="1" outlineLevel="1"/>
    <col min="30" max="30" width="3.33203125" style="105" customWidth="1"/>
    <col min="31" max="31" width="4.6640625" style="105" customWidth="1"/>
    <col min="32" max="32" width="9" style="105" customWidth="1"/>
    <col min="33" max="33" width="3.1640625" style="105" customWidth="1"/>
    <col min="34" max="34" width="32.6640625" style="105" customWidth="1" outlineLevel="1"/>
    <col min="35" max="35" width="15.5" style="105" customWidth="1" outlineLevel="1"/>
    <col min="36" max="36" width="11.83203125" style="105" customWidth="1" outlineLevel="1"/>
    <col min="37" max="37" width="3.33203125" style="105" customWidth="1"/>
    <col min="38" max="38" width="4.6640625" style="105" customWidth="1"/>
    <col min="39" max="39" width="9" style="105" customWidth="1"/>
    <col min="40" max="40" width="2.83203125" style="108" customWidth="1"/>
    <col min="41" max="41" width="32.83203125" style="105" customWidth="1" outlineLevel="1"/>
    <col min="42" max="42" width="15.5" style="105" customWidth="1" outlineLevel="1"/>
    <col min="43" max="43" width="11.83203125" style="105" customWidth="1" outlineLevel="1"/>
    <col min="44" max="44" width="3.33203125" style="105" customWidth="1"/>
    <col min="45" max="45" width="4.6640625" style="105" customWidth="1"/>
    <col min="46" max="46" width="9" style="105" customWidth="1"/>
    <col min="47" max="47" width="3.6640625" style="108" customWidth="1"/>
    <col min="48" max="48" width="32.6640625" style="105" customWidth="1" outlineLevel="1"/>
    <col min="49" max="49" width="15.5" style="105" customWidth="1" outlineLevel="1"/>
    <col min="50" max="50" width="11.83203125" style="105" customWidth="1" outlineLevel="1"/>
    <col min="51" max="51" width="3.33203125" style="105" customWidth="1"/>
    <col min="52" max="52" width="4.6640625" style="105" customWidth="1"/>
    <col min="53" max="53" width="9" style="105" customWidth="1"/>
    <col min="54" max="54" width="2.83203125" style="108" customWidth="1"/>
    <col min="55" max="55" width="32.6640625" style="105" customWidth="1" outlineLevel="1"/>
    <col min="56" max="56" width="15.5" style="105" customWidth="1" outlineLevel="1"/>
    <col min="57" max="57" width="11.83203125" style="105" customWidth="1" outlineLevel="1"/>
    <col min="58" max="58" width="3.33203125" style="105" customWidth="1"/>
    <col min="59" max="59" width="4.6640625" style="105" customWidth="1"/>
    <col min="60" max="60" width="9" style="105" customWidth="1"/>
    <col min="61" max="61" width="2.83203125" style="105" customWidth="1"/>
    <col min="62" max="62" width="32.6640625" style="105" customWidth="1" outlineLevel="1"/>
    <col min="63" max="63" width="15.5" style="105" customWidth="1" outlineLevel="1"/>
    <col min="64" max="64" width="11.83203125" style="105" customWidth="1" outlineLevel="1"/>
    <col min="65" max="65" width="3.33203125" style="105" customWidth="1"/>
    <col min="66" max="66" width="4.6640625" style="105" customWidth="1"/>
    <col min="67" max="67" width="9" style="105" customWidth="1"/>
    <col min="68" max="68" width="2.83203125" style="105" customWidth="1"/>
    <col min="69" max="69" width="32.6640625" style="105" customWidth="1" outlineLevel="1"/>
    <col min="70" max="70" width="15.5" style="105" customWidth="1" outlineLevel="1"/>
    <col min="71" max="71" width="11.83203125" style="105" customWidth="1" outlineLevel="1"/>
    <col min="72" max="72" width="3.33203125" style="105" customWidth="1"/>
    <col min="73" max="73" width="4.6640625" style="105" customWidth="1"/>
    <col min="74" max="74" width="9" style="105" customWidth="1"/>
    <col min="75" max="75" width="2.83203125" style="105" customWidth="1"/>
    <col min="76" max="76" width="32.6640625" style="105" customWidth="1" outlineLevel="1"/>
    <col min="77" max="77" width="15.5" style="105" customWidth="1" outlineLevel="1"/>
    <col min="78" max="78" width="11.83203125" style="105" customWidth="1" outlineLevel="1"/>
    <col min="79" max="79" width="3.33203125" style="105" customWidth="1"/>
    <col min="80" max="80" width="4.6640625" style="105" customWidth="1"/>
    <col min="81" max="81" width="9" style="105" customWidth="1"/>
    <col min="82" max="82" width="2.83203125" style="105" customWidth="1"/>
    <col min="83" max="83" width="32.6640625" style="105" customWidth="1" outlineLevel="1"/>
    <col min="84" max="84" width="15.5" style="105" customWidth="1" outlineLevel="1"/>
    <col min="85" max="85" width="11.83203125" style="105" customWidth="1" outlineLevel="1"/>
    <col min="86" max="86" width="1.6640625" style="109" customWidth="1" outlineLevel="1"/>
    <col min="87" max="87" width="19.83203125" style="105" customWidth="1"/>
    <col min="88" max="88" width="5.6640625" style="105" customWidth="1"/>
    <col min="89" max="16384" width="11.5" style="105"/>
  </cols>
  <sheetData>
    <row r="1" spans="1:90" s="113" customFormat="1" ht="15" customHeight="1">
      <c r="A1" s="296" t="s">
        <v>142</v>
      </c>
      <c r="B1" s="157" t="str">
        <f>"Månedsplan for "&amp;A1</f>
        <v>Månedsplan for Min egen skole</v>
      </c>
      <c r="I1" s="156" t="str">
        <f>$B$1</f>
        <v>Månedsplan for Min egen skole</v>
      </c>
      <c r="P1" s="156" t="str">
        <f>$B$1</f>
        <v>Månedsplan for Min egen skole</v>
      </c>
      <c r="W1" s="156" t="str">
        <f>$B$1</f>
        <v>Månedsplan for Min egen skole</v>
      </c>
      <c r="AD1" s="156" t="str">
        <f>$B$1</f>
        <v>Månedsplan for Min egen skole</v>
      </c>
      <c r="AK1" s="156" t="str">
        <f>$B$1</f>
        <v>Månedsplan for Min egen skole</v>
      </c>
      <c r="AR1" s="156" t="str">
        <f>$B$1</f>
        <v>Månedsplan for Min egen skole</v>
      </c>
      <c r="AY1" s="156" t="str">
        <f>$B$1</f>
        <v>Månedsplan for Min egen skole</v>
      </c>
      <c r="BF1" s="156" t="str">
        <f>$B$1</f>
        <v>Månedsplan for Min egen skole</v>
      </c>
      <c r="BM1" s="156" t="str">
        <f>$B$1</f>
        <v>Månedsplan for Min egen skole</v>
      </c>
      <c r="BT1" s="156" t="str">
        <f>$B$1</f>
        <v>Månedsplan for Min egen skole</v>
      </c>
      <c r="CA1" s="156" t="str">
        <f>$B$1</f>
        <v>Månedsplan for Min egen skole</v>
      </c>
      <c r="CH1" s="117"/>
      <c r="CI1" s="124"/>
    </row>
    <row r="2" spans="1:90" s="113" customFormat="1" ht="15" customHeight="1">
      <c r="A2" s="213"/>
      <c r="B2" s="155">
        <v>8</v>
      </c>
      <c r="C2" s="113" t="s">
        <v>283</v>
      </c>
      <c r="E2" s="155">
        <v>31</v>
      </c>
      <c r="F2" s="426">
        <v>261</v>
      </c>
      <c r="I2" s="154">
        <v>9</v>
      </c>
      <c r="P2" s="154">
        <v>10</v>
      </c>
      <c r="W2" s="154">
        <v>11</v>
      </c>
      <c r="AD2" s="154">
        <v>12</v>
      </c>
      <c r="AK2" s="154">
        <v>1</v>
      </c>
      <c r="AR2" s="154">
        <v>2</v>
      </c>
      <c r="AY2" s="154">
        <v>3</v>
      </c>
      <c r="BF2" s="154">
        <v>4</v>
      </c>
      <c r="BM2" s="154">
        <v>5</v>
      </c>
      <c r="BT2" s="154">
        <v>6</v>
      </c>
      <c r="CA2" s="154">
        <v>7</v>
      </c>
      <c r="CH2" s="117"/>
      <c r="CI2" s="124"/>
    </row>
    <row r="3" spans="1:90" s="113" customFormat="1" ht="15" customHeight="1">
      <c r="A3" s="214">
        <v>2022</v>
      </c>
      <c r="B3" s="153">
        <f>A3</f>
        <v>2022</v>
      </c>
      <c r="C3" s="221"/>
      <c r="D3" s="151"/>
      <c r="E3" s="150"/>
      <c r="F3" s="921" t="s">
        <v>131</v>
      </c>
      <c r="G3" s="922"/>
      <c r="H3" s="923"/>
      <c r="I3" s="153">
        <f>B3</f>
        <v>2022</v>
      </c>
      <c r="J3" s="152"/>
      <c r="K3" s="151"/>
      <c r="L3" s="150"/>
      <c r="M3" s="921" t="s">
        <v>131</v>
      </c>
      <c r="N3" s="922"/>
      <c r="O3" s="923"/>
      <c r="P3" s="149">
        <f>I3</f>
        <v>2022</v>
      </c>
      <c r="Q3" s="148"/>
      <c r="R3" s="147"/>
      <c r="S3" s="146"/>
      <c r="T3" s="915" t="s">
        <v>131</v>
      </c>
      <c r="U3" s="916"/>
      <c r="V3" s="917"/>
      <c r="W3" s="149">
        <f>P3</f>
        <v>2022</v>
      </c>
      <c r="X3" s="148"/>
      <c r="Y3" s="147"/>
      <c r="Z3" s="146"/>
      <c r="AA3" s="915" t="s">
        <v>131</v>
      </c>
      <c r="AB3" s="916"/>
      <c r="AC3" s="917"/>
      <c r="AD3" s="149">
        <f>W3</f>
        <v>2022</v>
      </c>
      <c r="AE3" s="148"/>
      <c r="AF3" s="147"/>
      <c r="AG3" s="146"/>
      <c r="AH3" s="915" t="s">
        <v>131</v>
      </c>
      <c r="AI3" s="916"/>
      <c r="AJ3" s="917"/>
      <c r="AK3" s="149">
        <f>AD3+1</f>
        <v>2023</v>
      </c>
      <c r="AL3" s="148"/>
      <c r="AM3" s="147"/>
      <c r="AN3" s="146"/>
      <c r="AO3" s="242"/>
      <c r="AP3" s="145"/>
      <c r="AQ3" s="243"/>
      <c r="AR3" s="149">
        <f>$AK3</f>
        <v>2023</v>
      </c>
      <c r="AS3" s="148"/>
      <c r="AT3" s="147"/>
      <c r="AU3" s="146"/>
      <c r="AV3" s="242"/>
      <c r="AW3" s="145"/>
      <c r="AX3" s="243"/>
      <c r="AY3" s="149">
        <f>$AK3</f>
        <v>2023</v>
      </c>
      <c r="AZ3" s="148"/>
      <c r="BA3" s="147"/>
      <c r="BB3" s="146"/>
      <c r="BC3" s="242"/>
      <c r="BD3" s="145"/>
      <c r="BE3" s="243"/>
      <c r="BF3" s="149">
        <f>$AK3</f>
        <v>2023</v>
      </c>
      <c r="BG3" s="148"/>
      <c r="BH3" s="147"/>
      <c r="BI3" s="146"/>
      <c r="BJ3" s="242"/>
      <c r="BK3" s="145"/>
      <c r="BL3" s="243"/>
      <c r="BM3" s="149">
        <f>$AK3</f>
        <v>2023</v>
      </c>
      <c r="BN3" s="148"/>
      <c r="BO3" s="147"/>
      <c r="BP3" s="146"/>
      <c r="BQ3" s="242"/>
      <c r="BR3" s="145"/>
      <c r="BS3" s="243"/>
      <c r="BT3" s="149">
        <f>$AK3</f>
        <v>2023</v>
      </c>
      <c r="BU3" s="148"/>
      <c r="BV3" s="147"/>
      <c r="BW3" s="146"/>
      <c r="BX3" s="242"/>
      <c r="BY3" s="145"/>
      <c r="BZ3" s="243"/>
      <c r="CA3" s="149">
        <f>$AK3</f>
        <v>2023</v>
      </c>
      <c r="CB3" s="246"/>
      <c r="CC3" s="147"/>
      <c r="CD3" s="146"/>
      <c r="CE3" s="915" t="s">
        <v>131</v>
      </c>
      <c r="CF3" s="916"/>
      <c r="CG3" s="917"/>
      <c r="CH3" s="238"/>
      <c r="CI3" s="124"/>
    </row>
    <row r="4" spans="1:90" s="113" customFormat="1" ht="18">
      <c r="A4" s="215" t="s">
        <v>128</v>
      </c>
      <c r="B4" s="144" t="s">
        <v>95</v>
      </c>
      <c r="C4" s="222"/>
      <c r="D4" s="142"/>
      <c r="E4" s="141"/>
      <c r="F4" s="924"/>
      <c r="G4" s="925"/>
      <c r="H4" s="926"/>
      <c r="I4" s="144" t="s">
        <v>96</v>
      </c>
      <c r="J4" s="143"/>
      <c r="K4" s="142"/>
      <c r="L4" s="141"/>
      <c r="M4" s="924"/>
      <c r="N4" s="925"/>
      <c r="O4" s="926"/>
      <c r="P4" s="140" t="s">
        <v>97</v>
      </c>
      <c r="Q4" s="139"/>
      <c r="R4" s="138"/>
      <c r="S4" s="137"/>
      <c r="T4" s="918"/>
      <c r="U4" s="919"/>
      <c r="V4" s="920"/>
      <c r="W4" s="140" t="s">
        <v>98</v>
      </c>
      <c r="X4" s="139"/>
      <c r="Y4" s="138"/>
      <c r="Z4" s="137"/>
      <c r="AA4" s="918"/>
      <c r="AB4" s="919"/>
      <c r="AC4" s="920"/>
      <c r="AD4" s="140" t="s">
        <v>99</v>
      </c>
      <c r="AE4" s="139"/>
      <c r="AF4" s="138"/>
      <c r="AG4" s="137"/>
      <c r="AH4" s="918"/>
      <c r="AI4" s="919"/>
      <c r="AJ4" s="920"/>
      <c r="AK4" s="140" t="s">
        <v>100</v>
      </c>
      <c r="AL4" s="139"/>
      <c r="AM4" s="138"/>
      <c r="AN4" s="137"/>
      <c r="AO4" s="244" t="s">
        <v>131</v>
      </c>
      <c r="AP4" s="136"/>
      <c r="AQ4" s="245"/>
      <c r="AR4" s="140" t="s">
        <v>104</v>
      </c>
      <c r="AS4" s="139"/>
      <c r="AT4" s="138"/>
      <c r="AU4" s="137"/>
      <c r="AV4" s="244" t="s">
        <v>131</v>
      </c>
      <c r="AW4" s="136"/>
      <c r="AX4" s="245"/>
      <c r="AY4" s="140" t="s">
        <v>105</v>
      </c>
      <c r="AZ4" s="139"/>
      <c r="BA4" s="138"/>
      <c r="BB4" s="137"/>
      <c r="BC4" s="244" t="s">
        <v>131</v>
      </c>
      <c r="BD4" s="136"/>
      <c r="BE4" s="245"/>
      <c r="BF4" s="140" t="s">
        <v>106</v>
      </c>
      <c r="BG4" s="139"/>
      <c r="BH4" s="138"/>
      <c r="BI4" s="137"/>
      <c r="BJ4" s="244" t="s">
        <v>131</v>
      </c>
      <c r="BK4" s="136"/>
      <c r="BL4" s="245"/>
      <c r="BM4" s="140" t="s">
        <v>107</v>
      </c>
      <c r="BN4" s="139"/>
      <c r="BO4" s="138"/>
      <c r="BP4" s="137"/>
      <c r="BQ4" s="244" t="s">
        <v>131</v>
      </c>
      <c r="BR4" s="136"/>
      <c r="BS4" s="245"/>
      <c r="BT4" s="140" t="s">
        <v>108</v>
      </c>
      <c r="BU4" s="139"/>
      <c r="BV4" s="138"/>
      <c r="BW4" s="137"/>
      <c r="BX4" s="244" t="s">
        <v>131</v>
      </c>
      <c r="BY4" s="136"/>
      <c r="BZ4" s="245"/>
      <c r="CA4" s="140" t="s">
        <v>109</v>
      </c>
      <c r="CB4" s="247"/>
      <c r="CC4" s="138"/>
      <c r="CD4" s="137"/>
      <c r="CE4" s="918"/>
      <c r="CF4" s="919"/>
      <c r="CG4" s="920"/>
      <c r="CH4" s="238"/>
      <c r="CI4" s="124"/>
    </row>
    <row r="5" spans="1:90" ht="18" customHeight="1">
      <c r="A5" s="212" t="s">
        <v>130</v>
      </c>
      <c r="B5" s="217">
        <f>IF(ISNUMBER(B4),B4+1,1)</f>
        <v>1</v>
      </c>
      <c r="C5" s="218" t="str">
        <f>CHOOSE(MOD(WEEKDAY(DATE(B$3,B$2,B5)),7)+1,"lø","sø","ma","ti","on","to","fr",)</f>
        <v>ma</v>
      </c>
      <c r="D5" s="219" t="s">
        <v>245</v>
      </c>
      <c r="E5" s="220">
        <f>IF(C5="ma",(DATE(B$3,B$2,B5)-DATE(B$3,1,1)+7)/7,"")</f>
        <v>31.285714285714285</v>
      </c>
      <c r="F5" s="906" t="s">
        <v>121</v>
      </c>
      <c r="G5" s="907"/>
      <c r="H5" s="908"/>
      <c r="I5" s="217">
        <f>IF(ISNUMBER(I4),I4+1,1)</f>
        <v>1</v>
      </c>
      <c r="J5" s="218" t="str">
        <f>CHOOSE(MOD(WEEKDAY(DATE(I$3,I$2,I5)),7)+1,"lø","sø","ma","ti","on","to","fr",)</f>
        <v>to</v>
      </c>
      <c r="K5" s="219" t="s">
        <v>241</v>
      </c>
      <c r="L5" s="220" t="str">
        <f>IF(J5="ma",(DATE(I$3,I$2,I5)-DATE(I$3,1,1)+7)/7,"")</f>
        <v/>
      </c>
      <c r="M5" s="906"/>
      <c r="N5" s="907"/>
      <c r="O5" s="908"/>
      <c r="P5" s="217">
        <f>IF(ISNUMBER(P4),P4+1,1)</f>
        <v>1</v>
      </c>
      <c r="Q5" s="218" t="str">
        <f>CHOOSE(MOD(WEEKDAY(DATE(P$3,P$2,P5)),7)+1,"lø","sø","ma","ti","on","to","fr",)</f>
        <v>lø</v>
      </c>
      <c r="R5" s="219" t="s">
        <v>136</v>
      </c>
      <c r="S5" s="220" t="str">
        <f>IF(Q5="ma",(DATE(P$3,P$2,P5)-DATE(P$3,1,1)+7)/7,"")</f>
        <v/>
      </c>
      <c r="T5" s="906"/>
      <c r="U5" s="907"/>
      <c r="V5" s="908"/>
      <c r="W5" s="217">
        <f>IF(ISNUMBER(W4),W4+1,1)</f>
        <v>1</v>
      </c>
      <c r="X5" s="218" t="str">
        <f>CHOOSE(MOD(WEEKDAY(DATE(W$3,W$2,W5)),7)+1,"lø","sø","ma","ti","on","to","fr",)</f>
        <v>ti</v>
      </c>
      <c r="Y5" s="219" t="s">
        <v>241</v>
      </c>
      <c r="Z5" s="220" t="str">
        <f>IF(X5="ma",(DATE(W$3,W$2,W5)-DATE(W$3,1,1)+7)/7,"")</f>
        <v/>
      </c>
      <c r="AA5" s="906"/>
      <c r="AB5" s="907"/>
      <c r="AC5" s="908"/>
      <c r="AD5" s="217">
        <f>IF(ISNUMBER(AD4),AD4+1,1)</f>
        <v>1</v>
      </c>
      <c r="AE5" s="218" t="str">
        <f>CHOOSE(MOD(WEEKDAY(DATE(AD$3,AD$2,AD5)),7)+1,"lø","sø","ma","ti","on","to","fr",)</f>
        <v>to</v>
      </c>
      <c r="AF5" s="219" t="s">
        <v>241</v>
      </c>
      <c r="AG5" s="220" t="str">
        <f>IF(AE5="ma",(DATE(AD$3,AD$2,AD5)-DATE(AD$3,1,1)+7)/7,"")</f>
        <v/>
      </c>
      <c r="AH5" s="906"/>
      <c r="AI5" s="907"/>
      <c r="AJ5" s="908"/>
      <c r="AK5" s="217">
        <f>IF(ISNUMBER(AK4),AK4+1,1)</f>
        <v>1</v>
      </c>
      <c r="AL5" s="218" t="str">
        <f>CHOOSE(MOD(WEEKDAY(DATE(AK$3,AK$2,AK5)),7)+1,"lø","sø","ma","ti","on","to","fr",)</f>
        <v>sø</v>
      </c>
      <c r="AM5" s="219" t="s">
        <v>136</v>
      </c>
      <c r="AN5" s="220" t="str">
        <f>IF(AL5="ma",(DATE(AK$3,AK$2,AK5)-DATE(AK$3,1,1)+7)/7,"")</f>
        <v/>
      </c>
      <c r="AO5" s="909" t="s">
        <v>164</v>
      </c>
      <c r="AP5" s="910"/>
      <c r="AQ5" s="911"/>
      <c r="AR5" s="217">
        <f>IF(ISNUMBER(AR4),AR4+1,1)</f>
        <v>1</v>
      </c>
      <c r="AS5" s="218" t="str">
        <f>CHOOSE(MOD(WEEKDAY(DATE(AR$3,AR$2,AR5)),7)+1,"lø","sø","ma","ti","on","to","fr",)</f>
        <v>on</v>
      </c>
      <c r="AT5" s="219" t="s">
        <v>241</v>
      </c>
      <c r="AU5" s="220" t="str">
        <f>IF(AS5="ma",(DATE(AR$3,AR$2,AR5)-DATE(AR$3,1,1)+7)/7,"")</f>
        <v/>
      </c>
      <c r="AV5" s="906"/>
      <c r="AW5" s="907"/>
      <c r="AX5" s="908"/>
      <c r="AY5" s="217">
        <f>IF(ISNUMBER(AY4),AY4+1,1)</f>
        <v>1</v>
      </c>
      <c r="AZ5" s="218" t="str">
        <f>CHOOSE(MOD(WEEKDAY(DATE(AY$3,AY$2,AY5)),7)+1,"lø","sø","ma","ti","on","to","fr",)</f>
        <v>on</v>
      </c>
      <c r="BA5" s="219" t="s">
        <v>241</v>
      </c>
      <c r="BB5" s="220" t="str">
        <f>IF(AZ5="ma",(DATE(AY$3,AY$2,AY5)-DATE(AY$3,1,1)+7)/7,"")</f>
        <v/>
      </c>
      <c r="BC5" s="906"/>
      <c r="BD5" s="907"/>
      <c r="BE5" s="908"/>
      <c r="BF5" s="217">
        <f>IF(ISNUMBER(BF4),BF4+1,1)</f>
        <v>1</v>
      </c>
      <c r="BG5" s="218" t="str">
        <f>CHOOSE(MOD(WEEKDAY(DATE(BF$3,BF$2,BF5)),7)+1,"lø","sø","ma","ti","on","to","fr",)</f>
        <v>lø</v>
      </c>
      <c r="BH5" s="219" t="s">
        <v>138</v>
      </c>
      <c r="BI5" s="220" t="str">
        <f>IF(BG5="ma",(DATE(BF$3,BF$2,BF5)-DATE(BF$3,1,1)+7)/7,"")</f>
        <v/>
      </c>
      <c r="BJ5" s="906"/>
      <c r="BK5" s="907"/>
      <c r="BL5" s="908"/>
      <c r="BM5" s="217">
        <f>IF(ISNUMBER(BM4),BM4+1,1)</f>
        <v>1</v>
      </c>
      <c r="BN5" s="218" t="str">
        <f>CHOOSE(MOD(WEEKDAY(DATE(BM$3,BM$2,BM5)),7)+1,"lø","sø","ma","ti","on","to","fr",)</f>
        <v>ma</v>
      </c>
      <c r="BO5" s="219" t="s">
        <v>241</v>
      </c>
      <c r="BP5" s="220">
        <f>IF(BN5="ma",(DATE(BM$3,BM$2,BM5)-DATE(BM$3,1,1)+7)/7,"")</f>
        <v>18.142857142857142</v>
      </c>
      <c r="BQ5" s="906"/>
      <c r="BR5" s="907"/>
      <c r="BS5" s="908"/>
      <c r="BT5" s="217">
        <f>IF(ISNUMBER(BT4),BT4+1,1)</f>
        <v>1</v>
      </c>
      <c r="BU5" s="218" t="str">
        <f>CHOOSE(MOD(WEEKDAY(DATE(BT$3,BT$2,BT5)),7)+1,"lø","sø","ma","ti","on","to","fr",)</f>
        <v>to</v>
      </c>
      <c r="BV5" s="219" t="s">
        <v>241</v>
      </c>
      <c r="BW5" s="220" t="str">
        <f>IF(BU5="ma",(DATE(BT$3,BT$2,BT5)-DATE(BT$3,1,1)+7)/7,"")</f>
        <v/>
      </c>
      <c r="BX5" s="906"/>
      <c r="BY5" s="907"/>
      <c r="BZ5" s="908"/>
      <c r="CA5" s="217">
        <f>IF(ISNUMBER(CA4),CA4+1,1)</f>
        <v>1</v>
      </c>
      <c r="CB5" s="218" t="str">
        <f>CHOOSE(MOD(WEEKDAY(DATE(CA$3,CA$2,CA5)),7)+1,"lø","sø","ma","ti","on","to","fr",)</f>
        <v>lø</v>
      </c>
      <c r="CC5" s="219" t="s">
        <v>138</v>
      </c>
      <c r="CD5" s="220" t="str">
        <f>IF(CB5="ma",(DATE(CA$3,CA$2,CA5)-DATE(CA$3,1,1)+7)/7,"")</f>
        <v/>
      </c>
      <c r="CE5" s="912"/>
      <c r="CF5" s="913"/>
      <c r="CG5" s="914"/>
      <c r="CH5" s="239"/>
      <c r="CI5" s="241"/>
      <c r="CJ5" s="126"/>
      <c r="CK5" s="126"/>
      <c r="CL5" s="126"/>
    </row>
    <row r="6" spans="1:90" ht="18" customHeight="1">
      <c r="A6" s="935" t="s">
        <v>215</v>
      </c>
      <c r="B6" s="217">
        <f t="shared" ref="B6:B34" si="0">IF(ISNUMBER(B5),B5+1,1)</f>
        <v>2</v>
      </c>
      <c r="C6" s="218" t="str">
        <f t="shared" ref="C6:C34" si="1">CHOOSE(MOD(WEEKDAY(DATE(B$3,B$2,B6)),7)+1,"lø","sø","ma","ti","on","to","fr",)</f>
        <v>ti</v>
      </c>
      <c r="D6" s="219" t="s">
        <v>245</v>
      </c>
      <c r="E6" s="220" t="str">
        <f t="shared" ref="E6:E34" si="2">IF(C6="ma",(DATE(B$3,B$2,B6)-DATE(B$3,1,1)+7)/7,"")</f>
        <v/>
      </c>
      <c r="F6" s="906" t="s">
        <v>121</v>
      </c>
      <c r="G6" s="907"/>
      <c r="H6" s="908"/>
      <c r="I6" s="217">
        <f t="shared" ref="I6:I34" si="3">IF(ISNUMBER(I5),I5+1,1)</f>
        <v>2</v>
      </c>
      <c r="J6" s="218" t="str">
        <f t="shared" ref="J6:J34" si="4">CHOOSE(MOD(WEEKDAY(DATE(I$3,I$2,I6)),7)+1,"lø","sø","ma","ti","on","to","fr",)</f>
        <v>fr</v>
      </c>
      <c r="K6" s="219" t="s">
        <v>241</v>
      </c>
      <c r="L6" s="220" t="str">
        <f t="shared" ref="L6:L34" si="5">IF(J6="ma",(DATE(I$3,I$2,I6)-DATE(I$3,1,1)+7)/7,"")</f>
        <v/>
      </c>
      <c r="M6" s="906"/>
      <c r="N6" s="907"/>
      <c r="O6" s="908"/>
      <c r="P6" s="217">
        <f t="shared" ref="P6:P34" si="6">IF(ISNUMBER(P5),P5+1,1)</f>
        <v>2</v>
      </c>
      <c r="Q6" s="218" t="str">
        <f t="shared" ref="Q6:Q34" si="7">CHOOSE(MOD(WEEKDAY(DATE(P$3,P$2,P6)),7)+1,"lø","sø","ma","ti","on","to","fr",)</f>
        <v>sø</v>
      </c>
      <c r="R6" s="219" t="s">
        <v>136</v>
      </c>
      <c r="S6" s="220" t="str">
        <f t="shared" ref="S6:S34" si="8">IF(Q6="ma",(DATE(P$3,P$2,P6)-DATE(P$3,1,1)+7)/7,"")</f>
        <v/>
      </c>
      <c r="T6" s="906"/>
      <c r="U6" s="907"/>
      <c r="V6" s="908"/>
      <c r="W6" s="217">
        <f t="shared" ref="W6:W34" si="9">IF(ISNUMBER(W5),W5+1,1)</f>
        <v>2</v>
      </c>
      <c r="X6" s="218" t="str">
        <f t="shared" ref="X6:X34" si="10">CHOOSE(MOD(WEEKDAY(DATE(W$3,W$2,W6)),7)+1,"lø","sø","ma","ti","on","to","fr",)</f>
        <v>on</v>
      </c>
      <c r="Y6" s="219" t="s">
        <v>241</v>
      </c>
      <c r="Z6" s="220" t="str">
        <f t="shared" ref="Z6:Z34" si="11">IF(X6="ma",(DATE(W$3,W$2,W6)-DATE(W$3,1,1)+7)/7,"")</f>
        <v/>
      </c>
      <c r="AA6" s="906"/>
      <c r="AB6" s="907"/>
      <c r="AC6" s="908"/>
      <c r="AD6" s="217">
        <f t="shared" ref="AD6:AD34" si="12">IF(ISNUMBER(AD5),AD5+1,1)</f>
        <v>2</v>
      </c>
      <c r="AE6" s="218" t="str">
        <f t="shared" ref="AE6:AE34" si="13">CHOOSE(MOD(WEEKDAY(DATE(AD$3,AD$2,AD6)),7)+1,"lø","sø","ma","ti","on","to","fr",)</f>
        <v>fr</v>
      </c>
      <c r="AF6" s="219" t="s">
        <v>241</v>
      </c>
      <c r="AG6" s="220" t="str">
        <f t="shared" ref="AG6:AG33" si="14">IF(AE6="ma",(DATE(AD$3,AD$2,AD6)-DATE(AD$3,1,1)+7)/7,"")</f>
        <v/>
      </c>
      <c r="AH6" s="906"/>
      <c r="AI6" s="907"/>
      <c r="AJ6" s="908"/>
      <c r="AK6" s="217">
        <f t="shared" ref="AK6:AK34" si="15">IF(ISNUMBER(AK5),AK5+1,1)</f>
        <v>2</v>
      </c>
      <c r="AL6" s="218" t="str">
        <f t="shared" ref="AL6:AL34" si="16">CHOOSE(MOD(WEEKDAY(DATE(AK$3,AK$2,AK6)),7)+1,"lø","sø","ma","ti","on","to","fr",)</f>
        <v>ma</v>
      </c>
      <c r="AM6" s="219" t="s">
        <v>147</v>
      </c>
      <c r="AN6" s="220">
        <f t="shared" ref="AN6:AN34" si="17">IF(AL6="ma",(DATE(AK$3,AK$2,AK6)-DATE(AK$3,1,1)+7)/7,"")</f>
        <v>1.1428571428571428</v>
      </c>
      <c r="AO6" s="909"/>
      <c r="AP6" s="910"/>
      <c r="AQ6" s="911"/>
      <c r="AR6" s="217">
        <f t="shared" ref="AR6:AR32" si="18">IF(ISNUMBER(AR5),AR5+1,1)</f>
        <v>2</v>
      </c>
      <c r="AS6" s="218" t="str">
        <f t="shared" ref="AS6:AS32" si="19">CHOOSE(MOD(WEEKDAY(DATE(AR$3,AR$2,AR6)),7)+1,"lø","sø","ma","ti","on","to","fr",)</f>
        <v>to</v>
      </c>
      <c r="AT6" s="219" t="s">
        <v>241</v>
      </c>
      <c r="AU6" s="220" t="str">
        <f t="shared" ref="AU6:AU32" si="20">IF(AS6="ma",(DATE(AR$3,AR$2,AR6)-DATE(AR$3,1,1)+7)/7,"")</f>
        <v/>
      </c>
      <c r="AV6" s="906"/>
      <c r="AW6" s="907"/>
      <c r="AX6" s="908"/>
      <c r="AY6" s="217">
        <f t="shared" ref="AY6:AY34" si="21">IF(ISNUMBER(AY5),AY5+1,1)</f>
        <v>2</v>
      </c>
      <c r="AZ6" s="218" t="str">
        <f t="shared" ref="AZ6:AZ34" si="22">CHOOSE(MOD(WEEKDAY(DATE(AY$3,AY$2,AY6)),7)+1,"lø","sø","ma","ti","on","to","fr",)</f>
        <v>to</v>
      </c>
      <c r="BA6" s="219" t="s">
        <v>241</v>
      </c>
      <c r="BB6" s="220" t="str">
        <f t="shared" ref="BB6:BB34" si="23">IF(AZ6="ma",(DATE(AY$3,AY$2,AY6)-DATE(AY$3,1,1)+7)/7,"")</f>
        <v/>
      </c>
      <c r="BC6" s="906"/>
      <c r="BD6" s="907"/>
      <c r="BE6" s="908"/>
      <c r="BF6" s="217">
        <f t="shared" ref="BF6:BF34" si="24">IF(ISNUMBER(BF5),BF5+1,1)</f>
        <v>2</v>
      </c>
      <c r="BG6" s="218" t="str">
        <f t="shared" ref="BG6:BG34" si="25">CHOOSE(MOD(WEEKDAY(DATE(BF$3,BF$2,BF6)),7)+1,"lø","sø","ma","ti","on","to","fr",)</f>
        <v>sø</v>
      </c>
      <c r="BH6" s="219" t="s">
        <v>138</v>
      </c>
      <c r="BI6" s="220" t="str">
        <f t="shared" ref="BI6:BI34" si="26">IF(BG6="ma",(DATE(BF$3,BF$2,BF6)-DATE(BF$3,1,1)+7)/7,"")</f>
        <v/>
      </c>
      <c r="BJ6" s="906" t="s">
        <v>208</v>
      </c>
      <c r="BK6" s="907"/>
      <c r="BL6" s="908"/>
      <c r="BM6" s="217">
        <f t="shared" ref="BM6:BM34" si="27">IF(ISNUMBER(BM5),BM5+1,1)</f>
        <v>2</v>
      </c>
      <c r="BN6" s="218" t="str">
        <f t="shared" ref="BN6:BN34" si="28">CHOOSE(MOD(WEEKDAY(DATE(BM$3,BM$2,BM6)),7)+1,"lø","sø","ma","ti","on","to","fr",)</f>
        <v>ti</v>
      </c>
      <c r="BO6" s="219" t="s">
        <v>241</v>
      </c>
      <c r="BP6" s="220" t="str">
        <f t="shared" ref="BP6:BP34" si="29">IF(BN6="ma",(DATE(BM$3,BM$2,BM6)-DATE(BM$3,1,1)+7)/7,"")</f>
        <v/>
      </c>
      <c r="BQ6" s="906"/>
      <c r="BR6" s="907"/>
      <c r="BS6" s="908"/>
      <c r="BT6" s="217">
        <f t="shared" ref="BT6:BT34" si="30">IF(ISNUMBER(BT5),BT5+1,1)</f>
        <v>2</v>
      </c>
      <c r="BU6" s="218" t="str">
        <f t="shared" ref="BU6:BU34" si="31">CHOOSE(MOD(WEEKDAY(DATE(BT$3,BT$2,BT6)),7)+1,"lø","sø","ma","ti","on","to","fr",)</f>
        <v>fr</v>
      </c>
      <c r="BV6" s="219" t="s">
        <v>241</v>
      </c>
      <c r="BW6" s="220" t="str">
        <f t="shared" ref="BW6:BW34" si="32">IF(BU6="ma",(DATE(BT$3,BT$2,BT6)-DATE(BT$3,1,1)+7)/7,"")</f>
        <v/>
      </c>
      <c r="BX6" s="906"/>
      <c r="BY6" s="907"/>
      <c r="BZ6" s="908"/>
      <c r="CA6" s="217">
        <f t="shared" ref="CA6:CA34" si="33">IF(ISNUMBER(CA5),CA5+1,1)</f>
        <v>2</v>
      </c>
      <c r="CB6" s="218" t="str">
        <f t="shared" ref="CB6:CB34" si="34">CHOOSE(MOD(WEEKDAY(DATE(CA$3,CA$2,CA6)),7)+1,"lø","sø","ma","ti","on","to","fr",)</f>
        <v>sø</v>
      </c>
      <c r="CC6" s="219" t="s">
        <v>136</v>
      </c>
      <c r="CD6" s="220" t="str">
        <f>IF(CB6="ma",(DATE(CA$3,CA$2,CA6)-DATE(CA$3,1,1)+7)/7,"")</f>
        <v/>
      </c>
      <c r="CE6" s="912"/>
      <c r="CF6" s="913"/>
      <c r="CG6" s="914"/>
      <c r="CH6" s="239"/>
      <c r="CI6" s="241"/>
      <c r="CJ6" s="126"/>
      <c r="CK6" s="126"/>
      <c r="CL6" s="126"/>
    </row>
    <row r="7" spans="1:90" ht="18" customHeight="1">
      <c r="A7" s="935"/>
      <c r="B7" s="217">
        <f t="shared" si="0"/>
        <v>3</v>
      </c>
      <c r="C7" s="218" t="str">
        <f t="shared" si="1"/>
        <v>on</v>
      </c>
      <c r="D7" s="219" t="s">
        <v>147</v>
      </c>
      <c r="E7" s="220" t="str">
        <f t="shared" si="2"/>
        <v/>
      </c>
      <c r="F7" s="906"/>
      <c r="G7" s="907"/>
      <c r="H7" s="908"/>
      <c r="I7" s="217">
        <f t="shared" si="3"/>
        <v>3</v>
      </c>
      <c r="J7" s="218" t="str">
        <f t="shared" si="4"/>
        <v>lø</v>
      </c>
      <c r="K7" s="219" t="s">
        <v>138</v>
      </c>
      <c r="L7" s="220" t="str">
        <f t="shared" si="5"/>
        <v/>
      </c>
      <c r="M7" s="906"/>
      <c r="N7" s="907"/>
      <c r="O7" s="908"/>
      <c r="P7" s="217">
        <f t="shared" si="6"/>
        <v>3</v>
      </c>
      <c r="Q7" s="218" t="str">
        <f t="shared" si="7"/>
        <v>ma</v>
      </c>
      <c r="R7" s="219" t="s">
        <v>241</v>
      </c>
      <c r="S7" s="220">
        <f t="shared" si="8"/>
        <v>40.285714285714285</v>
      </c>
      <c r="T7" s="906"/>
      <c r="U7" s="907"/>
      <c r="V7" s="908"/>
      <c r="W7" s="217">
        <f t="shared" si="9"/>
        <v>3</v>
      </c>
      <c r="X7" s="218" t="str">
        <f t="shared" si="10"/>
        <v>to</v>
      </c>
      <c r="Y7" s="219" t="s">
        <v>241</v>
      </c>
      <c r="Z7" s="220" t="str">
        <f t="shared" si="11"/>
        <v/>
      </c>
      <c r="AA7" s="906"/>
      <c r="AB7" s="907"/>
      <c r="AC7" s="908"/>
      <c r="AD7" s="217">
        <f t="shared" si="12"/>
        <v>3</v>
      </c>
      <c r="AE7" s="218" t="str">
        <f t="shared" si="13"/>
        <v>lø</v>
      </c>
      <c r="AF7" s="219" t="s">
        <v>138</v>
      </c>
      <c r="AG7" s="220" t="str">
        <f t="shared" si="14"/>
        <v/>
      </c>
      <c r="AH7" s="906"/>
      <c r="AI7" s="907"/>
      <c r="AJ7" s="908"/>
      <c r="AK7" s="217">
        <f t="shared" si="15"/>
        <v>3</v>
      </c>
      <c r="AL7" s="218" t="str">
        <f t="shared" si="16"/>
        <v>ti</v>
      </c>
      <c r="AM7" s="219" t="s">
        <v>147</v>
      </c>
      <c r="AN7" s="220" t="str">
        <f t="shared" si="17"/>
        <v/>
      </c>
      <c r="AO7" s="909"/>
      <c r="AP7" s="910"/>
      <c r="AQ7" s="911"/>
      <c r="AR7" s="217">
        <f t="shared" si="18"/>
        <v>3</v>
      </c>
      <c r="AS7" s="218" t="str">
        <f t="shared" si="19"/>
        <v>fr</v>
      </c>
      <c r="AT7" s="219" t="s">
        <v>241</v>
      </c>
      <c r="AU7" s="220" t="str">
        <f t="shared" si="20"/>
        <v/>
      </c>
      <c r="AV7" s="906"/>
      <c r="AW7" s="907"/>
      <c r="AX7" s="908"/>
      <c r="AY7" s="217">
        <f t="shared" si="21"/>
        <v>3</v>
      </c>
      <c r="AZ7" s="218" t="str">
        <f t="shared" si="22"/>
        <v>fr</v>
      </c>
      <c r="BA7" s="219" t="s">
        <v>241</v>
      </c>
      <c r="BB7" s="220" t="str">
        <f t="shared" si="23"/>
        <v/>
      </c>
      <c r="BC7" s="906"/>
      <c r="BD7" s="907"/>
      <c r="BE7" s="908"/>
      <c r="BF7" s="217">
        <f t="shared" si="24"/>
        <v>3</v>
      </c>
      <c r="BG7" s="218" t="str">
        <f t="shared" si="25"/>
        <v>ma</v>
      </c>
      <c r="BH7" s="219" t="s">
        <v>147</v>
      </c>
      <c r="BI7" s="220">
        <f t="shared" si="26"/>
        <v>14.142857142857142</v>
      </c>
      <c r="BJ7" s="906"/>
      <c r="BK7" s="907"/>
      <c r="BL7" s="908"/>
      <c r="BM7" s="217">
        <f t="shared" si="27"/>
        <v>3</v>
      </c>
      <c r="BN7" s="218" t="str">
        <f t="shared" si="28"/>
        <v>on</v>
      </c>
      <c r="BO7" s="219" t="s">
        <v>241</v>
      </c>
      <c r="BP7" s="220" t="str">
        <f t="shared" si="29"/>
        <v/>
      </c>
      <c r="BQ7" s="906"/>
      <c r="BR7" s="907"/>
      <c r="BS7" s="908"/>
      <c r="BT7" s="217">
        <f t="shared" si="30"/>
        <v>3</v>
      </c>
      <c r="BU7" s="218" t="str">
        <f t="shared" si="31"/>
        <v>lø</v>
      </c>
      <c r="BV7" s="219" t="s">
        <v>138</v>
      </c>
      <c r="BW7" s="220" t="str">
        <f t="shared" si="32"/>
        <v/>
      </c>
      <c r="BX7" s="906"/>
      <c r="BY7" s="907"/>
      <c r="BZ7" s="908"/>
      <c r="CA7" s="217">
        <f t="shared" si="33"/>
        <v>3</v>
      </c>
      <c r="CB7" s="218" t="str">
        <f t="shared" si="34"/>
        <v>ma</v>
      </c>
      <c r="CC7" s="219" t="s">
        <v>147</v>
      </c>
      <c r="CD7" s="220">
        <f t="shared" ref="CD7:CD34" si="35">IF(CB7="ma",(DATE(CA$3,CA$2,CA7)-DATE(CA$3,1,1)+7)/7,"")</f>
        <v>27.142857142857142</v>
      </c>
      <c r="CE7" s="912"/>
      <c r="CF7" s="913"/>
      <c r="CG7" s="914"/>
      <c r="CH7" s="239"/>
      <c r="CI7" s="241"/>
      <c r="CJ7" s="126"/>
      <c r="CK7" s="126"/>
      <c r="CL7" s="126"/>
    </row>
    <row r="8" spans="1:90" ht="18" customHeight="1">
      <c r="A8" s="935"/>
      <c r="B8" s="217">
        <f t="shared" si="0"/>
        <v>4</v>
      </c>
      <c r="C8" s="218" t="str">
        <f t="shared" si="1"/>
        <v>to</v>
      </c>
      <c r="D8" s="219" t="s">
        <v>147</v>
      </c>
      <c r="E8" s="220" t="str">
        <f t="shared" si="2"/>
        <v/>
      </c>
      <c r="F8" s="906"/>
      <c r="G8" s="907"/>
      <c r="H8" s="908"/>
      <c r="I8" s="217">
        <f t="shared" si="3"/>
        <v>4</v>
      </c>
      <c r="J8" s="218" t="str">
        <f t="shared" si="4"/>
        <v>sø</v>
      </c>
      <c r="K8" s="219" t="s">
        <v>138</v>
      </c>
      <c r="L8" s="220" t="str">
        <f t="shared" si="5"/>
        <v/>
      </c>
      <c r="M8" s="906"/>
      <c r="N8" s="907"/>
      <c r="O8" s="908"/>
      <c r="P8" s="217">
        <f t="shared" si="6"/>
        <v>4</v>
      </c>
      <c r="Q8" s="218" t="str">
        <f t="shared" si="7"/>
        <v>ti</v>
      </c>
      <c r="R8" s="219" t="s">
        <v>241</v>
      </c>
      <c r="S8" s="220" t="str">
        <f t="shared" si="8"/>
        <v/>
      </c>
      <c r="T8" s="906"/>
      <c r="U8" s="907"/>
      <c r="V8" s="908"/>
      <c r="W8" s="217">
        <f t="shared" si="9"/>
        <v>4</v>
      </c>
      <c r="X8" s="218" t="str">
        <f t="shared" si="10"/>
        <v>fr</v>
      </c>
      <c r="Y8" s="219" t="s">
        <v>241</v>
      </c>
      <c r="Z8" s="220" t="str">
        <f t="shared" si="11"/>
        <v/>
      </c>
      <c r="AA8" s="906"/>
      <c r="AB8" s="907"/>
      <c r="AC8" s="908"/>
      <c r="AD8" s="217">
        <f t="shared" si="12"/>
        <v>4</v>
      </c>
      <c r="AE8" s="218" t="str">
        <f t="shared" si="13"/>
        <v>sø</v>
      </c>
      <c r="AF8" s="219" t="s">
        <v>138</v>
      </c>
      <c r="AG8" s="220" t="str">
        <f t="shared" si="14"/>
        <v/>
      </c>
      <c r="AH8" s="906"/>
      <c r="AI8" s="907"/>
      <c r="AJ8" s="908"/>
      <c r="AK8" s="217">
        <f t="shared" si="15"/>
        <v>4</v>
      </c>
      <c r="AL8" s="218" t="str">
        <f t="shared" si="16"/>
        <v>on</v>
      </c>
      <c r="AM8" s="219" t="s">
        <v>241</v>
      </c>
      <c r="AN8" s="220" t="str">
        <f t="shared" si="17"/>
        <v/>
      </c>
      <c r="AO8" s="909"/>
      <c r="AP8" s="910"/>
      <c r="AQ8" s="911"/>
      <c r="AR8" s="217">
        <f t="shared" si="18"/>
        <v>4</v>
      </c>
      <c r="AS8" s="218" t="str">
        <f t="shared" si="19"/>
        <v>lø</v>
      </c>
      <c r="AT8" s="219" t="s">
        <v>138</v>
      </c>
      <c r="AU8" s="220" t="str">
        <f t="shared" si="20"/>
        <v/>
      </c>
      <c r="AV8" s="906"/>
      <c r="AW8" s="907"/>
      <c r="AX8" s="908"/>
      <c r="AY8" s="217">
        <f t="shared" si="21"/>
        <v>4</v>
      </c>
      <c r="AZ8" s="218" t="str">
        <f t="shared" si="22"/>
        <v>lø</v>
      </c>
      <c r="BA8" s="219" t="s">
        <v>138</v>
      </c>
      <c r="BB8" s="220" t="str">
        <f t="shared" si="23"/>
        <v/>
      </c>
      <c r="BC8" s="906"/>
      <c r="BD8" s="907"/>
      <c r="BE8" s="908"/>
      <c r="BF8" s="217">
        <f t="shared" si="24"/>
        <v>4</v>
      </c>
      <c r="BG8" s="218" t="str">
        <f t="shared" si="25"/>
        <v>ti</v>
      </c>
      <c r="BH8" s="219" t="s">
        <v>147</v>
      </c>
      <c r="BI8" s="220" t="str">
        <f t="shared" si="26"/>
        <v/>
      </c>
      <c r="BJ8" s="906"/>
      <c r="BK8" s="907"/>
      <c r="BL8" s="908"/>
      <c r="BM8" s="217">
        <f t="shared" si="27"/>
        <v>4</v>
      </c>
      <c r="BN8" s="218" t="str">
        <f t="shared" si="28"/>
        <v>to</v>
      </c>
      <c r="BO8" s="219" t="s">
        <v>241</v>
      </c>
      <c r="BP8" s="220" t="str">
        <f t="shared" si="29"/>
        <v/>
      </c>
      <c r="BQ8" s="906"/>
      <c r="BR8" s="907"/>
      <c r="BS8" s="908"/>
      <c r="BT8" s="217">
        <f t="shared" si="30"/>
        <v>4</v>
      </c>
      <c r="BU8" s="218" t="str">
        <f t="shared" si="31"/>
        <v>sø</v>
      </c>
      <c r="BV8" s="219" t="s">
        <v>138</v>
      </c>
      <c r="BW8" s="220" t="str">
        <f t="shared" si="32"/>
        <v/>
      </c>
      <c r="BX8" s="906"/>
      <c r="BY8" s="907"/>
      <c r="BZ8" s="908"/>
      <c r="CA8" s="217">
        <f t="shared" si="33"/>
        <v>4</v>
      </c>
      <c r="CB8" s="218" t="str">
        <f t="shared" si="34"/>
        <v>ti</v>
      </c>
      <c r="CC8" s="219" t="s">
        <v>147</v>
      </c>
      <c r="CD8" s="220" t="str">
        <f t="shared" si="35"/>
        <v/>
      </c>
      <c r="CE8" s="912"/>
      <c r="CF8" s="913"/>
      <c r="CG8" s="914"/>
      <c r="CH8" s="239"/>
      <c r="CI8" s="241"/>
      <c r="CJ8" s="126"/>
      <c r="CK8" s="126"/>
      <c r="CL8" s="126"/>
    </row>
    <row r="9" spans="1:90" ht="18" customHeight="1">
      <c r="A9" s="935"/>
      <c r="B9" s="217">
        <f t="shared" si="0"/>
        <v>5</v>
      </c>
      <c r="C9" s="218" t="str">
        <f t="shared" si="1"/>
        <v>fr</v>
      </c>
      <c r="D9" s="219" t="s">
        <v>147</v>
      </c>
      <c r="E9" s="220" t="str">
        <f t="shared" si="2"/>
        <v/>
      </c>
      <c r="F9" s="906"/>
      <c r="G9" s="907"/>
      <c r="H9" s="908"/>
      <c r="I9" s="217">
        <f t="shared" si="3"/>
        <v>5</v>
      </c>
      <c r="J9" s="218" t="str">
        <f t="shared" si="4"/>
        <v>ma</v>
      </c>
      <c r="K9" s="219" t="s">
        <v>241</v>
      </c>
      <c r="L9" s="220">
        <f t="shared" si="5"/>
        <v>36.285714285714285</v>
      </c>
      <c r="M9" s="906"/>
      <c r="N9" s="907"/>
      <c r="O9" s="908"/>
      <c r="P9" s="217">
        <f t="shared" si="6"/>
        <v>5</v>
      </c>
      <c r="Q9" s="218" t="str">
        <f t="shared" si="7"/>
        <v>on</v>
      </c>
      <c r="R9" s="219" t="s">
        <v>241</v>
      </c>
      <c r="S9" s="220" t="str">
        <f t="shared" si="8"/>
        <v/>
      </c>
      <c r="T9" s="906"/>
      <c r="U9" s="907"/>
      <c r="V9" s="908"/>
      <c r="W9" s="217">
        <f t="shared" si="9"/>
        <v>5</v>
      </c>
      <c r="X9" s="218" t="str">
        <f t="shared" si="10"/>
        <v>lø</v>
      </c>
      <c r="Y9" s="219" t="s">
        <v>138</v>
      </c>
      <c r="Z9" s="220" t="str">
        <f t="shared" si="11"/>
        <v/>
      </c>
      <c r="AA9" s="906"/>
      <c r="AB9" s="907"/>
      <c r="AC9" s="908"/>
      <c r="AD9" s="217">
        <f t="shared" si="12"/>
        <v>5</v>
      </c>
      <c r="AE9" s="218" t="str">
        <f t="shared" si="13"/>
        <v>ma</v>
      </c>
      <c r="AF9" s="219" t="s">
        <v>241</v>
      </c>
      <c r="AG9" s="220">
        <f t="shared" si="14"/>
        <v>49.285714285714285</v>
      </c>
      <c r="AH9" s="906"/>
      <c r="AI9" s="907"/>
      <c r="AJ9" s="908"/>
      <c r="AK9" s="217">
        <f t="shared" si="15"/>
        <v>5</v>
      </c>
      <c r="AL9" s="218" t="str">
        <f t="shared" si="16"/>
        <v>to</v>
      </c>
      <c r="AM9" s="219" t="s">
        <v>241</v>
      </c>
      <c r="AN9" s="220" t="str">
        <f t="shared" si="17"/>
        <v/>
      </c>
      <c r="AO9" s="909"/>
      <c r="AP9" s="910"/>
      <c r="AQ9" s="911"/>
      <c r="AR9" s="217">
        <f t="shared" si="18"/>
        <v>5</v>
      </c>
      <c r="AS9" s="218" t="str">
        <f t="shared" si="19"/>
        <v>sø</v>
      </c>
      <c r="AT9" s="219" t="s">
        <v>138</v>
      </c>
      <c r="AU9" s="220" t="str">
        <f t="shared" si="20"/>
        <v/>
      </c>
      <c r="AV9" s="906"/>
      <c r="AW9" s="907"/>
      <c r="AX9" s="908"/>
      <c r="AY9" s="217">
        <f t="shared" si="21"/>
        <v>5</v>
      </c>
      <c r="AZ9" s="218" t="str">
        <f t="shared" si="22"/>
        <v>sø</v>
      </c>
      <c r="BA9" s="219" t="s">
        <v>138</v>
      </c>
      <c r="BB9" s="220" t="str">
        <f t="shared" si="23"/>
        <v/>
      </c>
      <c r="BC9" s="906"/>
      <c r="BD9" s="907"/>
      <c r="BE9" s="908"/>
      <c r="BF9" s="217">
        <f t="shared" si="24"/>
        <v>5</v>
      </c>
      <c r="BG9" s="218" t="str">
        <f t="shared" si="25"/>
        <v>on</v>
      </c>
      <c r="BH9" s="219" t="s">
        <v>147</v>
      </c>
      <c r="BI9" s="220" t="str">
        <f t="shared" si="26"/>
        <v/>
      </c>
      <c r="BJ9" s="906"/>
      <c r="BK9" s="907"/>
      <c r="BL9" s="908"/>
      <c r="BM9" s="217">
        <f t="shared" si="27"/>
        <v>5</v>
      </c>
      <c r="BN9" s="218" t="str">
        <f t="shared" si="28"/>
        <v>fr</v>
      </c>
      <c r="BO9" s="219" t="s">
        <v>137</v>
      </c>
      <c r="BP9" s="220" t="str">
        <f t="shared" si="29"/>
        <v/>
      </c>
      <c r="BQ9" s="906" t="s">
        <v>202</v>
      </c>
      <c r="BR9" s="907"/>
      <c r="BS9" s="908"/>
      <c r="BT9" s="217">
        <f t="shared" si="30"/>
        <v>5</v>
      </c>
      <c r="BU9" s="218" t="str">
        <f t="shared" si="31"/>
        <v>ma</v>
      </c>
      <c r="BV9" s="219" t="s">
        <v>147</v>
      </c>
      <c r="BW9" s="220">
        <f t="shared" si="32"/>
        <v>23.142857142857142</v>
      </c>
      <c r="BX9" s="906" t="s">
        <v>255</v>
      </c>
      <c r="BY9" s="907"/>
      <c r="BZ9" s="908"/>
      <c r="CA9" s="217">
        <f t="shared" si="33"/>
        <v>5</v>
      </c>
      <c r="CB9" s="218" t="str">
        <f t="shared" si="34"/>
        <v>on</v>
      </c>
      <c r="CC9" s="219" t="s">
        <v>147</v>
      </c>
      <c r="CD9" s="220" t="str">
        <f t="shared" si="35"/>
        <v/>
      </c>
      <c r="CE9" s="912"/>
      <c r="CF9" s="913"/>
      <c r="CG9" s="914"/>
      <c r="CH9" s="239"/>
      <c r="CI9" s="241"/>
      <c r="CJ9" s="126"/>
      <c r="CK9" s="126"/>
      <c r="CL9" s="126"/>
    </row>
    <row r="10" spans="1:90" ht="18" customHeight="1">
      <c r="A10" s="935"/>
      <c r="B10" s="217">
        <f t="shared" si="0"/>
        <v>6</v>
      </c>
      <c r="C10" s="218" t="str">
        <f t="shared" si="1"/>
        <v>lø</v>
      </c>
      <c r="D10" s="219" t="s">
        <v>138</v>
      </c>
      <c r="E10" s="220" t="str">
        <f t="shared" si="2"/>
        <v/>
      </c>
      <c r="F10" s="906"/>
      <c r="G10" s="907"/>
      <c r="H10" s="908"/>
      <c r="I10" s="217">
        <f t="shared" si="3"/>
        <v>6</v>
      </c>
      <c r="J10" s="218" t="str">
        <f t="shared" si="4"/>
        <v>ti</v>
      </c>
      <c r="K10" s="219" t="s">
        <v>241</v>
      </c>
      <c r="L10" s="220" t="str">
        <f t="shared" si="5"/>
        <v/>
      </c>
      <c r="M10" s="906"/>
      <c r="N10" s="907"/>
      <c r="O10" s="908"/>
      <c r="P10" s="217">
        <f t="shared" si="6"/>
        <v>6</v>
      </c>
      <c r="Q10" s="218" t="str">
        <f t="shared" si="7"/>
        <v>to</v>
      </c>
      <c r="R10" s="219" t="s">
        <v>241</v>
      </c>
      <c r="S10" s="220" t="str">
        <f t="shared" si="8"/>
        <v/>
      </c>
      <c r="T10" s="906"/>
      <c r="U10" s="907"/>
      <c r="V10" s="908"/>
      <c r="W10" s="217">
        <f t="shared" si="9"/>
        <v>6</v>
      </c>
      <c r="X10" s="218" t="str">
        <f t="shared" si="10"/>
        <v>sø</v>
      </c>
      <c r="Y10" s="219" t="s">
        <v>138</v>
      </c>
      <c r="Z10" s="220" t="str">
        <f t="shared" si="11"/>
        <v/>
      </c>
      <c r="AA10" s="906"/>
      <c r="AB10" s="907"/>
      <c r="AC10" s="908"/>
      <c r="AD10" s="217">
        <f t="shared" si="12"/>
        <v>6</v>
      </c>
      <c r="AE10" s="218" t="str">
        <f t="shared" si="13"/>
        <v>ti</v>
      </c>
      <c r="AF10" s="219" t="s">
        <v>241</v>
      </c>
      <c r="AG10" s="220" t="str">
        <f t="shared" si="14"/>
        <v/>
      </c>
      <c r="AH10" s="906"/>
      <c r="AI10" s="907"/>
      <c r="AJ10" s="908"/>
      <c r="AK10" s="217">
        <f t="shared" si="15"/>
        <v>6</v>
      </c>
      <c r="AL10" s="218" t="str">
        <f t="shared" si="16"/>
        <v>fr</v>
      </c>
      <c r="AM10" s="219" t="s">
        <v>241</v>
      </c>
      <c r="AN10" s="220" t="str">
        <f t="shared" si="17"/>
        <v/>
      </c>
      <c r="AO10" s="909"/>
      <c r="AP10" s="910"/>
      <c r="AQ10" s="911"/>
      <c r="AR10" s="217">
        <f t="shared" si="18"/>
        <v>6</v>
      </c>
      <c r="AS10" s="218" t="str">
        <f t="shared" si="19"/>
        <v>ma</v>
      </c>
      <c r="AT10" s="219" t="s">
        <v>241</v>
      </c>
      <c r="AU10" s="220">
        <f t="shared" si="20"/>
        <v>6.1428571428571432</v>
      </c>
      <c r="AV10" s="906"/>
      <c r="AW10" s="907"/>
      <c r="AX10" s="908"/>
      <c r="AY10" s="217">
        <f t="shared" si="21"/>
        <v>6</v>
      </c>
      <c r="AZ10" s="218" t="str">
        <f t="shared" si="22"/>
        <v>ma</v>
      </c>
      <c r="BA10" s="219" t="s">
        <v>241</v>
      </c>
      <c r="BB10" s="220">
        <f t="shared" si="23"/>
        <v>10.142857142857142</v>
      </c>
      <c r="BC10" s="906"/>
      <c r="BD10" s="907"/>
      <c r="BE10" s="908"/>
      <c r="BF10" s="217">
        <f t="shared" si="24"/>
        <v>6</v>
      </c>
      <c r="BG10" s="218" t="str">
        <f t="shared" si="25"/>
        <v>to</v>
      </c>
      <c r="BH10" s="219" t="s">
        <v>137</v>
      </c>
      <c r="BI10" s="220" t="str">
        <f t="shared" si="26"/>
        <v/>
      </c>
      <c r="BJ10" s="906" t="s">
        <v>110</v>
      </c>
      <c r="BK10" s="907"/>
      <c r="BL10" s="908"/>
      <c r="BM10" s="217">
        <f t="shared" si="27"/>
        <v>6</v>
      </c>
      <c r="BN10" s="218" t="str">
        <f t="shared" si="28"/>
        <v>lø</v>
      </c>
      <c r="BO10" s="219" t="s">
        <v>136</v>
      </c>
      <c r="BP10" s="220" t="str">
        <f t="shared" si="29"/>
        <v/>
      </c>
      <c r="BQ10" s="906"/>
      <c r="BR10" s="907"/>
      <c r="BS10" s="908"/>
      <c r="BT10" s="217">
        <f t="shared" si="30"/>
        <v>6</v>
      </c>
      <c r="BU10" s="218" t="str">
        <f t="shared" si="31"/>
        <v>ti</v>
      </c>
      <c r="BV10" s="219" t="s">
        <v>241</v>
      </c>
      <c r="BW10" s="220" t="str">
        <f t="shared" si="32"/>
        <v/>
      </c>
      <c r="BX10" s="906"/>
      <c r="BY10" s="907"/>
      <c r="BZ10" s="908"/>
      <c r="CA10" s="217">
        <f t="shared" si="33"/>
        <v>6</v>
      </c>
      <c r="CB10" s="218" t="str">
        <f t="shared" si="34"/>
        <v>to</v>
      </c>
      <c r="CC10" s="219" t="s">
        <v>118</v>
      </c>
      <c r="CD10" s="220" t="str">
        <f t="shared" si="35"/>
        <v/>
      </c>
      <c r="CE10" s="912" t="s">
        <v>121</v>
      </c>
      <c r="CF10" s="913"/>
      <c r="CG10" s="914"/>
      <c r="CH10" s="239"/>
      <c r="CI10" s="241"/>
      <c r="CJ10" s="126"/>
      <c r="CK10" s="126"/>
      <c r="CL10" s="126"/>
    </row>
    <row r="11" spans="1:90" ht="18" customHeight="1">
      <c r="A11" s="935"/>
      <c r="B11" s="217">
        <f t="shared" si="0"/>
        <v>7</v>
      </c>
      <c r="C11" s="218" t="str">
        <f t="shared" si="1"/>
        <v>sø</v>
      </c>
      <c r="D11" s="219" t="s">
        <v>138</v>
      </c>
      <c r="E11" s="220" t="str">
        <f t="shared" si="2"/>
        <v/>
      </c>
      <c r="F11" s="906"/>
      <c r="G11" s="907"/>
      <c r="H11" s="908"/>
      <c r="I11" s="217">
        <f t="shared" si="3"/>
        <v>7</v>
      </c>
      <c r="J11" s="218" t="str">
        <f t="shared" si="4"/>
        <v>on</v>
      </c>
      <c r="K11" s="219" t="s">
        <v>241</v>
      </c>
      <c r="L11" s="220" t="str">
        <f t="shared" si="5"/>
        <v/>
      </c>
      <c r="M11" s="906"/>
      <c r="N11" s="907"/>
      <c r="O11" s="908"/>
      <c r="P11" s="217">
        <f t="shared" si="6"/>
        <v>7</v>
      </c>
      <c r="Q11" s="218" t="str">
        <f t="shared" si="7"/>
        <v>fr</v>
      </c>
      <c r="R11" s="219" t="s">
        <v>241</v>
      </c>
      <c r="S11" s="220" t="str">
        <f t="shared" si="8"/>
        <v/>
      </c>
      <c r="T11" s="906"/>
      <c r="U11" s="907"/>
      <c r="V11" s="908"/>
      <c r="W11" s="217">
        <f t="shared" si="9"/>
        <v>7</v>
      </c>
      <c r="X11" s="218" t="str">
        <f t="shared" si="10"/>
        <v>ma</v>
      </c>
      <c r="Y11" s="219" t="s">
        <v>241</v>
      </c>
      <c r="Z11" s="220">
        <f t="shared" si="11"/>
        <v>45.285714285714285</v>
      </c>
      <c r="AA11" s="906"/>
      <c r="AB11" s="907"/>
      <c r="AC11" s="908"/>
      <c r="AD11" s="217">
        <f t="shared" si="12"/>
        <v>7</v>
      </c>
      <c r="AE11" s="218" t="str">
        <f t="shared" si="13"/>
        <v>on</v>
      </c>
      <c r="AF11" s="219" t="s">
        <v>241</v>
      </c>
      <c r="AG11" s="220" t="str">
        <f t="shared" si="14"/>
        <v/>
      </c>
      <c r="AH11" s="906"/>
      <c r="AI11" s="907"/>
      <c r="AJ11" s="908"/>
      <c r="AK11" s="217">
        <f t="shared" si="15"/>
        <v>7</v>
      </c>
      <c r="AL11" s="218" t="str">
        <f t="shared" si="16"/>
        <v>lø</v>
      </c>
      <c r="AM11" s="219" t="s">
        <v>136</v>
      </c>
      <c r="AN11" s="220" t="str">
        <f t="shared" si="17"/>
        <v/>
      </c>
      <c r="AO11" s="909"/>
      <c r="AP11" s="910"/>
      <c r="AQ11" s="911"/>
      <c r="AR11" s="217">
        <f t="shared" si="18"/>
        <v>7</v>
      </c>
      <c r="AS11" s="218" t="str">
        <f t="shared" si="19"/>
        <v>ti</v>
      </c>
      <c r="AT11" s="219" t="s">
        <v>241</v>
      </c>
      <c r="AU11" s="220" t="str">
        <f t="shared" si="20"/>
        <v/>
      </c>
      <c r="AV11" s="906"/>
      <c r="AW11" s="907"/>
      <c r="AX11" s="908"/>
      <c r="AY11" s="217">
        <f t="shared" si="21"/>
        <v>7</v>
      </c>
      <c r="AZ11" s="218" t="str">
        <f t="shared" si="22"/>
        <v>ti</v>
      </c>
      <c r="BA11" s="219" t="s">
        <v>241</v>
      </c>
      <c r="BB11" s="220" t="str">
        <f t="shared" si="23"/>
        <v/>
      </c>
      <c r="BC11" s="906"/>
      <c r="BD11" s="907"/>
      <c r="BE11" s="908"/>
      <c r="BF11" s="217">
        <f t="shared" si="24"/>
        <v>7</v>
      </c>
      <c r="BG11" s="218" t="str">
        <f t="shared" si="25"/>
        <v>fr</v>
      </c>
      <c r="BH11" s="219" t="s">
        <v>137</v>
      </c>
      <c r="BI11" s="220" t="str">
        <f t="shared" si="26"/>
        <v/>
      </c>
      <c r="BJ11" s="906" t="s">
        <v>193</v>
      </c>
      <c r="BK11" s="907"/>
      <c r="BL11" s="908"/>
      <c r="BM11" s="217">
        <f t="shared" si="27"/>
        <v>7</v>
      </c>
      <c r="BN11" s="218" t="str">
        <f t="shared" si="28"/>
        <v>sø</v>
      </c>
      <c r="BO11" s="219" t="s">
        <v>136</v>
      </c>
      <c r="BP11" s="220" t="str">
        <f t="shared" si="29"/>
        <v/>
      </c>
      <c r="BQ11" s="906"/>
      <c r="BR11" s="907"/>
      <c r="BS11" s="908"/>
      <c r="BT11" s="217">
        <f t="shared" si="30"/>
        <v>7</v>
      </c>
      <c r="BU11" s="218" t="str">
        <f t="shared" si="31"/>
        <v>on</v>
      </c>
      <c r="BV11" s="219" t="s">
        <v>241</v>
      </c>
      <c r="BW11" s="220" t="str">
        <f t="shared" si="32"/>
        <v/>
      </c>
      <c r="BX11" s="906"/>
      <c r="BY11" s="907"/>
      <c r="BZ11" s="908"/>
      <c r="CA11" s="217">
        <f t="shared" si="33"/>
        <v>7</v>
      </c>
      <c r="CB11" s="218" t="str">
        <f t="shared" si="34"/>
        <v>fr</v>
      </c>
      <c r="CC11" s="219" t="s">
        <v>118</v>
      </c>
      <c r="CD11" s="220" t="str">
        <f t="shared" si="35"/>
        <v/>
      </c>
      <c r="CE11" s="912" t="s">
        <v>121</v>
      </c>
      <c r="CF11" s="913"/>
      <c r="CG11" s="914"/>
      <c r="CH11" s="239"/>
      <c r="CI11" s="241"/>
      <c r="CJ11" s="126"/>
      <c r="CK11" s="126"/>
      <c r="CL11" s="366" t="s">
        <v>201</v>
      </c>
    </row>
    <row r="12" spans="1:90" ht="18" customHeight="1">
      <c r="A12" s="935"/>
      <c r="B12" s="217">
        <f t="shared" si="0"/>
        <v>8</v>
      </c>
      <c r="C12" s="218" t="str">
        <f t="shared" si="1"/>
        <v>ma</v>
      </c>
      <c r="D12" s="219" t="s">
        <v>241</v>
      </c>
      <c r="E12" s="220">
        <f t="shared" si="2"/>
        <v>32.285714285714285</v>
      </c>
      <c r="F12" s="906"/>
      <c r="G12" s="907"/>
      <c r="H12" s="908"/>
      <c r="I12" s="217">
        <f t="shared" si="3"/>
        <v>8</v>
      </c>
      <c r="J12" s="218" t="str">
        <f t="shared" si="4"/>
        <v>to</v>
      </c>
      <c r="K12" s="219" t="s">
        <v>241</v>
      </c>
      <c r="L12" s="220" t="str">
        <f t="shared" si="5"/>
        <v/>
      </c>
      <c r="M12" s="906"/>
      <c r="N12" s="907"/>
      <c r="O12" s="908"/>
      <c r="P12" s="217">
        <f t="shared" si="6"/>
        <v>8</v>
      </c>
      <c r="Q12" s="218" t="str">
        <f t="shared" si="7"/>
        <v>lø</v>
      </c>
      <c r="R12" s="219" t="s">
        <v>138</v>
      </c>
      <c r="S12" s="220" t="str">
        <f t="shared" si="8"/>
        <v/>
      </c>
      <c r="T12" s="906"/>
      <c r="U12" s="907"/>
      <c r="V12" s="908"/>
      <c r="W12" s="217">
        <f t="shared" si="9"/>
        <v>8</v>
      </c>
      <c r="X12" s="218" t="str">
        <f t="shared" si="10"/>
        <v>ti</v>
      </c>
      <c r="Y12" s="219" t="s">
        <v>241</v>
      </c>
      <c r="Z12" s="220" t="str">
        <f t="shared" si="11"/>
        <v/>
      </c>
      <c r="AA12" s="906"/>
      <c r="AB12" s="907"/>
      <c r="AC12" s="908"/>
      <c r="AD12" s="217">
        <f t="shared" si="12"/>
        <v>8</v>
      </c>
      <c r="AE12" s="218" t="str">
        <f t="shared" si="13"/>
        <v>to</v>
      </c>
      <c r="AF12" s="219" t="s">
        <v>241</v>
      </c>
      <c r="AG12" s="220" t="str">
        <f t="shared" si="14"/>
        <v/>
      </c>
      <c r="AH12" s="906"/>
      <c r="AI12" s="907"/>
      <c r="AJ12" s="908"/>
      <c r="AK12" s="217">
        <f t="shared" si="15"/>
        <v>8</v>
      </c>
      <c r="AL12" s="218" t="str">
        <f t="shared" si="16"/>
        <v>sø</v>
      </c>
      <c r="AM12" s="219" t="s">
        <v>136</v>
      </c>
      <c r="AN12" s="220" t="str">
        <f t="shared" si="17"/>
        <v/>
      </c>
      <c r="AO12" s="909"/>
      <c r="AP12" s="910"/>
      <c r="AQ12" s="911"/>
      <c r="AR12" s="217">
        <f t="shared" si="18"/>
        <v>8</v>
      </c>
      <c r="AS12" s="218" t="str">
        <f t="shared" si="19"/>
        <v>on</v>
      </c>
      <c r="AT12" s="219" t="s">
        <v>241</v>
      </c>
      <c r="AU12" s="220" t="str">
        <f t="shared" si="20"/>
        <v/>
      </c>
      <c r="AV12" s="906"/>
      <c r="AW12" s="907"/>
      <c r="AX12" s="908"/>
      <c r="AY12" s="217">
        <f t="shared" si="21"/>
        <v>8</v>
      </c>
      <c r="AZ12" s="218" t="str">
        <f t="shared" si="22"/>
        <v>on</v>
      </c>
      <c r="BA12" s="219" t="s">
        <v>241</v>
      </c>
      <c r="BB12" s="220" t="str">
        <f t="shared" si="23"/>
        <v/>
      </c>
      <c r="BC12" s="906"/>
      <c r="BD12" s="907"/>
      <c r="BE12" s="908"/>
      <c r="BF12" s="217">
        <f t="shared" si="24"/>
        <v>8</v>
      </c>
      <c r="BG12" s="218" t="str">
        <f t="shared" si="25"/>
        <v>lø</v>
      </c>
      <c r="BH12" s="219" t="s">
        <v>138</v>
      </c>
      <c r="BI12" s="220" t="str">
        <f t="shared" si="26"/>
        <v/>
      </c>
      <c r="BJ12" s="906"/>
      <c r="BK12" s="907"/>
      <c r="BL12" s="908"/>
      <c r="BM12" s="217">
        <f t="shared" si="27"/>
        <v>8</v>
      </c>
      <c r="BN12" s="218" t="str">
        <f t="shared" si="28"/>
        <v>ma</v>
      </c>
      <c r="BO12" s="219" t="s">
        <v>241</v>
      </c>
      <c r="BP12" s="220">
        <f t="shared" si="29"/>
        <v>19.142857142857142</v>
      </c>
      <c r="BQ12" s="906"/>
      <c r="BR12" s="907"/>
      <c r="BS12" s="908"/>
      <c r="BT12" s="217">
        <f t="shared" si="30"/>
        <v>8</v>
      </c>
      <c r="BU12" s="218" t="str">
        <f t="shared" si="31"/>
        <v>to</v>
      </c>
      <c r="BV12" s="219" t="s">
        <v>241</v>
      </c>
      <c r="BW12" s="220" t="str">
        <f t="shared" si="32"/>
        <v/>
      </c>
      <c r="BX12" s="906"/>
      <c r="BY12" s="907"/>
      <c r="BZ12" s="908"/>
      <c r="CA12" s="217">
        <f t="shared" si="33"/>
        <v>8</v>
      </c>
      <c r="CB12" s="218" t="str">
        <f t="shared" si="34"/>
        <v>lø</v>
      </c>
      <c r="CC12" s="219" t="s">
        <v>138</v>
      </c>
      <c r="CD12" s="220" t="str">
        <f t="shared" si="35"/>
        <v/>
      </c>
      <c r="CE12" s="912"/>
      <c r="CF12" s="913"/>
      <c r="CG12" s="914"/>
      <c r="CH12" s="239"/>
      <c r="CI12" s="241"/>
      <c r="CJ12" s="126"/>
      <c r="CK12" s="126"/>
      <c r="CL12" s="126"/>
    </row>
    <row r="13" spans="1:90" ht="18" customHeight="1">
      <c r="A13" s="935"/>
      <c r="B13" s="217">
        <f t="shared" si="0"/>
        <v>9</v>
      </c>
      <c r="C13" s="218" t="str">
        <f t="shared" si="1"/>
        <v>ti</v>
      </c>
      <c r="D13" s="219" t="s">
        <v>241</v>
      </c>
      <c r="E13" s="220" t="str">
        <f t="shared" si="2"/>
        <v/>
      </c>
      <c r="F13" s="906"/>
      <c r="G13" s="907"/>
      <c r="H13" s="908"/>
      <c r="I13" s="217">
        <f t="shared" si="3"/>
        <v>9</v>
      </c>
      <c r="J13" s="218" t="str">
        <f t="shared" si="4"/>
        <v>fr</v>
      </c>
      <c r="K13" s="219" t="s">
        <v>241</v>
      </c>
      <c r="L13" s="220" t="str">
        <f t="shared" si="5"/>
        <v/>
      </c>
      <c r="M13" s="906"/>
      <c r="N13" s="907"/>
      <c r="O13" s="908"/>
      <c r="P13" s="217">
        <f t="shared" si="6"/>
        <v>9</v>
      </c>
      <c r="Q13" s="218" t="str">
        <f t="shared" si="7"/>
        <v>sø</v>
      </c>
      <c r="R13" s="219" t="s">
        <v>136</v>
      </c>
      <c r="S13" s="220" t="str">
        <f t="shared" si="8"/>
        <v/>
      </c>
      <c r="T13" s="906"/>
      <c r="U13" s="907"/>
      <c r="V13" s="908"/>
      <c r="W13" s="217">
        <f t="shared" si="9"/>
        <v>9</v>
      </c>
      <c r="X13" s="218" t="str">
        <f t="shared" si="10"/>
        <v>on</v>
      </c>
      <c r="Y13" s="219" t="s">
        <v>241</v>
      </c>
      <c r="Z13" s="220" t="str">
        <f t="shared" si="11"/>
        <v/>
      </c>
      <c r="AA13" s="906"/>
      <c r="AB13" s="907"/>
      <c r="AC13" s="908"/>
      <c r="AD13" s="217">
        <f t="shared" si="12"/>
        <v>9</v>
      </c>
      <c r="AE13" s="218" t="str">
        <f t="shared" si="13"/>
        <v>fr</v>
      </c>
      <c r="AF13" s="219" t="s">
        <v>241</v>
      </c>
      <c r="AG13" s="220" t="str">
        <f t="shared" si="14"/>
        <v/>
      </c>
      <c r="AH13" s="906"/>
      <c r="AI13" s="907"/>
      <c r="AJ13" s="908"/>
      <c r="AK13" s="217">
        <f t="shared" si="15"/>
        <v>9</v>
      </c>
      <c r="AL13" s="218" t="str">
        <f t="shared" si="16"/>
        <v>ma</v>
      </c>
      <c r="AM13" s="219" t="s">
        <v>241</v>
      </c>
      <c r="AN13" s="220">
        <f t="shared" si="17"/>
        <v>2.1428571428571428</v>
      </c>
      <c r="AO13" s="909"/>
      <c r="AP13" s="910"/>
      <c r="AQ13" s="911"/>
      <c r="AR13" s="217">
        <f t="shared" si="18"/>
        <v>9</v>
      </c>
      <c r="AS13" s="218" t="str">
        <f t="shared" si="19"/>
        <v>to</v>
      </c>
      <c r="AT13" s="219" t="s">
        <v>241</v>
      </c>
      <c r="AU13" s="220" t="str">
        <f t="shared" si="20"/>
        <v/>
      </c>
      <c r="AV13" s="906"/>
      <c r="AW13" s="907"/>
      <c r="AX13" s="908"/>
      <c r="AY13" s="217">
        <f t="shared" si="21"/>
        <v>9</v>
      </c>
      <c r="AZ13" s="218" t="str">
        <f t="shared" si="22"/>
        <v>to</v>
      </c>
      <c r="BA13" s="219" t="s">
        <v>241</v>
      </c>
      <c r="BB13" s="220" t="str">
        <f t="shared" si="23"/>
        <v/>
      </c>
      <c r="BC13" s="906"/>
      <c r="BD13" s="907"/>
      <c r="BE13" s="908"/>
      <c r="BF13" s="217">
        <f t="shared" si="24"/>
        <v>9</v>
      </c>
      <c r="BG13" s="218" t="str">
        <f t="shared" si="25"/>
        <v>sø</v>
      </c>
      <c r="BH13" s="219" t="s">
        <v>138</v>
      </c>
      <c r="BI13" s="220" t="str">
        <f t="shared" si="26"/>
        <v/>
      </c>
      <c r="BJ13" s="906" t="s">
        <v>129</v>
      </c>
      <c r="BK13" s="907"/>
      <c r="BL13" s="908"/>
      <c r="BM13" s="217">
        <f t="shared" si="27"/>
        <v>9</v>
      </c>
      <c r="BN13" s="218" t="str">
        <f t="shared" si="28"/>
        <v>ti</v>
      </c>
      <c r="BO13" s="219" t="s">
        <v>241</v>
      </c>
      <c r="BP13" s="220" t="str">
        <f t="shared" si="29"/>
        <v/>
      </c>
      <c r="BQ13" s="906"/>
      <c r="BR13" s="907"/>
      <c r="BS13" s="908"/>
      <c r="BT13" s="217">
        <f t="shared" si="30"/>
        <v>9</v>
      </c>
      <c r="BU13" s="218" t="str">
        <f t="shared" si="31"/>
        <v>fr</v>
      </c>
      <c r="BV13" s="219" t="s">
        <v>241</v>
      </c>
      <c r="BW13" s="220" t="str">
        <f t="shared" si="32"/>
        <v/>
      </c>
      <c r="BX13" s="906"/>
      <c r="BY13" s="907"/>
      <c r="BZ13" s="908"/>
      <c r="CA13" s="217">
        <f t="shared" si="33"/>
        <v>9</v>
      </c>
      <c r="CB13" s="218" t="str">
        <f t="shared" si="34"/>
        <v>sø</v>
      </c>
      <c r="CC13" s="219" t="s">
        <v>138</v>
      </c>
      <c r="CD13" s="220" t="str">
        <f t="shared" si="35"/>
        <v/>
      </c>
      <c r="CE13" s="912"/>
      <c r="CF13" s="913"/>
      <c r="CG13" s="914"/>
      <c r="CH13" s="239"/>
      <c r="CI13" s="241"/>
      <c r="CJ13" s="126"/>
      <c r="CK13" s="126"/>
      <c r="CL13" s="126"/>
    </row>
    <row r="14" spans="1:90" ht="18" customHeight="1">
      <c r="A14" s="935"/>
      <c r="B14" s="217">
        <f t="shared" si="0"/>
        <v>10</v>
      </c>
      <c r="C14" s="218" t="str">
        <f t="shared" si="1"/>
        <v>on</v>
      </c>
      <c r="D14" s="219" t="s">
        <v>241</v>
      </c>
      <c r="E14" s="220" t="str">
        <f t="shared" si="2"/>
        <v/>
      </c>
      <c r="F14" s="906"/>
      <c r="G14" s="907"/>
      <c r="H14" s="908"/>
      <c r="I14" s="217">
        <f t="shared" si="3"/>
        <v>10</v>
      </c>
      <c r="J14" s="218" t="str">
        <f t="shared" si="4"/>
        <v>lø</v>
      </c>
      <c r="K14" s="219" t="s">
        <v>138</v>
      </c>
      <c r="L14" s="220" t="str">
        <f t="shared" si="5"/>
        <v/>
      </c>
      <c r="M14" s="906"/>
      <c r="N14" s="907"/>
      <c r="O14" s="908"/>
      <c r="P14" s="217">
        <f t="shared" si="6"/>
        <v>10</v>
      </c>
      <c r="Q14" s="218" t="str">
        <f t="shared" si="7"/>
        <v>ma</v>
      </c>
      <c r="R14" s="219" t="s">
        <v>241</v>
      </c>
      <c r="S14" s="220">
        <f t="shared" si="8"/>
        <v>41.285714285714285</v>
      </c>
      <c r="T14" s="906"/>
      <c r="U14" s="907"/>
      <c r="V14" s="908"/>
      <c r="W14" s="217">
        <f t="shared" si="9"/>
        <v>10</v>
      </c>
      <c r="X14" s="218" t="str">
        <f t="shared" si="10"/>
        <v>to</v>
      </c>
      <c r="Y14" s="219" t="s">
        <v>241</v>
      </c>
      <c r="Z14" s="220" t="str">
        <f t="shared" si="11"/>
        <v/>
      </c>
      <c r="AA14" s="906"/>
      <c r="AB14" s="907"/>
      <c r="AC14" s="908"/>
      <c r="AD14" s="217">
        <f t="shared" si="12"/>
        <v>10</v>
      </c>
      <c r="AE14" s="218" t="str">
        <f t="shared" si="13"/>
        <v>lø</v>
      </c>
      <c r="AF14" s="219" t="s">
        <v>138</v>
      </c>
      <c r="AG14" s="220" t="str">
        <f t="shared" si="14"/>
        <v/>
      </c>
      <c r="AH14" s="906"/>
      <c r="AI14" s="907"/>
      <c r="AJ14" s="908"/>
      <c r="AK14" s="217">
        <f t="shared" si="15"/>
        <v>10</v>
      </c>
      <c r="AL14" s="218" t="str">
        <f t="shared" si="16"/>
        <v>ti</v>
      </c>
      <c r="AM14" s="219" t="s">
        <v>241</v>
      </c>
      <c r="AN14" s="220" t="str">
        <f t="shared" si="17"/>
        <v/>
      </c>
      <c r="AO14" s="909"/>
      <c r="AP14" s="910"/>
      <c r="AQ14" s="911"/>
      <c r="AR14" s="217">
        <f t="shared" si="18"/>
        <v>10</v>
      </c>
      <c r="AS14" s="218" t="str">
        <f t="shared" si="19"/>
        <v>fr</v>
      </c>
      <c r="AT14" s="219" t="s">
        <v>241</v>
      </c>
      <c r="AU14" s="220" t="str">
        <f t="shared" si="20"/>
        <v/>
      </c>
      <c r="AV14" s="906"/>
      <c r="AW14" s="907"/>
      <c r="AX14" s="908"/>
      <c r="AY14" s="217">
        <f t="shared" si="21"/>
        <v>10</v>
      </c>
      <c r="AZ14" s="218" t="str">
        <f t="shared" si="22"/>
        <v>fr</v>
      </c>
      <c r="BA14" s="219" t="s">
        <v>241</v>
      </c>
      <c r="BB14" s="220" t="str">
        <f t="shared" si="23"/>
        <v/>
      </c>
      <c r="BC14" s="906"/>
      <c r="BD14" s="907"/>
      <c r="BE14" s="908"/>
      <c r="BF14" s="217">
        <f t="shared" si="24"/>
        <v>10</v>
      </c>
      <c r="BG14" s="218" t="str">
        <f t="shared" si="25"/>
        <v>ma</v>
      </c>
      <c r="BH14" s="219" t="s">
        <v>137</v>
      </c>
      <c r="BI14" s="220">
        <f t="shared" si="26"/>
        <v>15.142857142857142</v>
      </c>
      <c r="BJ14" s="906" t="s">
        <v>127</v>
      </c>
      <c r="BK14" s="907"/>
      <c r="BL14" s="908"/>
      <c r="BM14" s="217">
        <f t="shared" si="27"/>
        <v>10</v>
      </c>
      <c r="BN14" s="218" t="str">
        <f t="shared" si="28"/>
        <v>on</v>
      </c>
      <c r="BO14" s="219" t="s">
        <v>241</v>
      </c>
      <c r="BP14" s="220" t="str">
        <f t="shared" si="29"/>
        <v/>
      </c>
      <c r="BQ14" s="906"/>
      <c r="BR14" s="907"/>
      <c r="BS14" s="908"/>
      <c r="BT14" s="217">
        <f t="shared" si="30"/>
        <v>10</v>
      </c>
      <c r="BU14" s="218" t="str">
        <f t="shared" si="31"/>
        <v>lø</v>
      </c>
      <c r="BV14" s="219" t="s">
        <v>138</v>
      </c>
      <c r="BW14" s="220" t="str">
        <f t="shared" si="32"/>
        <v/>
      </c>
      <c r="BX14" s="906"/>
      <c r="BY14" s="907"/>
      <c r="BZ14" s="908"/>
      <c r="CA14" s="217">
        <f t="shared" si="33"/>
        <v>10</v>
      </c>
      <c r="CB14" s="218" t="str">
        <f t="shared" si="34"/>
        <v>ma</v>
      </c>
      <c r="CC14" s="219" t="s">
        <v>118</v>
      </c>
      <c r="CD14" s="220">
        <f t="shared" si="35"/>
        <v>28.142857142857142</v>
      </c>
      <c r="CE14" s="912" t="s">
        <v>121</v>
      </c>
      <c r="CF14" s="913"/>
      <c r="CG14" s="914"/>
      <c r="CH14" s="239"/>
      <c r="CI14" s="241"/>
      <c r="CJ14" s="126"/>
      <c r="CK14" s="126"/>
      <c r="CL14" s="126"/>
    </row>
    <row r="15" spans="1:90" ht="18" customHeight="1">
      <c r="A15" s="935"/>
      <c r="B15" s="217">
        <f t="shared" si="0"/>
        <v>11</v>
      </c>
      <c r="C15" s="218" t="str">
        <f t="shared" si="1"/>
        <v>to</v>
      </c>
      <c r="D15" s="219" t="s">
        <v>241</v>
      </c>
      <c r="E15" s="220" t="str">
        <f t="shared" si="2"/>
        <v/>
      </c>
      <c r="F15" s="932"/>
      <c r="G15" s="933"/>
      <c r="H15" s="934"/>
      <c r="I15" s="217">
        <f t="shared" si="3"/>
        <v>11</v>
      </c>
      <c r="J15" s="218" t="str">
        <f t="shared" si="4"/>
        <v>sø</v>
      </c>
      <c r="K15" s="219" t="s">
        <v>138</v>
      </c>
      <c r="L15" s="220" t="str">
        <f t="shared" si="5"/>
        <v/>
      </c>
      <c r="M15" s="906"/>
      <c r="N15" s="907"/>
      <c r="O15" s="908"/>
      <c r="P15" s="217">
        <f t="shared" si="6"/>
        <v>11</v>
      </c>
      <c r="Q15" s="218" t="str">
        <f t="shared" si="7"/>
        <v>ti</v>
      </c>
      <c r="R15" s="219" t="s">
        <v>241</v>
      </c>
      <c r="S15" s="220" t="str">
        <f t="shared" si="8"/>
        <v/>
      </c>
      <c r="T15" s="906"/>
      <c r="U15" s="907"/>
      <c r="V15" s="908"/>
      <c r="W15" s="217">
        <f t="shared" si="9"/>
        <v>11</v>
      </c>
      <c r="X15" s="218" t="str">
        <f t="shared" si="10"/>
        <v>fr</v>
      </c>
      <c r="Y15" s="219" t="s">
        <v>241</v>
      </c>
      <c r="Z15" s="220" t="str">
        <f t="shared" si="11"/>
        <v/>
      </c>
      <c r="AA15" s="906"/>
      <c r="AB15" s="907"/>
      <c r="AC15" s="908"/>
      <c r="AD15" s="217">
        <f t="shared" si="12"/>
        <v>11</v>
      </c>
      <c r="AE15" s="218" t="str">
        <f t="shared" si="13"/>
        <v>sø</v>
      </c>
      <c r="AF15" s="219" t="s">
        <v>138</v>
      </c>
      <c r="AG15" s="220" t="str">
        <f t="shared" si="14"/>
        <v/>
      </c>
      <c r="AH15" s="906"/>
      <c r="AI15" s="907"/>
      <c r="AJ15" s="908"/>
      <c r="AK15" s="217">
        <f t="shared" si="15"/>
        <v>11</v>
      </c>
      <c r="AL15" s="218" t="str">
        <f t="shared" si="16"/>
        <v>on</v>
      </c>
      <c r="AM15" s="219" t="s">
        <v>241</v>
      </c>
      <c r="AN15" s="220" t="str">
        <f t="shared" si="17"/>
        <v/>
      </c>
      <c r="AO15" s="909"/>
      <c r="AP15" s="910"/>
      <c r="AQ15" s="911"/>
      <c r="AR15" s="217">
        <f t="shared" si="18"/>
        <v>11</v>
      </c>
      <c r="AS15" s="218" t="str">
        <f t="shared" si="19"/>
        <v>lø</v>
      </c>
      <c r="AT15" s="219" t="s">
        <v>138</v>
      </c>
      <c r="AU15" s="220" t="str">
        <f t="shared" si="20"/>
        <v/>
      </c>
      <c r="AV15" s="906"/>
      <c r="AW15" s="907"/>
      <c r="AX15" s="908"/>
      <c r="AY15" s="217">
        <f t="shared" si="21"/>
        <v>11</v>
      </c>
      <c r="AZ15" s="218" t="str">
        <f t="shared" si="22"/>
        <v>lø</v>
      </c>
      <c r="BA15" s="219" t="s">
        <v>138</v>
      </c>
      <c r="BB15" s="220" t="str">
        <f t="shared" si="23"/>
        <v/>
      </c>
      <c r="BC15" s="906"/>
      <c r="BD15" s="907"/>
      <c r="BE15" s="908"/>
      <c r="BF15" s="217">
        <f t="shared" si="24"/>
        <v>11</v>
      </c>
      <c r="BG15" s="218" t="str">
        <f t="shared" si="25"/>
        <v>ti</v>
      </c>
      <c r="BH15" s="219" t="s">
        <v>241</v>
      </c>
      <c r="BI15" s="220" t="str">
        <f t="shared" si="26"/>
        <v/>
      </c>
      <c r="BJ15" s="906"/>
      <c r="BK15" s="907"/>
      <c r="BL15" s="908"/>
      <c r="BM15" s="217">
        <f t="shared" si="27"/>
        <v>11</v>
      </c>
      <c r="BN15" s="218" t="str">
        <f t="shared" si="28"/>
        <v>to</v>
      </c>
      <c r="BO15" s="219" t="s">
        <v>241</v>
      </c>
      <c r="BP15" s="220" t="str">
        <f t="shared" si="29"/>
        <v/>
      </c>
      <c r="BQ15" s="906"/>
      <c r="BR15" s="907"/>
      <c r="BS15" s="908"/>
      <c r="BT15" s="217">
        <f t="shared" si="30"/>
        <v>11</v>
      </c>
      <c r="BU15" s="218" t="str">
        <f t="shared" si="31"/>
        <v>sø</v>
      </c>
      <c r="BV15" s="219" t="s">
        <v>138</v>
      </c>
      <c r="BW15" s="220" t="str">
        <f t="shared" si="32"/>
        <v/>
      </c>
      <c r="BX15" s="906"/>
      <c r="BY15" s="907"/>
      <c r="BZ15" s="908"/>
      <c r="CA15" s="217">
        <f t="shared" si="33"/>
        <v>11</v>
      </c>
      <c r="CB15" s="218" t="str">
        <f t="shared" si="34"/>
        <v>ti</v>
      </c>
      <c r="CC15" s="219" t="s">
        <v>118</v>
      </c>
      <c r="CD15" s="220" t="str">
        <f t="shared" si="35"/>
        <v/>
      </c>
      <c r="CE15" s="912" t="s">
        <v>121</v>
      </c>
      <c r="CF15" s="913"/>
      <c r="CG15" s="914"/>
      <c r="CH15" s="239"/>
      <c r="CI15" s="241"/>
      <c r="CJ15" s="126"/>
      <c r="CK15" s="126"/>
      <c r="CL15" s="126"/>
    </row>
    <row r="16" spans="1:90" ht="19" customHeight="1">
      <c r="A16" s="935" t="s">
        <v>216</v>
      </c>
      <c r="B16" s="217">
        <f>IF(ISNUMBER(B15),B15+1,1)</f>
        <v>12</v>
      </c>
      <c r="C16" s="218" t="str">
        <f>CHOOSE(MOD(WEEKDAY(DATE(B$3,B$2,B16)),7)+1,"lø","sø","ma","ti","on","to","fr",)</f>
        <v>fr</v>
      </c>
      <c r="D16" s="219" t="s">
        <v>241</v>
      </c>
      <c r="E16" s="220" t="str">
        <f>IF(C16="ma",(DATE(B$3,B$2,B16)-DATE(B$3,1,1)+7)/7,"")</f>
        <v/>
      </c>
      <c r="F16" s="906"/>
      <c r="G16" s="907"/>
      <c r="H16" s="908"/>
      <c r="I16" s="217">
        <f t="shared" si="3"/>
        <v>12</v>
      </c>
      <c r="J16" s="218" t="str">
        <f t="shared" si="4"/>
        <v>ma</v>
      </c>
      <c r="K16" s="219" t="s">
        <v>241</v>
      </c>
      <c r="L16" s="220">
        <f t="shared" si="5"/>
        <v>37.285714285714285</v>
      </c>
      <c r="M16" s="909"/>
      <c r="N16" s="910"/>
      <c r="O16" s="911"/>
      <c r="P16" s="217">
        <f t="shared" si="6"/>
        <v>12</v>
      </c>
      <c r="Q16" s="218" t="str">
        <f t="shared" si="7"/>
        <v>on</v>
      </c>
      <c r="R16" s="219" t="s">
        <v>241</v>
      </c>
      <c r="S16" s="220" t="str">
        <f t="shared" si="8"/>
        <v/>
      </c>
      <c r="T16" s="909"/>
      <c r="U16" s="910"/>
      <c r="V16" s="911"/>
      <c r="W16" s="217">
        <f t="shared" si="9"/>
        <v>12</v>
      </c>
      <c r="X16" s="218" t="str">
        <f t="shared" si="10"/>
        <v>lø</v>
      </c>
      <c r="Y16" s="219" t="s">
        <v>138</v>
      </c>
      <c r="Z16" s="220" t="str">
        <f t="shared" si="11"/>
        <v/>
      </c>
      <c r="AA16" s="909"/>
      <c r="AB16" s="910"/>
      <c r="AC16" s="911"/>
      <c r="AD16" s="217">
        <f t="shared" si="12"/>
        <v>12</v>
      </c>
      <c r="AE16" s="218" t="str">
        <f t="shared" si="13"/>
        <v>ma</v>
      </c>
      <c r="AF16" s="219" t="s">
        <v>241</v>
      </c>
      <c r="AG16" s="220">
        <f t="shared" si="14"/>
        <v>50.285714285714285</v>
      </c>
      <c r="AH16" s="909"/>
      <c r="AI16" s="910"/>
      <c r="AJ16" s="911"/>
      <c r="AK16" s="217">
        <f t="shared" si="15"/>
        <v>12</v>
      </c>
      <c r="AL16" s="218" t="str">
        <f t="shared" si="16"/>
        <v>to</v>
      </c>
      <c r="AM16" s="219" t="s">
        <v>241</v>
      </c>
      <c r="AN16" s="220" t="str">
        <f t="shared" si="17"/>
        <v/>
      </c>
      <c r="AO16" s="909"/>
      <c r="AP16" s="910"/>
      <c r="AQ16" s="911"/>
      <c r="AR16" s="217">
        <f t="shared" si="18"/>
        <v>12</v>
      </c>
      <c r="AS16" s="218" t="str">
        <f t="shared" si="19"/>
        <v>sø</v>
      </c>
      <c r="AT16" s="219" t="s">
        <v>138</v>
      </c>
      <c r="AU16" s="220" t="str">
        <f t="shared" si="20"/>
        <v/>
      </c>
      <c r="AV16" s="909"/>
      <c r="AW16" s="910"/>
      <c r="AX16" s="911"/>
      <c r="AY16" s="217">
        <f t="shared" si="21"/>
        <v>12</v>
      </c>
      <c r="AZ16" s="218" t="str">
        <f t="shared" si="22"/>
        <v>sø</v>
      </c>
      <c r="BA16" s="219" t="s">
        <v>138</v>
      </c>
      <c r="BB16" s="220" t="str">
        <f t="shared" si="23"/>
        <v/>
      </c>
      <c r="BC16" s="909"/>
      <c r="BD16" s="910"/>
      <c r="BE16" s="911"/>
      <c r="BF16" s="217">
        <f t="shared" si="24"/>
        <v>12</v>
      </c>
      <c r="BG16" s="218" t="str">
        <f t="shared" si="25"/>
        <v>on</v>
      </c>
      <c r="BH16" s="219" t="s">
        <v>241</v>
      </c>
      <c r="BI16" s="220" t="str">
        <f t="shared" si="26"/>
        <v/>
      </c>
      <c r="BJ16" s="909"/>
      <c r="BK16" s="910"/>
      <c r="BL16" s="911"/>
      <c r="BM16" s="217">
        <f t="shared" si="27"/>
        <v>12</v>
      </c>
      <c r="BN16" s="218" t="str">
        <f t="shared" si="28"/>
        <v>fr</v>
      </c>
      <c r="BO16" s="219" t="s">
        <v>241</v>
      </c>
      <c r="BP16" s="220" t="str">
        <f t="shared" si="29"/>
        <v/>
      </c>
      <c r="BQ16" s="909"/>
      <c r="BR16" s="910"/>
      <c r="BS16" s="911"/>
      <c r="BT16" s="217">
        <f t="shared" si="30"/>
        <v>12</v>
      </c>
      <c r="BU16" s="218" t="str">
        <f t="shared" si="31"/>
        <v>ma</v>
      </c>
      <c r="BV16" s="219" t="s">
        <v>241</v>
      </c>
      <c r="BW16" s="220">
        <f t="shared" si="32"/>
        <v>24.142857142857142</v>
      </c>
      <c r="BX16" s="909"/>
      <c r="BY16" s="910"/>
      <c r="BZ16" s="911"/>
      <c r="CA16" s="217">
        <f t="shared" si="33"/>
        <v>12</v>
      </c>
      <c r="CB16" s="218" t="str">
        <f t="shared" si="34"/>
        <v>on</v>
      </c>
      <c r="CC16" s="219" t="s">
        <v>118</v>
      </c>
      <c r="CD16" s="220" t="str">
        <f t="shared" si="35"/>
        <v/>
      </c>
      <c r="CE16" s="909" t="s">
        <v>121</v>
      </c>
      <c r="CF16" s="910"/>
      <c r="CG16" s="911"/>
      <c r="CH16" s="239"/>
      <c r="CI16" s="241"/>
      <c r="CJ16" s="126"/>
      <c r="CK16" s="126"/>
      <c r="CL16" s="126"/>
    </row>
    <row r="17" spans="1:90" ht="18" customHeight="1">
      <c r="A17" s="935"/>
      <c r="B17" s="217">
        <f>IF(ISNUMBER(B16),B16+1,1)</f>
        <v>13</v>
      </c>
      <c r="C17" s="218" t="str">
        <f t="shared" si="1"/>
        <v>lø</v>
      </c>
      <c r="D17" s="219" t="s">
        <v>138</v>
      </c>
      <c r="E17" s="220" t="str">
        <f t="shared" si="2"/>
        <v/>
      </c>
      <c r="F17" s="909"/>
      <c r="G17" s="910"/>
      <c r="H17" s="911"/>
      <c r="I17" s="217">
        <f t="shared" si="3"/>
        <v>13</v>
      </c>
      <c r="J17" s="218" t="str">
        <f t="shared" si="4"/>
        <v>ti</v>
      </c>
      <c r="K17" s="219" t="s">
        <v>241</v>
      </c>
      <c r="L17" s="220" t="str">
        <f t="shared" si="5"/>
        <v/>
      </c>
      <c r="M17" s="909"/>
      <c r="N17" s="910"/>
      <c r="O17" s="911"/>
      <c r="P17" s="217">
        <f t="shared" si="6"/>
        <v>13</v>
      </c>
      <c r="Q17" s="218" t="str">
        <f t="shared" si="7"/>
        <v>to</v>
      </c>
      <c r="R17" s="219" t="s">
        <v>241</v>
      </c>
      <c r="S17" s="220" t="str">
        <f t="shared" si="8"/>
        <v/>
      </c>
      <c r="T17" s="909"/>
      <c r="U17" s="910"/>
      <c r="V17" s="911"/>
      <c r="W17" s="217">
        <f t="shared" si="9"/>
        <v>13</v>
      </c>
      <c r="X17" s="218" t="str">
        <f t="shared" si="10"/>
        <v>sø</v>
      </c>
      <c r="Y17" s="219" t="s">
        <v>138</v>
      </c>
      <c r="Z17" s="220" t="str">
        <f t="shared" si="11"/>
        <v/>
      </c>
      <c r="AA17" s="909"/>
      <c r="AB17" s="910"/>
      <c r="AC17" s="911"/>
      <c r="AD17" s="217">
        <f t="shared" si="12"/>
        <v>13</v>
      </c>
      <c r="AE17" s="218" t="str">
        <f t="shared" si="13"/>
        <v>ti</v>
      </c>
      <c r="AF17" s="219" t="s">
        <v>241</v>
      </c>
      <c r="AG17" s="220" t="str">
        <f t="shared" si="14"/>
        <v/>
      </c>
      <c r="AH17" s="909"/>
      <c r="AI17" s="910"/>
      <c r="AJ17" s="911"/>
      <c r="AK17" s="217">
        <f t="shared" si="15"/>
        <v>13</v>
      </c>
      <c r="AL17" s="218" t="str">
        <f t="shared" si="16"/>
        <v>fr</v>
      </c>
      <c r="AM17" s="219" t="s">
        <v>241</v>
      </c>
      <c r="AN17" s="220" t="str">
        <f t="shared" si="17"/>
        <v/>
      </c>
      <c r="AO17" s="909"/>
      <c r="AP17" s="910"/>
      <c r="AQ17" s="911"/>
      <c r="AR17" s="217">
        <f t="shared" si="18"/>
        <v>13</v>
      </c>
      <c r="AS17" s="218" t="str">
        <f t="shared" si="19"/>
        <v>ma</v>
      </c>
      <c r="AT17" s="219" t="s">
        <v>147</v>
      </c>
      <c r="AU17" s="220">
        <f t="shared" si="20"/>
        <v>7.1428571428571432</v>
      </c>
      <c r="AV17" s="909" t="s">
        <v>150</v>
      </c>
      <c r="AW17" s="910"/>
      <c r="AX17" s="911"/>
      <c r="AY17" s="217">
        <f t="shared" si="21"/>
        <v>13</v>
      </c>
      <c r="AZ17" s="218" t="str">
        <f t="shared" si="22"/>
        <v>ma</v>
      </c>
      <c r="BA17" s="219" t="s">
        <v>241</v>
      </c>
      <c r="BB17" s="220">
        <f t="shared" si="23"/>
        <v>11.142857142857142</v>
      </c>
      <c r="BC17" s="909"/>
      <c r="BD17" s="910"/>
      <c r="BE17" s="911"/>
      <c r="BF17" s="217">
        <f t="shared" si="24"/>
        <v>13</v>
      </c>
      <c r="BG17" s="218" t="str">
        <f t="shared" si="25"/>
        <v>to</v>
      </c>
      <c r="BH17" s="219" t="s">
        <v>241</v>
      </c>
      <c r="BI17" s="220" t="str">
        <f t="shared" si="26"/>
        <v/>
      </c>
      <c r="BJ17" s="909"/>
      <c r="BK17" s="910"/>
      <c r="BL17" s="911"/>
      <c r="BM17" s="217">
        <f t="shared" si="27"/>
        <v>13</v>
      </c>
      <c r="BN17" s="218" t="str">
        <f t="shared" si="28"/>
        <v>lø</v>
      </c>
      <c r="BO17" s="219" t="s">
        <v>136</v>
      </c>
      <c r="BP17" s="220" t="str">
        <f t="shared" si="29"/>
        <v/>
      </c>
      <c r="BQ17" s="909"/>
      <c r="BR17" s="910"/>
      <c r="BS17" s="911"/>
      <c r="BT17" s="217">
        <f t="shared" si="30"/>
        <v>13</v>
      </c>
      <c r="BU17" s="218" t="str">
        <f t="shared" si="31"/>
        <v>ti</v>
      </c>
      <c r="BV17" s="219" t="s">
        <v>241</v>
      </c>
      <c r="BW17" s="220" t="str">
        <f t="shared" si="32"/>
        <v/>
      </c>
      <c r="BX17" s="909"/>
      <c r="BY17" s="910"/>
      <c r="BZ17" s="911"/>
      <c r="CA17" s="217">
        <f t="shared" si="33"/>
        <v>13</v>
      </c>
      <c r="CB17" s="218" t="str">
        <f t="shared" si="34"/>
        <v>to</v>
      </c>
      <c r="CC17" s="219" t="s">
        <v>118</v>
      </c>
      <c r="CD17" s="220" t="str">
        <f t="shared" si="35"/>
        <v/>
      </c>
      <c r="CE17" s="909" t="s">
        <v>121</v>
      </c>
      <c r="CF17" s="910"/>
      <c r="CG17" s="911"/>
      <c r="CH17" s="239"/>
      <c r="CI17" s="241"/>
      <c r="CJ17" s="126"/>
      <c r="CK17" s="126"/>
      <c r="CL17" s="126"/>
    </row>
    <row r="18" spans="1:90" ht="18" customHeight="1">
      <c r="A18" s="935"/>
      <c r="B18" s="217">
        <f t="shared" si="0"/>
        <v>14</v>
      </c>
      <c r="C18" s="218" t="str">
        <f t="shared" si="1"/>
        <v>sø</v>
      </c>
      <c r="D18" s="219" t="s">
        <v>138</v>
      </c>
      <c r="E18" s="220" t="str">
        <f t="shared" si="2"/>
        <v/>
      </c>
      <c r="F18" s="909"/>
      <c r="G18" s="910"/>
      <c r="H18" s="911"/>
      <c r="I18" s="217">
        <f t="shared" si="3"/>
        <v>14</v>
      </c>
      <c r="J18" s="218" t="str">
        <f t="shared" si="4"/>
        <v>on</v>
      </c>
      <c r="K18" s="219" t="s">
        <v>241</v>
      </c>
      <c r="L18" s="220" t="str">
        <f t="shared" si="5"/>
        <v/>
      </c>
      <c r="M18" s="909"/>
      <c r="N18" s="910"/>
      <c r="O18" s="911"/>
      <c r="P18" s="217">
        <f t="shared" si="6"/>
        <v>14</v>
      </c>
      <c r="Q18" s="218" t="str">
        <f t="shared" si="7"/>
        <v>fr</v>
      </c>
      <c r="R18" s="219" t="s">
        <v>241</v>
      </c>
      <c r="S18" s="220" t="str">
        <f t="shared" si="8"/>
        <v/>
      </c>
      <c r="T18" s="909"/>
      <c r="U18" s="910"/>
      <c r="V18" s="911"/>
      <c r="W18" s="217">
        <f t="shared" si="9"/>
        <v>14</v>
      </c>
      <c r="X18" s="218" t="str">
        <f t="shared" si="10"/>
        <v>ma</v>
      </c>
      <c r="Y18" s="219" t="s">
        <v>241</v>
      </c>
      <c r="Z18" s="220">
        <f t="shared" si="11"/>
        <v>46.285714285714285</v>
      </c>
      <c r="AA18" s="909"/>
      <c r="AB18" s="910"/>
      <c r="AC18" s="911"/>
      <c r="AD18" s="217">
        <f t="shared" si="12"/>
        <v>14</v>
      </c>
      <c r="AE18" s="218" t="str">
        <f t="shared" si="13"/>
        <v>on</v>
      </c>
      <c r="AF18" s="219" t="s">
        <v>241</v>
      </c>
      <c r="AG18" s="220" t="str">
        <f t="shared" si="14"/>
        <v/>
      </c>
      <c r="AH18" s="909"/>
      <c r="AI18" s="910"/>
      <c r="AJ18" s="911"/>
      <c r="AK18" s="217">
        <f t="shared" si="15"/>
        <v>14</v>
      </c>
      <c r="AL18" s="218" t="str">
        <f t="shared" si="16"/>
        <v>lø</v>
      </c>
      <c r="AM18" s="219" t="s">
        <v>136</v>
      </c>
      <c r="AN18" s="220" t="str">
        <f t="shared" si="17"/>
        <v/>
      </c>
      <c r="AO18" s="909"/>
      <c r="AP18" s="910"/>
      <c r="AQ18" s="911"/>
      <c r="AR18" s="217">
        <f t="shared" si="18"/>
        <v>14</v>
      </c>
      <c r="AS18" s="218" t="str">
        <f t="shared" si="19"/>
        <v>ti</v>
      </c>
      <c r="AT18" s="219" t="s">
        <v>147</v>
      </c>
      <c r="AU18" s="220" t="str">
        <f t="shared" si="20"/>
        <v/>
      </c>
      <c r="AV18" s="909" t="s">
        <v>150</v>
      </c>
      <c r="AW18" s="910"/>
      <c r="AX18" s="911"/>
      <c r="AY18" s="217">
        <f t="shared" si="21"/>
        <v>14</v>
      </c>
      <c r="AZ18" s="218" t="str">
        <f t="shared" si="22"/>
        <v>ti</v>
      </c>
      <c r="BA18" s="219" t="s">
        <v>241</v>
      </c>
      <c r="BB18" s="220" t="str">
        <f t="shared" si="23"/>
        <v/>
      </c>
      <c r="BC18" s="909"/>
      <c r="BD18" s="910"/>
      <c r="BE18" s="911"/>
      <c r="BF18" s="217">
        <f t="shared" si="24"/>
        <v>14</v>
      </c>
      <c r="BG18" s="218" t="str">
        <f t="shared" si="25"/>
        <v>fr</v>
      </c>
      <c r="BH18" s="219" t="s">
        <v>241</v>
      </c>
      <c r="BI18" s="220" t="str">
        <f t="shared" si="26"/>
        <v/>
      </c>
      <c r="BJ18" s="909"/>
      <c r="BK18" s="910"/>
      <c r="BL18" s="911"/>
      <c r="BM18" s="217">
        <f t="shared" si="27"/>
        <v>14</v>
      </c>
      <c r="BN18" s="218" t="str">
        <f t="shared" si="28"/>
        <v>sø</v>
      </c>
      <c r="BO18" s="219" t="s">
        <v>136</v>
      </c>
      <c r="BP18" s="220" t="str">
        <f t="shared" si="29"/>
        <v/>
      </c>
      <c r="BQ18" s="909"/>
      <c r="BR18" s="910"/>
      <c r="BS18" s="911"/>
      <c r="BT18" s="217">
        <f t="shared" si="30"/>
        <v>14</v>
      </c>
      <c r="BU18" s="218" t="str">
        <f t="shared" si="31"/>
        <v>on</v>
      </c>
      <c r="BV18" s="219" t="s">
        <v>241</v>
      </c>
      <c r="BW18" s="220" t="str">
        <f t="shared" si="32"/>
        <v/>
      </c>
      <c r="BX18" s="909"/>
      <c r="BY18" s="910"/>
      <c r="BZ18" s="911"/>
      <c r="CA18" s="217">
        <f t="shared" si="33"/>
        <v>14</v>
      </c>
      <c r="CB18" s="218" t="str">
        <f t="shared" si="34"/>
        <v>fr</v>
      </c>
      <c r="CC18" s="219" t="s">
        <v>118</v>
      </c>
      <c r="CD18" s="220" t="str">
        <f t="shared" si="35"/>
        <v/>
      </c>
      <c r="CE18" s="909" t="s">
        <v>121</v>
      </c>
      <c r="CF18" s="910"/>
      <c r="CG18" s="911"/>
      <c r="CH18" s="239"/>
      <c r="CI18" s="241"/>
      <c r="CJ18" s="126"/>
      <c r="CK18" s="126"/>
      <c r="CL18" s="126"/>
    </row>
    <row r="19" spans="1:90" ht="18" customHeight="1">
      <c r="A19" s="935" t="s">
        <v>217</v>
      </c>
      <c r="B19" s="217">
        <f t="shared" si="0"/>
        <v>15</v>
      </c>
      <c r="C19" s="218" t="str">
        <f t="shared" si="1"/>
        <v>ma</v>
      </c>
      <c r="D19" s="219" t="s">
        <v>241</v>
      </c>
      <c r="E19" s="220">
        <f t="shared" si="2"/>
        <v>33.285714285714285</v>
      </c>
      <c r="F19" s="909"/>
      <c r="G19" s="910"/>
      <c r="H19" s="911"/>
      <c r="I19" s="217">
        <f t="shared" si="3"/>
        <v>15</v>
      </c>
      <c r="J19" s="218" t="str">
        <f t="shared" si="4"/>
        <v>to</v>
      </c>
      <c r="K19" s="219" t="s">
        <v>241</v>
      </c>
      <c r="L19" s="220" t="str">
        <f t="shared" si="5"/>
        <v/>
      </c>
      <c r="M19" s="909"/>
      <c r="N19" s="910"/>
      <c r="O19" s="911"/>
      <c r="P19" s="217">
        <f t="shared" si="6"/>
        <v>15</v>
      </c>
      <c r="Q19" s="218" t="str">
        <f t="shared" si="7"/>
        <v>lø</v>
      </c>
      <c r="R19" s="219" t="s">
        <v>136</v>
      </c>
      <c r="S19" s="220" t="str">
        <f t="shared" si="8"/>
        <v/>
      </c>
      <c r="T19" s="909"/>
      <c r="U19" s="910"/>
      <c r="V19" s="911"/>
      <c r="W19" s="217">
        <f t="shared" si="9"/>
        <v>15</v>
      </c>
      <c r="X19" s="218" t="str">
        <f t="shared" si="10"/>
        <v>ti</v>
      </c>
      <c r="Y19" s="219" t="s">
        <v>241</v>
      </c>
      <c r="Z19" s="220" t="str">
        <f t="shared" si="11"/>
        <v/>
      </c>
      <c r="AA19" s="909"/>
      <c r="AB19" s="910"/>
      <c r="AC19" s="911"/>
      <c r="AD19" s="217">
        <f t="shared" si="12"/>
        <v>15</v>
      </c>
      <c r="AE19" s="218" t="str">
        <f t="shared" si="13"/>
        <v>to</v>
      </c>
      <c r="AF19" s="219" t="s">
        <v>241</v>
      </c>
      <c r="AG19" s="220" t="str">
        <f t="shared" si="14"/>
        <v/>
      </c>
      <c r="AH19" s="909"/>
      <c r="AI19" s="910"/>
      <c r="AJ19" s="911"/>
      <c r="AK19" s="217">
        <f t="shared" si="15"/>
        <v>15</v>
      </c>
      <c r="AL19" s="218" t="str">
        <f t="shared" si="16"/>
        <v>sø</v>
      </c>
      <c r="AM19" s="219" t="s">
        <v>136</v>
      </c>
      <c r="AN19" s="220" t="str">
        <f t="shared" si="17"/>
        <v/>
      </c>
      <c r="AO19" s="909"/>
      <c r="AP19" s="910"/>
      <c r="AQ19" s="911"/>
      <c r="AR19" s="217">
        <f t="shared" si="18"/>
        <v>15</v>
      </c>
      <c r="AS19" s="218" t="str">
        <f t="shared" si="19"/>
        <v>on</v>
      </c>
      <c r="AT19" s="219" t="s">
        <v>147</v>
      </c>
      <c r="AU19" s="220" t="str">
        <f t="shared" si="20"/>
        <v/>
      </c>
      <c r="AV19" s="909" t="s">
        <v>150</v>
      </c>
      <c r="AW19" s="910"/>
      <c r="AX19" s="911"/>
      <c r="AY19" s="217">
        <f t="shared" si="21"/>
        <v>15</v>
      </c>
      <c r="AZ19" s="218" t="str">
        <f t="shared" si="22"/>
        <v>on</v>
      </c>
      <c r="BA19" s="219" t="s">
        <v>241</v>
      </c>
      <c r="BB19" s="220" t="str">
        <f t="shared" si="23"/>
        <v/>
      </c>
      <c r="BC19" s="909"/>
      <c r="BD19" s="910"/>
      <c r="BE19" s="911"/>
      <c r="BF19" s="217">
        <f t="shared" si="24"/>
        <v>15</v>
      </c>
      <c r="BG19" s="218" t="str">
        <f t="shared" si="25"/>
        <v>lø</v>
      </c>
      <c r="BH19" s="219" t="s">
        <v>138</v>
      </c>
      <c r="BI19" s="220" t="str">
        <f t="shared" si="26"/>
        <v/>
      </c>
      <c r="BJ19" s="909"/>
      <c r="BK19" s="910"/>
      <c r="BL19" s="911"/>
      <c r="BM19" s="217">
        <f t="shared" si="27"/>
        <v>15</v>
      </c>
      <c r="BN19" s="218" t="str">
        <f t="shared" si="28"/>
        <v>ma</v>
      </c>
      <c r="BO19" s="219" t="s">
        <v>241</v>
      </c>
      <c r="BP19" s="220">
        <f t="shared" si="29"/>
        <v>20.142857142857142</v>
      </c>
      <c r="BQ19" s="909"/>
      <c r="BR19" s="910"/>
      <c r="BS19" s="911"/>
      <c r="BT19" s="217">
        <f t="shared" si="30"/>
        <v>15</v>
      </c>
      <c r="BU19" s="218" t="str">
        <f t="shared" si="31"/>
        <v>to</v>
      </c>
      <c r="BV19" s="219" t="s">
        <v>241</v>
      </c>
      <c r="BW19" s="220" t="str">
        <f t="shared" si="32"/>
        <v/>
      </c>
      <c r="BX19" s="909"/>
      <c r="BY19" s="910"/>
      <c r="BZ19" s="911"/>
      <c r="CA19" s="217">
        <f t="shared" si="33"/>
        <v>15</v>
      </c>
      <c r="CB19" s="218" t="str">
        <f t="shared" si="34"/>
        <v>lø</v>
      </c>
      <c r="CC19" s="219" t="s">
        <v>136</v>
      </c>
      <c r="CD19" s="220" t="str">
        <f t="shared" si="35"/>
        <v/>
      </c>
      <c r="CE19" s="909"/>
      <c r="CF19" s="910"/>
      <c r="CG19" s="911"/>
      <c r="CH19" s="239"/>
      <c r="CI19" s="241"/>
      <c r="CJ19" s="126"/>
      <c r="CK19" s="126"/>
      <c r="CL19" s="126"/>
    </row>
    <row r="20" spans="1:90" ht="18" customHeight="1">
      <c r="A20" s="935"/>
      <c r="B20" s="217">
        <f>IF(ISNUMBER(B19),B19+1,1)</f>
        <v>16</v>
      </c>
      <c r="C20" s="218" t="str">
        <f t="shared" si="1"/>
        <v>ti</v>
      </c>
      <c r="D20" s="219" t="s">
        <v>241</v>
      </c>
      <c r="E20" s="220" t="str">
        <f t="shared" si="2"/>
        <v/>
      </c>
      <c r="F20" s="906"/>
      <c r="G20" s="907"/>
      <c r="H20" s="908"/>
      <c r="I20" s="217">
        <f>IF(ISNUMBER(I19),I19+1,1)</f>
        <v>16</v>
      </c>
      <c r="J20" s="218" t="str">
        <f t="shared" si="4"/>
        <v>fr</v>
      </c>
      <c r="K20" s="219" t="s">
        <v>241</v>
      </c>
      <c r="L20" s="220" t="str">
        <f t="shared" si="5"/>
        <v/>
      </c>
      <c r="M20" s="906"/>
      <c r="N20" s="907"/>
      <c r="O20" s="908"/>
      <c r="P20" s="217">
        <f>IF(ISNUMBER(P19),P19+1,1)</f>
        <v>16</v>
      </c>
      <c r="Q20" s="218" t="str">
        <f t="shared" si="7"/>
        <v>sø</v>
      </c>
      <c r="R20" s="219" t="s">
        <v>136</v>
      </c>
      <c r="S20" s="220" t="str">
        <f t="shared" si="8"/>
        <v/>
      </c>
      <c r="T20" s="906"/>
      <c r="U20" s="907"/>
      <c r="V20" s="908"/>
      <c r="W20" s="217">
        <f>IF(ISNUMBER(W19),W19+1,1)</f>
        <v>16</v>
      </c>
      <c r="X20" s="218" t="str">
        <f t="shared" si="10"/>
        <v>on</v>
      </c>
      <c r="Y20" s="219" t="s">
        <v>241</v>
      </c>
      <c r="Z20" s="220" t="str">
        <f t="shared" si="11"/>
        <v/>
      </c>
      <c r="AA20" s="906"/>
      <c r="AB20" s="907"/>
      <c r="AC20" s="908"/>
      <c r="AD20" s="217">
        <f>IF(ISNUMBER(AD19),AD19+1,1)</f>
        <v>16</v>
      </c>
      <c r="AE20" s="218" t="str">
        <f t="shared" si="13"/>
        <v>fr</v>
      </c>
      <c r="AF20" s="219" t="s">
        <v>241</v>
      </c>
      <c r="AG20" s="220" t="str">
        <f t="shared" si="14"/>
        <v/>
      </c>
      <c r="AH20" s="906"/>
      <c r="AI20" s="907"/>
      <c r="AJ20" s="908"/>
      <c r="AK20" s="217">
        <f>IF(ISNUMBER(AK19),AK19+1,1)</f>
        <v>16</v>
      </c>
      <c r="AL20" s="218" t="str">
        <f t="shared" si="16"/>
        <v>ma</v>
      </c>
      <c r="AM20" s="219" t="s">
        <v>241</v>
      </c>
      <c r="AN20" s="220">
        <f t="shared" si="17"/>
        <v>3.1428571428571428</v>
      </c>
      <c r="AO20" s="909"/>
      <c r="AP20" s="910"/>
      <c r="AQ20" s="911"/>
      <c r="AR20" s="217">
        <f>IF(ISNUMBER(AR19),AR19+1,1)</f>
        <v>16</v>
      </c>
      <c r="AS20" s="218" t="str">
        <f t="shared" si="19"/>
        <v>to</v>
      </c>
      <c r="AT20" s="219" t="s">
        <v>147</v>
      </c>
      <c r="AU20" s="220" t="str">
        <f t="shared" si="20"/>
        <v/>
      </c>
      <c r="AV20" s="906" t="s">
        <v>150</v>
      </c>
      <c r="AW20" s="907"/>
      <c r="AX20" s="908"/>
      <c r="AY20" s="217">
        <f>IF(ISNUMBER(AY19),AY19+1,1)</f>
        <v>16</v>
      </c>
      <c r="AZ20" s="218" t="str">
        <f t="shared" si="22"/>
        <v>to</v>
      </c>
      <c r="BA20" s="219" t="s">
        <v>241</v>
      </c>
      <c r="BB20" s="220" t="str">
        <f t="shared" si="23"/>
        <v/>
      </c>
      <c r="BC20" s="906"/>
      <c r="BD20" s="907"/>
      <c r="BE20" s="908"/>
      <c r="BF20" s="217">
        <f>IF(ISNUMBER(BF19),BF19+1,1)</f>
        <v>16</v>
      </c>
      <c r="BG20" s="218" t="str">
        <f t="shared" si="25"/>
        <v>sø</v>
      </c>
      <c r="BH20" s="219" t="s">
        <v>138</v>
      </c>
      <c r="BI20" s="220" t="str">
        <f t="shared" si="26"/>
        <v/>
      </c>
      <c r="BJ20" s="906"/>
      <c r="BK20" s="907"/>
      <c r="BL20" s="908"/>
      <c r="BM20" s="217">
        <f>IF(ISNUMBER(BM19),BM19+1,1)</f>
        <v>16</v>
      </c>
      <c r="BN20" s="218" t="str">
        <f t="shared" si="28"/>
        <v>ti</v>
      </c>
      <c r="BO20" s="219" t="s">
        <v>241</v>
      </c>
      <c r="BP20" s="220" t="str">
        <f t="shared" si="29"/>
        <v/>
      </c>
      <c r="BQ20" s="906"/>
      <c r="BR20" s="907"/>
      <c r="BS20" s="908"/>
      <c r="BT20" s="217">
        <f>IF(ISNUMBER(BT19),BT19+1,1)</f>
        <v>16</v>
      </c>
      <c r="BU20" s="218" t="str">
        <f t="shared" si="31"/>
        <v>fr</v>
      </c>
      <c r="BV20" s="219" t="s">
        <v>241</v>
      </c>
      <c r="BW20" s="220" t="str">
        <f t="shared" si="32"/>
        <v/>
      </c>
      <c r="BX20" s="906"/>
      <c r="BY20" s="907"/>
      <c r="BZ20" s="908"/>
      <c r="CA20" s="217">
        <f>IF(ISNUMBER(CA19),CA19+1,1)</f>
        <v>16</v>
      </c>
      <c r="CB20" s="218" t="str">
        <f t="shared" si="34"/>
        <v>sø</v>
      </c>
      <c r="CC20" s="219" t="s">
        <v>136</v>
      </c>
      <c r="CD20" s="220" t="str">
        <f t="shared" si="35"/>
        <v/>
      </c>
      <c r="CE20" s="912"/>
      <c r="CF20" s="913"/>
      <c r="CG20" s="914"/>
      <c r="CH20" s="239"/>
      <c r="CI20" s="241"/>
      <c r="CJ20" s="126"/>
      <c r="CK20" s="126"/>
      <c r="CL20" s="126"/>
    </row>
    <row r="21" spans="1:90" ht="18" customHeight="1">
      <c r="A21" s="935"/>
      <c r="B21" s="217">
        <f t="shared" si="0"/>
        <v>17</v>
      </c>
      <c r="C21" s="218" t="str">
        <f t="shared" si="1"/>
        <v>on</v>
      </c>
      <c r="D21" s="219" t="s">
        <v>241</v>
      </c>
      <c r="E21" s="220" t="str">
        <f t="shared" si="2"/>
        <v/>
      </c>
      <c r="F21" s="906"/>
      <c r="G21" s="907"/>
      <c r="H21" s="908"/>
      <c r="I21" s="217">
        <f t="shared" si="3"/>
        <v>17</v>
      </c>
      <c r="J21" s="218" t="str">
        <f t="shared" si="4"/>
        <v>lø</v>
      </c>
      <c r="K21" s="219" t="s">
        <v>138</v>
      </c>
      <c r="L21" s="220" t="str">
        <f t="shared" si="5"/>
        <v/>
      </c>
      <c r="M21" s="906"/>
      <c r="N21" s="907"/>
      <c r="O21" s="908"/>
      <c r="P21" s="217">
        <f t="shared" si="6"/>
        <v>17</v>
      </c>
      <c r="Q21" s="218" t="str">
        <f t="shared" si="7"/>
        <v>ma</v>
      </c>
      <c r="R21" s="219" t="s">
        <v>245</v>
      </c>
      <c r="S21" s="220">
        <f t="shared" si="8"/>
        <v>42.285714285714285</v>
      </c>
      <c r="T21" s="909" t="s">
        <v>162</v>
      </c>
      <c r="U21" s="910"/>
      <c r="V21" s="911"/>
      <c r="W21" s="217">
        <f t="shared" si="9"/>
        <v>17</v>
      </c>
      <c r="X21" s="218" t="str">
        <f t="shared" si="10"/>
        <v>to</v>
      </c>
      <c r="Y21" s="219" t="s">
        <v>241</v>
      </c>
      <c r="Z21" s="220" t="str">
        <f t="shared" si="11"/>
        <v/>
      </c>
      <c r="AA21" s="906"/>
      <c r="AB21" s="907"/>
      <c r="AC21" s="908"/>
      <c r="AD21" s="217">
        <f t="shared" si="12"/>
        <v>17</v>
      </c>
      <c r="AE21" s="218" t="str">
        <f t="shared" si="13"/>
        <v>lø</v>
      </c>
      <c r="AF21" s="219" t="s">
        <v>138</v>
      </c>
      <c r="AG21" s="220" t="str">
        <f t="shared" si="14"/>
        <v/>
      </c>
      <c r="AH21" s="906"/>
      <c r="AI21" s="907"/>
      <c r="AJ21" s="908"/>
      <c r="AK21" s="217">
        <f t="shared" si="15"/>
        <v>17</v>
      </c>
      <c r="AL21" s="218" t="str">
        <f t="shared" si="16"/>
        <v>ti</v>
      </c>
      <c r="AM21" s="219" t="s">
        <v>241</v>
      </c>
      <c r="AN21" s="220" t="str">
        <f t="shared" si="17"/>
        <v/>
      </c>
      <c r="AO21" s="909"/>
      <c r="AP21" s="910"/>
      <c r="AQ21" s="911"/>
      <c r="AR21" s="217">
        <f t="shared" si="18"/>
        <v>17</v>
      </c>
      <c r="AS21" s="218" t="str">
        <f t="shared" si="19"/>
        <v>fr</v>
      </c>
      <c r="AT21" s="219" t="s">
        <v>147</v>
      </c>
      <c r="AU21" s="220" t="str">
        <f t="shared" si="20"/>
        <v/>
      </c>
      <c r="AV21" s="906" t="s">
        <v>150</v>
      </c>
      <c r="AW21" s="907"/>
      <c r="AX21" s="908"/>
      <c r="AY21" s="217">
        <f t="shared" si="21"/>
        <v>17</v>
      </c>
      <c r="AZ21" s="218" t="str">
        <f t="shared" si="22"/>
        <v>fr</v>
      </c>
      <c r="BA21" s="219" t="s">
        <v>241</v>
      </c>
      <c r="BB21" s="220" t="str">
        <f t="shared" si="23"/>
        <v/>
      </c>
      <c r="BC21" s="906"/>
      <c r="BD21" s="907"/>
      <c r="BE21" s="908"/>
      <c r="BF21" s="217">
        <f t="shared" si="24"/>
        <v>17</v>
      </c>
      <c r="BG21" s="218" t="str">
        <f t="shared" si="25"/>
        <v>ma</v>
      </c>
      <c r="BH21" s="219" t="s">
        <v>241</v>
      </c>
      <c r="BI21" s="220">
        <f t="shared" si="26"/>
        <v>16.142857142857142</v>
      </c>
      <c r="BJ21" s="906"/>
      <c r="BK21" s="907"/>
      <c r="BL21" s="908"/>
      <c r="BM21" s="217">
        <f t="shared" si="27"/>
        <v>17</v>
      </c>
      <c r="BN21" s="218" t="str">
        <f t="shared" si="28"/>
        <v>on</v>
      </c>
      <c r="BO21" s="219" t="s">
        <v>241</v>
      </c>
      <c r="BP21" s="220" t="str">
        <f t="shared" si="29"/>
        <v/>
      </c>
      <c r="BQ21" s="906"/>
      <c r="BR21" s="907"/>
      <c r="BS21" s="908"/>
      <c r="BT21" s="217">
        <f t="shared" si="30"/>
        <v>17</v>
      </c>
      <c r="BU21" s="218" t="str">
        <f t="shared" si="31"/>
        <v>lø</v>
      </c>
      <c r="BV21" s="219" t="s">
        <v>138</v>
      </c>
      <c r="BW21" s="220" t="str">
        <f t="shared" si="32"/>
        <v/>
      </c>
      <c r="BX21" s="906"/>
      <c r="BY21" s="907"/>
      <c r="BZ21" s="908"/>
      <c r="CA21" s="217">
        <f t="shared" si="33"/>
        <v>17</v>
      </c>
      <c r="CB21" s="218" t="str">
        <f t="shared" si="34"/>
        <v>ma</v>
      </c>
      <c r="CC21" s="219" t="s">
        <v>118</v>
      </c>
      <c r="CD21" s="220">
        <f t="shared" si="35"/>
        <v>29.142857142857142</v>
      </c>
      <c r="CE21" s="912" t="s">
        <v>121</v>
      </c>
      <c r="CF21" s="913"/>
      <c r="CG21" s="914"/>
      <c r="CH21" s="239"/>
      <c r="CI21" s="241"/>
      <c r="CJ21" s="126"/>
      <c r="CK21" s="126"/>
      <c r="CL21" s="126"/>
    </row>
    <row r="22" spans="1:90" ht="18" customHeight="1">
      <c r="A22" s="935"/>
      <c r="B22" s="217">
        <f t="shared" si="0"/>
        <v>18</v>
      </c>
      <c r="C22" s="218" t="str">
        <f t="shared" si="1"/>
        <v>to</v>
      </c>
      <c r="D22" s="219" t="s">
        <v>241</v>
      </c>
      <c r="E22" s="220" t="str">
        <f t="shared" si="2"/>
        <v/>
      </c>
      <c r="F22" s="906"/>
      <c r="G22" s="907"/>
      <c r="H22" s="908"/>
      <c r="I22" s="217">
        <f t="shared" si="3"/>
        <v>18</v>
      </c>
      <c r="J22" s="218" t="str">
        <f t="shared" si="4"/>
        <v>sø</v>
      </c>
      <c r="K22" s="219" t="s">
        <v>138</v>
      </c>
      <c r="L22" s="220" t="str">
        <f t="shared" si="5"/>
        <v/>
      </c>
      <c r="M22" s="906"/>
      <c r="N22" s="907"/>
      <c r="O22" s="908"/>
      <c r="P22" s="217">
        <f t="shared" si="6"/>
        <v>18</v>
      </c>
      <c r="Q22" s="218" t="str">
        <f t="shared" si="7"/>
        <v>ti</v>
      </c>
      <c r="R22" s="219" t="s">
        <v>245</v>
      </c>
      <c r="S22" s="220" t="str">
        <f t="shared" si="8"/>
        <v/>
      </c>
      <c r="T22" s="909" t="s">
        <v>162</v>
      </c>
      <c r="U22" s="910"/>
      <c r="V22" s="911"/>
      <c r="W22" s="217">
        <f t="shared" si="9"/>
        <v>18</v>
      </c>
      <c r="X22" s="218" t="str">
        <f t="shared" si="10"/>
        <v>fr</v>
      </c>
      <c r="Y22" s="219" t="s">
        <v>241</v>
      </c>
      <c r="Z22" s="220" t="str">
        <f t="shared" si="11"/>
        <v/>
      </c>
      <c r="AA22" s="906"/>
      <c r="AB22" s="907"/>
      <c r="AC22" s="908"/>
      <c r="AD22" s="217">
        <f t="shared" si="12"/>
        <v>18</v>
      </c>
      <c r="AE22" s="218" t="str">
        <f t="shared" si="13"/>
        <v>sø</v>
      </c>
      <c r="AF22" s="219" t="s">
        <v>138</v>
      </c>
      <c r="AG22" s="220" t="str">
        <f t="shared" si="14"/>
        <v/>
      </c>
      <c r="AH22" s="906"/>
      <c r="AI22" s="907"/>
      <c r="AJ22" s="908"/>
      <c r="AK22" s="217">
        <f t="shared" si="15"/>
        <v>18</v>
      </c>
      <c r="AL22" s="218" t="str">
        <f t="shared" si="16"/>
        <v>on</v>
      </c>
      <c r="AM22" s="219" t="s">
        <v>241</v>
      </c>
      <c r="AN22" s="220" t="str">
        <f t="shared" si="17"/>
        <v/>
      </c>
      <c r="AO22" s="909"/>
      <c r="AP22" s="910"/>
      <c r="AQ22" s="911"/>
      <c r="AR22" s="217">
        <f t="shared" si="18"/>
        <v>18</v>
      </c>
      <c r="AS22" s="218" t="str">
        <f t="shared" si="19"/>
        <v>lø</v>
      </c>
      <c r="AT22" s="219" t="s">
        <v>138</v>
      </c>
      <c r="AU22" s="220" t="str">
        <f t="shared" si="20"/>
        <v/>
      </c>
      <c r="AV22" s="906"/>
      <c r="AW22" s="907"/>
      <c r="AX22" s="908"/>
      <c r="AY22" s="217">
        <f t="shared" si="21"/>
        <v>18</v>
      </c>
      <c r="AZ22" s="218" t="str">
        <f t="shared" si="22"/>
        <v>lø</v>
      </c>
      <c r="BA22" s="219" t="s">
        <v>138</v>
      </c>
      <c r="BB22" s="220" t="str">
        <f t="shared" si="23"/>
        <v/>
      </c>
      <c r="BC22" s="906"/>
      <c r="BD22" s="907"/>
      <c r="BE22" s="908"/>
      <c r="BF22" s="217">
        <f t="shared" si="24"/>
        <v>18</v>
      </c>
      <c r="BG22" s="218" t="str">
        <f t="shared" si="25"/>
        <v>ti</v>
      </c>
      <c r="BH22" s="219" t="s">
        <v>241</v>
      </c>
      <c r="BI22" s="220" t="str">
        <f t="shared" si="26"/>
        <v/>
      </c>
      <c r="BJ22" s="906"/>
      <c r="BK22" s="907"/>
      <c r="BL22" s="908"/>
      <c r="BM22" s="217">
        <f t="shared" si="27"/>
        <v>18</v>
      </c>
      <c r="BN22" s="218" t="str">
        <f t="shared" si="28"/>
        <v>to</v>
      </c>
      <c r="BO22" s="219" t="s">
        <v>137</v>
      </c>
      <c r="BP22" s="220" t="str">
        <f t="shared" si="29"/>
        <v/>
      </c>
      <c r="BQ22" s="906" t="s">
        <v>204</v>
      </c>
      <c r="BR22" s="907"/>
      <c r="BS22" s="908"/>
      <c r="BT22" s="217">
        <f t="shared" si="30"/>
        <v>18</v>
      </c>
      <c r="BU22" s="218" t="str">
        <f t="shared" si="31"/>
        <v>sø</v>
      </c>
      <c r="BV22" s="219" t="s">
        <v>138</v>
      </c>
      <c r="BW22" s="220" t="str">
        <f t="shared" si="32"/>
        <v/>
      </c>
      <c r="BX22" s="906"/>
      <c r="BY22" s="907"/>
      <c r="BZ22" s="908"/>
      <c r="CA22" s="217">
        <f t="shared" si="33"/>
        <v>18</v>
      </c>
      <c r="CB22" s="218" t="str">
        <f t="shared" si="34"/>
        <v>ti</v>
      </c>
      <c r="CC22" s="219" t="s">
        <v>118</v>
      </c>
      <c r="CD22" s="220" t="str">
        <f t="shared" si="35"/>
        <v/>
      </c>
      <c r="CE22" s="912" t="s">
        <v>121</v>
      </c>
      <c r="CF22" s="913"/>
      <c r="CG22" s="914"/>
      <c r="CH22" s="239"/>
      <c r="CI22" s="241"/>
      <c r="CJ22" s="126"/>
      <c r="CK22" s="126"/>
      <c r="CL22" s="126"/>
    </row>
    <row r="23" spans="1:90" ht="18" customHeight="1" thickBot="1">
      <c r="A23" s="935"/>
      <c r="B23" s="217">
        <f t="shared" si="0"/>
        <v>19</v>
      </c>
      <c r="C23" s="218" t="str">
        <f t="shared" si="1"/>
        <v>fr</v>
      </c>
      <c r="D23" s="219" t="s">
        <v>241</v>
      </c>
      <c r="E23" s="220" t="str">
        <f t="shared" si="2"/>
        <v/>
      </c>
      <c r="F23" s="906"/>
      <c r="G23" s="907"/>
      <c r="H23" s="908"/>
      <c r="I23" s="217">
        <f t="shared" si="3"/>
        <v>19</v>
      </c>
      <c r="J23" s="218" t="str">
        <f t="shared" si="4"/>
        <v>ma</v>
      </c>
      <c r="K23" s="219" t="s">
        <v>241</v>
      </c>
      <c r="L23" s="220">
        <f t="shared" si="5"/>
        <v>38.285714285714285</v>
      </c>
      <c r="M23" s="906"/>
      <c r="N23" s="907"/>
      <c r="O23" s="908"/>
      <c r="P23" s="217">
        <f t="shared" si="6"/>
        <v>19</v>
      </c>
      <c r="Q23" s="218" t="str">
        <f t="shared" si="7"/>
        <v>on</v>
      </c>
      <c r="R23" s="219" t="s">
        <v>245</v>
      </c>
      <c r="S23" s="220" t="str">
        <f t="shared" si="8"/>
        <v/>
      </c>
      <c r="T23" s="909" t="s">
        <v>162</v>
      </c>
      <c r="U23" s="910"/>
      <c r="V23" s="911"/>
      <c r="W23" s="217">
        <f t="shared" si="9"/>
        <v>19</v>
      </c>
      <c r="X23" s="218" t="str">
        <f t="shared" si="10"/>
        <v>lø</v>
      </c>
      <c r="Y23" s="219" t="s">
        <v>138</v>
      </c>
      <c r="Z23" s="220" t="str">
        <f t="shared" si="11"/>
        <v/>
      </c>
      <c r="AA23" s="906"/>
      <c r="AB23" s="907"/>
      <c r="AC23" s="908"/>
      <c r="AD23" s="217">
        <f t="shared" si="12"/>
        <v>19</v>
      </c>
      <c r="AE23" s="218" t="str">
        <f t="shared" si="13"/>
        <v>ma</v>
      </c>
      <c r="AF23" s="219" t="s">
        <v>241</v>
      </c>
      <c r="AG23" s="220">
        <f t="shared" si="14"/>
        <v>51.285714285714285</v>
      </c>
      <c r="AH23" s="906"/>
      <c r="AI23" s="907"/>
      <c r="AJ23" s="908"/>
      <c r="AK23" s="217">
        <f t="shared" si="15"/>
        <v>19</v>
      </c>
      <c r="AL23" s="218" t="str">
        <f t="shared" si="16"/>
        <v>to</v>
      </c>
      <c r="AM23" s="219" t="s">
        <v>241</v>
      </c>
      <c r="AN23" s="220" t="str">
        <f t="shared" si="17"/>
        <v/>
      </c>
      <c r="AO23" s="909"/>
      <c r="AP23" s="910"/>
      <c r="AQ23" s="911"/>
      <c r="AR23" s="217">
        <f t="shared" si="18"/>
        <v>19</v>
      </c>
      <c r="AS23" s="218" t="str">
        <f t="shared" si="19"/>
        <v>sø</v>
      </c>
      <c r="AT23" s="219" t="s">
        <v>138</v>
      </c>
      <c r="AU23" s="220" t="str">
        <f t="shared" si="20"/>
        <v/>
      </c>
      <c r="AV23" s="906"/>
      <c r="AW23" s="907"/>
      <c r="AX23" s="908"/>
      <c r="AY23" s="217">
        <f t="shared" si="21"/>
        <v>19</v>
      </c>
      <c r="AZ23" s="218" t="str">
        <f t="shared" si="22"/>
        <v>sø</v>
      </c>
      <c r="BA23" s="219" t="s">
        <v>138</v>
      </c>
      <c r="BB23" s="220" t="str">
        <f t="shared" si="23"/>
        <v/>
      </c>
      <c r="BC23" s="906"/>
      <c r="BD23" s="907"/>
      <c r="BE23" s="908"/>
      <c r="BF23" s="217">
        <f t="shared" si="24"/>
        <v>19</v>
      </c>
      <c r="BG23" s="218" t="str">
        <f t="shared" si="25"/>
        <v>on</v>
      </c>
      <c r="BH23" s="219" t="s">
        <v>241</v>
      </c>
      <c r="BI23" s="220" t="str">
        <f t="shared" si="26"/>
        <v/>
      </c>
      <c r="BJ23" s="906"/>
      <c r="BK23" s="907"/>
      <c r="BL23" s="908"/>
      <c r="BM23" s="217">
        <f t="shared" si="27"/>
        <v>19</v>
      </c>
      <c r="BN23" s="218" t="str">
        <f t="shared" si="28"/>
        <v>fr</v>
      </c>
      <c r="BO23" s="219" t="s">
        <v>147</v>
      </c>
      <c r="BP23" s="220" t="str">
        <f t="shared" si="29"/>
        <v/>
      </c>
      <c r="BQ23" s="906"/>
      <c r="BR23" s="907"/>
      <c r="BS23" s="908"/>
      <c r="BT23" s="217">
        <f t="shared" si="30"/>
        <v>19</v>
      </c>
      <c r="BU23" s="218" t="str">
        <f t="shared" si="31"/>
        <v>ma</v>
      </c>
      <c r="BV23" s="219" t="s">
        <v>241</v>
      </c>
      <c r="BW23" s="220">
        <f t="shared" si="32"/>
        <v>25.142857142857142</v>
      </c>
      <c r="BX23" s="906"/>
      <c r="BY23" s="907"/>
      <c r="BZ23" s="908"/>
      <c r="CA23" s="217">
        <f t="shared" si="33"/>
        <v>19</v>
      </c>
      <c r="CB23" s="218" t="str">
        <f t="shared" si="34"/>
        <v>on</v>
      </c>
      <c r="CC23" s="219" t="s">
        <v>118</v>
      </c>
      <c r="CD23" s="220" t="str">
        <f t="shared" si="35"/>
        <v/>
      </c>
      <c r="CE23" s="912" t="s">
        <v>121</v>
      </c>
      <c r="CF23" s="913"/>
      <c r="CG23" s="914"/>
      <c r="CH23" s="239"/>
      <c r="CI23" s="241"/>
      <c r="CJ23" s="126"/>
      <c r="CK23" s="126"/>
      <c r="CL23" s="126"/>
    </row>
    <row r="24" spans="1:90" ht="18" customHeight="1">
      <c r="A24" s="935"/>
      <c r="B24" s="217">
        <f t="shared" si="0"/>
        <v>20</v>
      </c>
      <c r="C24" s="218" t="str">
        <f t="shared" si="1"/>
        <v>lø</v>
      </c>
      <c r="D24" s="219" t="s">
        <v>138</v>
      </c>
      <c r="E24" s="220" t="str">
        <f t="shared" si="2"/>
        <v/>
      </c>
      <c r="F24" s="906"/>
      <c r="G24" s="907"/>
      <c r="H24" s="908"/>
      <c r="I24" s="217">
        <f t="shared" si="3"/>
        <v>20</v>
      </c>
      <c r="J24" s="218" t="str">
        <f t="shared" si="4"/>
        <v>ti</v>
      </c>
      <c r="K24" s="219" t="s">
        <v>241</v>
      </c>
      <c r="L24" s="220" t="str">
        <f t="shared" si="5"/>
        <v/>
      </c>
      <c r="M24" s="906"/>
      <c r="N24" s="907"/>
      <c r="O24" s="908"/>
      <c r="P24" s="217">
        <f t="shared" si="6"/>
        <v>20</v>
      </c>
      <c r="Q24" s="218" t="str">
        <f t="shared" si="7"/>
        <v>to</v>
      </c>
      <c r="R24" s="219" t="s">
        <v>245</v>
      </c>
      <c r="S24" s="220" t="str">
        <f t="shared" si="8"/>
        <v/>
      </c>
      <c r="T24" s="909" t="s">
        <v>162</v>
      </c>
      <c r="U24" s="910"/>
      <c r="V24" s="911"/>
      <c r="W24" s="217">
        <f t="shared" si="9"/>
        <v>20</v>
      </c>
      <c r="X24" s="218" t="str">
        <f t="shared" si="10"/>
        <v>sø</v>
      </c>
      <c r="Y24" s="219" t="s">
        <v>138</v>
      </c>
      <c r="Z24" s="220" t="str">
        <f t="shared" si="11"/>
        <v/>
      </c>
      <c r="AA24" s="906"/>
      <c r="AB24" s="907"/>
      <c r="AC24" s="908"/>
      <c r="AD24" s="217">
        <f t="shared" si="12"/>
        <v>20</v>
      </c>
      <c r="AE24" s="218" t="str">
        <f t="shared" si="13"/>
        <v>ti</v>
      </c>
      <c r="AF24" s="219" t="s">
        <v>241</v>
      </c>
      <c r="AG24" s="220" t="str">
        <f t="shared" si="14"/>
        <v/>
      </c>
      <c r="AH24" s="906"/>
      <c r="AI24" s="907"/>
      <c r="AJ24" s="908"/>
      <c r="AK24" s="217">
        <f t="shared" si="15"/>
        <v>20</v>
      </c>
      <c r="AL24" s="218" t="str">
        <f t="shared" si="16"/>
        <v>fr</v>
      </c>
      <c r="AM24" s="219" t="s">
        <v>241</v>
      </c>
      <c r="AN24" s="220" t="str">
        <f t="shared" si="17"/>
        <v/>
      </c>
      <c r="AO24" s="909"/>
      <c r="AP24" s="910"/>
      <c r="AQ24" s="911"/>
      <c r="AR24" s="217">
        <f t="shared" si="18"/>
        <v>20</v>
      </c>
      <c r="AS24" s="218" t="str">
        <f t="shared" si="19"/>
        <v>ma</v>
      </c>
      <c r="AT24" s="219" t="s">
        <v>241</v>
      </c>
      <c r="AU24" s="220">
        <f t="shared" si="20"/>
        <v>8.1428571428571423</v>
      </c>
      <c r="AV24" s="906"/>
      <c r="AW24" s="907"/>
      <c r="AX24" s="908"/>
      <c r="AY24" s="217">
        <f t="shared" si="21"/>
        <v>20</v>
      </c>
      <c r="AZ24" s="218" t="str">
        <f t="shared" si="22"/>
        <v>ma</v>
      </c>
      <c r="BA24" s="219" t="s">
        <v>241</v>
      </c>
      <c r="BB24" s="220">
        <f t="shared" si="23"/>
        <v>12.142857142857142</v>
      </c>
      <c r="BC24" s="906"/>
      <c r="BD24" s="907"/>
      <c r="BE24" s="908"/>
      <c r="BF24" s="217">
        <f t="shared" si="24"/>
        <v>20</v>
      </c>
      <c r="BG24" s="218" t="str">
        <f t="shared" si="25"/>
        <v>to</v>
      </c>
      <c r="BH24" s="219" t="s">
        <v>241</v>
      </c>
      <c r="BI24" s="220" t="str">
        <f t="shared" si="26"/>
        <v/>
      </c>
      <c r="BJ24" s="906"/>
      <c r="BK24" s="907"/>
      <c r="BL24" s="908"/>
      <c r="BM24" s="217">
        <f t="shared" si="27"/>
        <v>20</v>
      </c>
      <c r="BN24" s="218" t="str">
        <f t="shared" si="28"/>
        <v>lø</v>
      </c>
      <c r="BO24" s="219" t="s">
        <v>136</v>
      </c>
      <c r="BP24" s="220" t="str">
        <f t="shared" si="29"/>
        <v/>
      </c>
      <c r="BQ24" s="906"/>
      <c r="BR24" s="907"/>
      <c r="BS24" s="908"/>
      <c r="BT24" s="217">
        <f t="shared" si="30"/>
        <v>20</v>
      </c>
      <c r="BU24" s="218" t="str">
        <f t="shared" si="31"/>
        <v>ti</v>
      </c>
      <c r="BV24" s="219" t="s">
        <v>241</v>
      </c>
      <c r="BW24" s="220" t="str">
        <f t="shared" si="32"/>
        <v/>
      </c>
      <c r="BX24" s="906"/>
      <c r="BY24" s="907"/>
      <c r="BZ24" s="908"/>
      <c r="CA24" s="217">
        <f t="shared" si="33"/>
        <v>20</v>
      </c>
      <c r="CB24" s="218" t="str">
        <f t="shared" si="34"/>
        <v>to</v>
      </c>
      <c r="CC24" s="219" t="s">
        <v>118</v>
      </c>
      <c r="CD24" s="220" t="str">
        <f t="shared" si="35"/>
        <v/>
      </c>
      <c r="CE24" s="912" t="s">
        <v>121</v>
      </c>
      <c r="CF24" s="913"/>
      <c r="CG24" s="914"/>
      <c r="CH24" s="239"/>
      <c r="CI24" s="224" t="s">
        <v>103</v>
      </c>
      <c r="CJ24" s="225"/>
      <c r="CK24" s="126"/>
      <c r="CL24" s="126"/>
    </row>
    <row r="25" spans="1:90" ht="18" customHeight="1">
      <c r="A25" s="935"/>
      <c r="B25" s="217">
        <f t="shared" si="0"/>
        <v>21</v>
      </c>
      <c r="C25" s="218" t="str">
        <f t="shared" si="1"/>
        <v>sø</v>
      </c>
      <c r="D25" s="219" t="s">
        <v>138</v>
      </c>
      <c r="E25" s="220" t="str">
        <f t="shared" si="2"/>
        <v/>
      </c>
      <c r="F25" s="906"/>
      <c r="G25" s="907"/>
      <c r="H25" s="908"/>
      <c r="I25" s="217">
        <f t="shared" si="3"/>
        <v>21</v>
      </c>
      <c r="J25" s="218" t="str">
        <f t="shared" si="4"/>
        <v>on</v>
      </c>
      <c r="K25" s="219" t="s">
        <v>241</v>
      </c>
      <c r="L25" s="220" t="str">
        <f t="shared" si="5"/>
        <v/>
      </c>
      <c r="M25" s="906"/>
      <c r="N25" s="907"/>
      <c r="O25" s="908"/>
      <c r="P25" s="217">
        <f t="shared" si="6"/>
        <v>21</v>
      </c>
      <c r="Q25" s="218" t="str">
        <f t="shared" si="7"/>
        <v>fr</v>
      </c>
      <c r="R25" s="219" t="s">
        <v>245</v>
      </c>
      <c r="S25" s="220" t="str">
        <f t="shared" si="8"/>
        <v/>
      </c>
      <c r="T25" s="909" t="s">
        <v>162</v>
      </c>
      <c r="U25" s="910"/>
      <c r="V25" s="911"/>
      <c r="W25" s="217">
        <f t="shared" si="9"/>
        <v>21</v>
      </c>
      <c r="X25" s="218" t="str">
        <f t="shared" si="10"/>
        <v>ma</v>
      </c>
      <c r="Y25" s="219" t="s">
        <v>241</v>
      </c>
      <c r="Z25" s="220">
        <f t="shared" si="11"/>
        <v>47.285714285714285</v>
      </c>
      <c r="AA25" s="906"/>
      <c r="AB25" s="907"/>
      <c r="AC25" s="908"/>
      <c r="AD25" s="217">
        <f t="shared" si="12"/>
        <v>21</v>
      </c>
      <c r="AE25" s="218" t="str">
        <f t="shared" si="13"/>
        <v>on</v>
      </c>
      <c r="AF25" s="219" t="s">
        <v>241</v>
      </c>
      <c r="AG25" s="220" t="str">
        <f t="shared" si="14"/>
        <v/>
      </c>
      <c r="AH25" s="906"/>
      <c r="AI25" s="907"/>
      <c r="AJ25" s="908"/>
      <c r="AK25" s="217">
        <f t="shared" si="15"/>
        <v>21</v>
      </c>
      <c r="AL25" s="218" t="str">
        <f t="shared" si="16"/>
        <v>lø</v>
      </c>
      <c r="AM25" s="219" t="s">
        <v>136</v>
      </c>
      <c r="AN25" s="220" t="str">
        <f t="shared" si="17"/>
        <v/>
      </c>
      <c r="AO25" s="909"/>
      <c r="AP25" s="910"/>
      <c r="AQ25" s="911"/>
      <c r="AR25" s="217">
        <f t="shared" si="18"/>
        <v>21</v>
      </c>
      <c r="AS25" s="218" t="str">
        <f t="shared" si="19"/>
        <v>ti</v>
      </c>
      <c r="AT25" s="219" t="s">
        <v>241</v>
      </c>
      <c r="AU25" s="220" t="str">
        <f t="shared" si="20"/>
        <v/>
      </c>
      <c r="AV25" s="906"/>
      <c r="AW25" s="907"/>
      <c r="AX25" s="908"/>
      <c r="AY25" s="217">
        <f t="shared" si="21"/>
        <v>21</v>
      </c>
      <c r="AZ25" s="218" t="str">
        <f t="shared" si="22"/>
        <v>ti</v>
      </c>
      <c r="BA25" s="219" t="s">
        <v>241</v>
      </c>
      <c r="BB25" s="220" t="str">
        <f t="shared" si="23"/>
        <v/>
      </c>
      <c r="BC25" s="906"/>
      <c r="BD25" s="907"/>
      <c r="BE25" s="908"/>
      <c r="BF25" s="217">
        <f t="shared" si="24"/>
        <v>21</v>
      </c>
      <c r="BG25" s="218" t="str">
        <f t="shared" si="25"/>
        <v>fr</v>
      </c>
      <c r="BH25" s="219" t="s">
        <v>241</v>
      </c>
      <c r="BI25" s="220" t="str">
        <f t="shared" si="26"/>
        <v/>
      </c>
      <c r="BJ25" s="906"/>
      <c r="BK25" s="907"/>
      <c r="BL25" s="908"/>
      <c r="BM25" s="217">
        <f t="shared" si="27"/>
        <v>21</v>
      </c>
      <c r="BN25" s="218" t="str">
        <f t="shared" si="28"/>
        <v>sø</v>
      </c>
      <c r="BO25" s="219" t="s">
        <v>136</v>
      </c>
      <c r="BP25" s="220" t="str">
        <f t="shared" si="29"/>
        <v/>
      </c>
      <c r="BQ25" s="906"/>
      <c r="BR25" s="907"/>
      <c r="BS25" s="908"/>
      <c r="BT25" s="217">
        <f t="shared" si="30"/>
        <v>21</v>
      </c>
      <c r="BU25" s="218" t="str">
        <f t="shared" si="31"/>
        <v>on</v>
      </c>
      <c r="BV25" s="219" t="s">
        <v>241</v>
      </c>
      <c r="BW25" s="220" t="str">
        <f t="shared" si="32"/>
        <v/>
      </c>
      <c r="BX25" s="906"/>
      <c r="BY25" s="907"/>
      <c r="BZ25" s="908"/>
      <c r="CA25" s="217">
        <f t="shared" si="33"/>
        <v>21</v>
      </c>
      <c r="CB25" s="218" t="str">
        <f t="shared" si="34"/>
        <v>fr</v>
      </c>
      <c r="CC25" s="219" t="s">
        <v>118</v>
      </c>
      <c r="CD25" s="220" t="str">
        <f t="shared" si="35"/>
        <v/>
      </c>
      <c r="CE25" s="912" t="s">
        <v>121</v>
      </c>
      <c r="CF25" s="913"/>
      <c r="CG25" s="914"/>
      <c r="CH25" s="239"/>
      <c r="CI25" s="226" t="s">
        <v>119</v>
      </c>
      <c r="CJ25" s="227">
        <f>CK61</f>
        <v>200</v>
      </c>
      <c r="CK25" s="126"/>
      <c r="CL25" s="126"/>
    </row>
    <row r="26" spans="1:90" ht="18" customHeight="1">
      <c r="A26" s="929" t="s">
        <v>159</v>
      </c>
      <c r="B26" s="217">
        <f t="shared" si="0"/>
        <v>22</v>
      </c>
      <c r="C26" s="218" t="str">
        <f t="shared" si="1"/>
        <v>ma</v>
      </c>
      <c r="D26" s="219" t="s">
        <v>241</v>
      </c>
      <c r="E26" s="220">
        <f t="shared" si="2"/>
        <v>34.285714285714285</v>
      </c>
      <c r="F26" s="906"/>
      <c r="G26" s="907"/>
      <c r="H26" s="908"/>
      <c r="I26" s="217">
        <f t="shared" si="3"/>
        <v>22</v>
      </c>
      <c r="J26" s="218" t="str">
        <f t="shared" si="4"/>
        <v>to</v>
      </c>
      <c r="K26" s="219" t="s">
        <v>241</v>
      </c>
      <c r="L26" s="220" t="str">
        <f t="shared" si="5"/>
        <v/>
      </c>
      <c r="M26" s="906"/>
      <c r="N26" s="907"/>
      <c r="O26" s="908"/>
      <c r="P26" s="217">
        <f t="shared" si="6"/>
        <v>22</v>
      </c>
      <c r="Q26" s="218" t="str">
        <f t="shared" si="7"/>
        <v>lø</v>
      </c>
      <c r="R26" s="219" t="s">
        <v>136</v>
      </c>
      <c r="S26" s="220" t="str">
        <f t="shared" si="8"/>
        <v/>
      </c>
      <c r="T26" s="906"/>
      <c r="U26" s="907"/>
      <c r="V26" s="908"/>
      <c r="W26" s="217">
        <f t="shared" si="9"/>
        <v>22</v>
      </c>
      <c r="X26" s="218" t="str">
        <f t="shared" si="10"/>
        <v>ti</v>
      </c>
      <c r="Y26" s="219" t="s">
        <v>241</v>
      </c>
      <c r="Z26" s="220" t="str">
        <f t="shared" si="11"/>
        <v/>
      </c>
      <c r="AA26" s="906"/>
      <c r="AB26" s="907"/>
      <c r="AC26" s="908"/>
      <c r="AD26" s="217">
        <f t="shared" si="12"/>
        <v>22</v>
      </c>
      <c r="AE26" s="218" t="str">
        <f t="shared" si="13"/>
        <v>to</v>
      </c>
      <c r="AF26" s="219" t="s">
        <v>147</v>
      </c>
      <c r="AG26" s="220" t="str">
        <f t="shared" si="14"/>
        <v/>
      </c>
      <c r="AH26" s="906"/>
      <c r="AI26" s="907"/>
      <c r="AJ26" s="908"/>
      <c r="AK26" s="217">
        <f t="shared" si="15"/>
        <v>22</v>
      </c>
      <c r="AL26" s="218" t="str">
        <f t="shared" si="16"/>
        <v>sø</v>
      </c>
      <c r="AM26" s="219" t="s">
        <v>136</v>
      </c>
      <c r="AN26" s="220" t="str">
        <f t="shared" si="17"/>
        <v/>
      </c>
      <c r="AO26" s="909"/>
      <c r="AP26" s="910"/>
      <c r="AQ26" s="911"/>
      <c r="AR26" s="217">
        <f t="shared" si="18"/>
        <v>22</v>
      </c>
      <c r="AS26" s="218" t="str">
        <f t="shared" si="19"/>
        <v>on</v>
      </c>
      <c r="AT26" s="219" t="s">
        <v>241</v>
      </c>
      <c r="AU26" s="220" t="str">
        <f t="shared" si="20"/>
        <v/>
      </c>
      <c r="AV26" s="906"/>
      <c r="AW26" s="907"/>
      <c r="AX26" s="908"/>
      <c r="AY26" s="217">
        <f t="shared" si="21"/>
        <v>22</v>
      </c>
      <c r="AZ26" s="218" t="str">
        <f t="shared" si="22"/>
        <v>on</v>
      </c>
      <c r="BA26" s="219" t="s">
        <v>241</v>
      </c>
      <c r="BB26" s="220" t="str">
        <f t="shared" si="23"/>
        <v/>
      </c>
      <c r="BC26" s="906"/>
      <c r="BD26" s="907"/>
      <c r="BE26" s="908"/>
      <c r="BF26" s="217">
        <f t="shared" si="24"/>
        <v>22</v>
      </c>
      <c r="BG26" s="218" t="str">
        <f t="shared" si="25"/>
        <v>lø</v>
      </c>
      <c r="BH26" s="219" t="s">
        <v>138</v>
      </c>
      <c r="BI26" s="220" t="str">
        <f t="shared" si="26"/>
        <v/>
      </c>
      <c r="BJ26" s="906"/>
      <c r="BK26" s="907"/>
      <c r="BL26" s="908"/>
      <c r="BM26" s="217">
        <f t="shared" si="27"/>
        <v>22</v>
      </c>
      <c r="BN26" s="218" t="str">
        <f t="shared" si="28"/>
        <v>ma</v>
      </c>
      <c r="BO26" s="219" t="s">
        <v>241</v>
      </c>
      <c r="BP26" s="220">
        <f t="shared" si="29"/>
        <v>21.142857142857142</v>
      </c>
      <c r="BQ26" s="906"/>
      <c r="BR26" s="907"/>
      <c r="BS26" s="908"/>
      <c r="BT26" s="217">
        <f t="shared" si="30"/>
        <v>22</v>
      </c>
      <c r="BU26" s="218" t="str">
        <f t="shared" si="31"/>
        <v>to</v>
      </c>
      <c r="BV26" s="219" t="s">
        <v>241</v>
      </c>
      <c r="BW26" s="220" t="str">
        <f t="shared" si="32"/>
        <v/>
      </c>
      <c r="BX26" s="906"/>
      <c r="BY26" s="907"/>
      <c r="BZ26" s="908"/>
      <c r="CA26" s="217">
        <f t="shared" si="33"/>
        <v>22</v>
      </c>
      <c r="CB26" s="218" t="str">
        <f t="shared" si="34"/>
        <v>lø</v>
      </c>
      <c r="CC26" s="219" t="s">
        <v>136</v>
      </c>
      <c r="CD26" s="220" t="str">
        <f t="shared" si="35"/>
        <v/>
      </c>
      <c r="CE26" s="912"/>
      <c r="CF26" s="913"/>
      <c r="CG26" s="914"/>
      <c r="CH26" s="239"/>
      <c r="CI26" s="228" t="s">
        <v>256</v>
      </c>
      <c r="CJ26" s="229">
        <f>CD41+BW41+BP41+BI41+BB41+AU41+AN41+AG41+Z41+S41+L41+E41</f>
        <v>0</v>
      </c>
      <c r="CK26" s="126"/>
      <c r="CL26" s="126"/>
    </row>
    <row r="27" spans="1:90" ht="18" customHeight="1">
      <c r="A27" s="929"/>
      <c r="B27" s="217">
        <f t="shared" si="0"/>
        <v>23</v>
      </c>
      <c r="C27" s="218" t="str">
        <f t="shared" si="1"/>
        <v>ti</v>
      </c>
      <c r="D27" s="219" t="s">
        <v>241</v>
      </c>
      <c r="E27" s="220" t="str">
        <f t="shared" si="2"/>
        <v/>
      </c>
      <c r="F27" s="906"/>
      <c r="G27" s="907"/>
      <c r="H27" s="908"/>
      <c r="I27" s="217">
        <f t="shared" si="3"/>
        <v>23</v>
      </c>
      <c r="J27" s="218" t="str">
        <f t="shared" si="4"/>
        <v>fr</v>
      </c>
      <c r="K27" s="219" t="s">
        <v>241</v>
      </c>
      <c r="L27" s="220" t="str">
        <f t="shared" si="5"/>
        <v/>
      </c>
      <c r="M27" s="906"/>
      <c r="N27" s="907"/>
      <c r="O27" s="908"/>
      <c r="P27" s="217">
        <f t="shared" si="6"/>
        <v>23</v>
      </c>
      <c r="Q27" s="218" t="str">
        <f t="shared" si="7"/>
        <v>sø</v>
      </c>
      <c r="R27" s="219" t="s">
        <v>136</v>
      </c>
      <c r="S27" s="220" t="str">
        <f t="shared" si="8"/>
        <v/>
      </c>
      <c r="T27" s="906"/>
      <c r="U27" s="907"/>
      <c r="V27" s="908"/>
      <c r="W27" s="217">
        <f t="shared" si="9"/>
        <v>23</v>
      </c>
      <c r="X27" s="218" t="str">
        <f t="shared" si="10"/>
        <v>on</v>
      </c>
      <c r="Y27" s="219" t="s">
        <v>241</v>
      </c>
      <c r="Z27" s="220" t="str">
        <f t="shared" si="11"/>
        <v/>
      </c>
      <c r="AA27" s="906"/>
      <c r="AB27" s="907"/>
      <c r="AC27" s="908"/>
      <c r="AD27" s="217">
        <f t="shared" si="12"/>
        <v>23</v>
      </c>
      <c r="AE27" s="218" t="str">
        <f t="shared" si="13"/>
        <v>fr</v>
      </c>
      <c r="AF27" s="219" t="s">
        <v>147</v>
      </c>
      <c r="AG27" s="220" t="str">
        <f t="shared" si="14"/>
        <v/>
      </c>
      <c r="AH27" s="906"/>
      <c r="AI27" s="907"/>
      <c r="AJ27" s="908"/>
      <c r="AK27" s="217">
        <f t="shared" si="15"/>
        <v>23</v>
      </c>
      <c r="AL27" s="218" t="str">
        <f t="shared" si="16"/>
        <v>ma</v>
      </c>
      <c r="AM27" s="219" t="s">
        <v>241</v>
      </c>
      <c r="AN27" s="220">
        <f t="shared" si="17"/>
        <v>4.1428571428571432</v>
      </c>
      <c r="AO27" s="909"/>
      <c r="AP27" s="910"/>
      <c r="AQ27" s="911"/>
      <c r="AR27" s="217">
        <f t="shared" si="18"/>
        <v>23</v>
      </c>
      <c r="AS27" s="218" t="str">
        <f t="shared" si="19"/>
        <v>to</v>
      </c>
      <c r="AT27" s="219" t="s">
        <v>241</v>
      </c>
      <c r="AU27" s="220" t="str">
        <f t="shared" si="20"/>
        <v/>
      </c>
      <c r="AV27" s="906"/>
      <c r="AW27" s="907"/>
      <c r="AX27" s="908"/>
      <c r="AY27" s="217">
        <f t="shared" si="21"/>
        <v>23</v>
      </c>
      <c r="AZ27" s="218" t="str">
        <f t="shared" si="22"/>
        <v>to</v>
      </c>
      <c r="BA27" s="219" t="s">
        <v>241</v>
      </c>
      <c r="BB27" s="220" t="str">
        <f t="shared" si="23"/>
        <v/>
      </c>
      <c r="BC27" s="906"/>
      <c r="BD27" s="907"/>
      <c r="BE27" s="908"/>
      <c r="BF27" s="217">
        <f t="shared" si="24"/>
        <v>23</v>
      </c>
      <c r="BG27" s="218" t="str">
        <f t="shared" si="25"/>
        <v>sø</v>
      </c>
      <c r="BH27" s="219" t="s">
        <v>138</v>
      </c>
      <c r="BI27" s="220" t="str">
        <f t="shared" si="26"/>
        <v/>
      </c>
      <c r="BJ27" s="906"/>
      <c r="BK27" s="907"/>
      <c r="BL27" s="908"/>
      <c r="BM27" s="217">
        <f t="shared" si="27"/>
        <v>23</v>
      </c>
      <c r="BN27" s="218" t="str">
        <f t="shared" si="28"/>
        <v>ti</v>
      </c>
      <c r="BO27" s="219" t="s">
        <v>241</v>
      </c>
      <c r="BP27" s="220" t="str">
        <f t="shared" si="29"/>
        <v/>
      </c>
      <c r="BQ27" s="906"/>
      <c r="BR27" s="907"/>
      <c r="BS27" s="908"/>
      <c r="BT27" s="217">
        <f t="shared" si="30"/>
        <v>23</v>
      </c>
      <c r="BU27" s="218" t="str">
        <f t="shared" si="31"/>
        <v>fr</v>
      </c>
      <c r="BV27" s="219" t="s">
        <v>241</v>
      </c>
      <c r="BW27" s="220" t="str">
        <f t="shared" si="32"/>
        <v/>
      </c>
      <c r="BX27" s="906"/>
      <c r="BY27" s="907"/>
      <c r="BZ27" s="908"/>
      <c r="CA27" s="217">
        <f t="shared" si="33"/>
        <v>23</v>
      </c>
      <c r="CB27" s="218" t="str">
        <f t="shared" si="34"/>
        <v>sø</v>
      </c>
      <c r="CC27" s="219" t="s">
        <v>136</v>
      </c>
      <c r="CD27" s="220" t="str">
        <f t="shared" si="35"/>
        <v/>
      </c>
      <c r="CE27" s="912"/>
      <c r="CF27" s="913"/>
      <c r="CG27" s="914"/>
      <c r="CH27" s="239"/>
      <c r="CI27" s="230" t="s">
        <v>116</v>
      </c>
      <c r="CJ27" s="231">
        <f>CD42+BW42+BP42+BI42+BB42+AU42+AN42+AG42+Z42+S42+L42+E42</f>
        <v>0</v>
      </c>
      <c r="CK27" s="126"/>
      <c r="CL27" s="126"/>
    </row>
    <row r="28" spans="1:90" ht="18" customHeight="1">
      <c r="A28" s="931" t="s">
        <v>161</v>
      </c>
      <c r="B28" s="217">
        <f t="shared" si="0"/>
        <v>24</v>
      </c>
      <c r="C28" s="218" t="str">
        <f t="shared" si="1"/>
        <v>on</v>
      </c>
      <c r="D28" s="219" t="s">
        <v>241</v>
      </c>
      <c r="E28" s="220" t="str">
        <f t="shared" si="2"/>
        <v/>
      </c>
      <c r="F28" s="906"/>
      <c r="G28" s="907"/>
      <c r="H28" s="908"/>
      <c r="I28" s="217">
        <f t="shared" si="3"/>
        <v>24</v>
      </c>
      <c r="J28" s="218" t="str">
        <f t="shared" si="4"/>
        <v>lø</v>
      </c>
      <c r="K28" s="219" t="s">
        <v>138</v>
      </c>
      <c r="L28" s="220" t="str">
        <f t="shared" si="5"/>
        <v/>
      </c>
      <c r="M28" s="906"/>
      <c r="N28" s="907"/>
      <c r="O28" s="908"/>
      <c r="P28" s="217">
        <f t="shared" si="6"/>
        <v>24</v>
      </c>
      <c r="Q28" s="218" t="str">
        <f t="shared" si="7"/>
        <v>ma</v>
      </c>
      <c r="R28" s="219" t="s">
        <v>241</v>
      </c>
      <c r="S28" s="220">
        <f t="shared" si="8"/>
        <v>43.285714285714285</v>
      </c>
      <c r="T28" s="906"/>
      <c r="U28" s="907"/>
      <c r="V28" s="908"/>
      <c r="W28" s="217">
        <f t="shared" si="9"/>
        <v>24</v>
      </c>
      <c r="X28" s="218" t="str">
        <f t="shared" si="10"/>
        <v>to</v>
      </c>
      <c r="Y28" s="219" t="s">
        <v>241</v>
      </c>
      <c r="Z28" s="220" t="str">
        <f t="shared" si="11"/>
        <v/>
      </c>
      <c r="AA28" s="906"/>
      <c r="AB28" s="907"/>
      <c r="AC28" s="908"/>
      <c r="AD28" s="217">
        <f t="shared" si="12"/>
        <v>24</v>
      </c>
      <c r="AE28" s="218" t="str">
        <f t="shared" si="13"/>
        <v>lø</v>
      </c>
      <c r="AF28" s="219" t="s">
        <v>138</v>
      </c>
      <c r="AG28" s="220" t="str">
        <f t="shared" si="14"/>
        <v/>
      </c>
      <c r="AH28" s="906" t="s">
        <v>149</v>
      </c>
      <c r="AI28" s="907"/>
      <c r="AJ28" s="908"/>
      <c r="AK28" s="217">
        <f t="shared" si="15"/>
        <v>24</v>
      </c>
      <c r="AL28" s="218" t="str">
        <f t="shared" si="16"/>
        <v>ti</v>
      </c>
      <c r="AM28" s="219" t="s">
        <v>241</v>
      </c>
      <c r="AN28" s="220" t="str">
        <f t="shared" si="17"/>
        <v/>
      </c>
      <c r="AO28" s="909"/>
      <c r="AP28" s="910"/>
      <c r="AQ28" s="911"/>
      <c r="AR28" s="217">
        <f t="shared" si="18"/>
        <v>24</v>
      </c>
      <c r="AS28" s="218" t="str">
        <f t="shared" si="19"/>
        <v>fr</v>
      </c>
      <c r="AT28" s="219" t="s">
        <v>241</v>
      </c>
      <c r="AU28" s="220" t="str">
        <f t="shared" si="20"/>
        <v/>
      </c>
      <c r="AV28" s="906"/>
      <c r="AW28" s="907"/>
      <c r="AX28" s="908"/>
      <c r="AY28" s="217">
        <f t="shared" si="21"/>
        <v>24</v>
      </c>
      <c r="AZ28" s="218" t="str">
        <f t="shared" si="22"/>
        <v>fr</v>
      </c>
      <c r="BA28" s="219" t="s">
        <v>241</v>
      </c>
      <c r="BB28" s="220" t="str">
        <f t="shared" si="23"/>
        <v/>
      </c>
      <c r="BC28" s="906"/>
      <c r="BD28" s="907"/>
      <c r="BE28" s="908"/>
      <c r="BF28" s="217">
        <f t="shared" si="24"/>
        <v>24</v>
      </c>
      <c r="BG28" s="218" t="str">
        <f t="shared" si="25"/>
        <v>ma</v>
      </c>
      <c r="BH28" s="219" t="s">
        <v>241</v>
      </c>
      <c r="BI28" s="220">
        <f t="shared" si="26"/>
        <v>17.142857142857142</v>
      </c>
      <c r="BJ28" s="906"/>
      <c r="BK28" s="907"/>
      <c r="BL28" s="908"/>
      <c r="BM28" s="217">
        <f t="shared" si="27"/>
        <v>24</v>
      </c>
      <c r="BN28" s="218" t="str">
        <f t="shared" si="28"/>
        <v>on</v>
      </c>
      <c r="BO28" s="219" t="s">
        <v>241</v>
      </c>
      <c r="BP28" s="220" t="str">
        <f t="shared" si="29"/>
        <v/>
      </c>
      <c r="BQ28" s="906"/>
      <c r="BR28" s="907"/>
      <c r="BS28" s="908"/>
      <c r="BT28" s="217">
        <f t="shared" si="30"/>
        <v>24</v>
      </c>
      <c r="BU28" s="218" t="str">
        <f t="shared" si="31"/>
        <v>lø</v>
      </c>
      <c r="BV28" s="219" t="s">
        <v>138</v>
      </c>
      <c r="BW28" s="220" t="str">
        <f t="shared" si="32"/>
        <v/>
      </c>
      <c r="BX28" s="906"/>
      <c r="BY28" s="907"/>
      <c r="BZ28" s="908"/>
      <c r="CA28" s="217">
        <f t="shared" si="33"/>
        <v>24</v>
      </c>
      <c r="CB28" s="218" t="str">
        <f t="shared" si="34"/>
        <v>ma</v>
      </c>
      <c r="CC28" s="219" t="s">
        <v>118</v>
      </c>
      <c r="CD28" s="220">
        <f t="shared" si="35"/>
        <v>30.142857142857142</v>
      </c>
      <c r="CE28" s="912" t="s">
        <v>121</v>
      </c>
      <c r="CF28" s="913"/>
      <c r="CG28" s="914"/>
      <c r="CH28" s="239"/>
      <c r="CI28" s="396" t="s">
        <v>115</v>
      </c>
      <c r="CJ28" s="397">
        <f>CD44+BW44+BP44+BI44+BB44+AU44+AN44+AG44+Z44+S44+L44+E44</f>
        <v>0</v>
      </c>
      <c r="CK28" s="126"/>
      <c r="CL28" s="126"/>
    </row>
    <row r="29" spans="1:90" ht="18" customHeight="1">
      <c r="A29" s="931"/>
      <c r="B29" s="217">
        <f t="shared" si="0"/>
        <v>25</v>
      </c>
      <c r="C29" s="218" t="str">
        <f t="shared" si="1"/>
        <v>to</v>
      </c>
      <c r="D29" s="219" t="s">
        <v>241</v>
      </c>
      <c r="E29" s="220" t="str">
        <f t="shared" si="2"/>
        <v/>
      </c>
      <c r="F29" s="906"/>
      <c r="G29" s="907"/>
      <c r="H29" s="908"/>
      <c r="I29" s="217">
        <f t="shared" si="3"/>
        <v>25</v>
      </c>
      <c r="J29" s="218" t="str">
        <f t="shared" si="4"/>
        <v>sø</v>
      </c>
      <c r="K29" s="219" t="s">
        <v>138</v>
      </c>
      <c r="L29" s="220" t="str">
        <f t="shared" si="5"/>
        <v/>
      </c>
      <c r="M29" s="906"/>
      <c r="N29" s="907"/>
      <c r="O29" s="908"/>
      <c r="P29" s="217">
        <f t="shared" si="6"/>
        <v>25</v>
      </c>
      <c r="Q29" s="218" t="str">
        <f t="shared" si="7"/>
        <v>ti</v>
      </c>
      <c r="R29" s="219" t="s">
        <v>241</v>
      </c>
      <c r="S29" s="220" t="str">
        <f t="shared" si="8"/>
        <v/>
      </c>
      <c r="T29" s="906"/>
      <c r="U29" s="907"/>
      <c r="V29" s="908"/>
      <c r="W29" s="217">
        <f t="shared" si="9"/>
        <v>25</v>
      </c>
      <c r="X29" s="218" t="str">
        <f t="shared" si="10"/>
        <v>fr</v>
      </c>
      <c r="Y29" s="219" t="s">
        <v>241</v>
      </c>
      <c r="Z29" s="220" t="str">
        <f t="shared" si="11"/>
        <v/>
      </c>
      <c r="AA29" s="906"/>
      <c r="AB29" s="907"/>
      <c r="AC29" s="908"/>
      <c r="AD29" s="217">
        <f t="shared" si="12"/>
        <v>25</v>
      </c>
      <c r="AE29" s="218" t="str">
        <f t="shared" si="13"/>
        <v>sø</v>
      </c>
      <c r="AF29" s="219" t="s">
        <v>138</v>
      </c>
      <c r="AG29" s="220" t="str">
        <f t="shared" si="14"/>
        <v/>
      </c>
      <c r="AH29" s="906" t="s">
        <v>163</v>
      </c>
      <c r="AI29" s="907"/>
      <c r="AJ29" s="908"/>
      <c r="AK29" s="217">
        <f t="shared" si="15"/>
        <v>25</v>
      </c>
      <c r="AL29" s="218" t="str">
        <f t="shared" si="16"/>
        <v>on</v>
      </c>
      <c r="AM29" s="219" t="s">
        <v>241</v>
      </c>
      <c r="AN29" s="220" t="str">
        <f t="shared" si="17"/>
        <v/>
      </c>
      <c r="AO29" s="909"/>
      <c r="AP29" s="910"/>
      <c r="AQ29" s="911"/>
      <c r="AR29" s="217">
        <f t="shared" si="18"/>
        <v>25</v>
      </c>
      <c r="AS29" s="218" t="str">
        <f t="shared" si="19"/>
        <v>lø</v>
      </c>
      <c r="AT29" s="219" t="s">
        <v>138</v>
      </c>
      <c r="AU29" s="220" t="str">
        <f t="shared" si="20"/>
        <v/>
      </c>
      <c r="AV29" s="906"/>
      <c r="AW29" s="907"/>
      <c r="AX29" s="908"/>
      <c r="AY29" s="217">
        <f t="shared" si="21"/>
        <v>25</v>
      </c>
      <c r="AZ29" s="218" t="str">
        <f t="shared" si="22"/>
        <v>lø</v>
      </c>
      <c r="BA29" s="219" t="s">
        <v>138</v>
      </c>
      <c r="BB29" s="220" t="str">
        <f t="shared" si="23"/>
        <v/>
      </c>
      <c r="BC29" s="906"/>
      <c r="BD29" s="907"/>
      <c r="BE29" s="908"/>
      <c r="BF29" s="217">
        <f t="shared" si="24"/>
        <v>25</v>
      </c>
      <c r="BG29" s="218" t="str">
        <f t="shared" si="25"/>
        <v>ti</v>
      </c>
      <c r="BH29" s="219" t="s">
        <v>241</v>
      </c>
      <c r="BI29" s="220" t="str">
        <f t="shared" si="26"/>
        <v/>
      </c>
      <c r="BJ29" s="906"/>
      <c r="BK29" s="907"/>
      <c r="BL29" s="908"/>
      <c r="BM29" s="217">
        <f t="shared" si="27"/>
        <v>25</v>
      </c>
      <c r="BN29" s="218" t="str">
        <f t="shared" si="28"/>
        <v>to</v>
      </c>
      <c r="BO29" s="219" t="s">
        <v>241</v>
      </c>
      <c r="BP29" s="220" t="str">
        <f t="shared" si="29"/>
        <v/>
      </c>
      <c r="BQ29" s="906"/>
      <c r="BR29" s="907"/>
      <c r="BS29" s="908"/>
      <c r="BT29" s="217">
        <f t="shared" si="30"/>
        <v>25</v>
      </c>
      <c r="BU29" s="218" t="str">
        <f t="shared" si="31"/>
        <v>sø</v>
      </c>
      <c r="BV29" s="219" t="s">
        <v>138</v>
      </c>
      <c r="BW29" s="220" t="str">
        <f t="shared" si="32"/>
        <v/>
      </c>
      <c r="BX29" s="906"/>
      <c r="BY29" s="907"/>
      <c r="BZ29" s="908"/>
      <c r="CA29" s="217">
        <f t="shared" si="33"/>
        <v>25</v>
      </c>
      <c r="CB29" s="218" t="str">
        <f t="shared" si="34"/>
        <v>ti</v>
      </c>
      <c r="CC29" s="219" t="s">
        <v>118</v>
      </c>
      <c r="CD29" s="220" t="str">
        <f t="shared" si="35"/>
        <v/>
      </c>
      <c r="CE29" s="912" t="s">
        <v>121</v>
      </c>
      <c r="CF29" s="913"/>
      <c r="CG29" s="914"/>
      <c r="CH29" s="239"/>
      <c r="CI29" s="232" t="s">
        <v>257</v>
      </c>
      <c r="CJ29" s="233">
        <f>CD45+BW45+BP45+BI45+BB45+AU45+AN45+AG45+Z45+S45+L45+E45</f>
        <v>104</v>
      </c>
      <c r="CK29" s="126"/>
      <c r="CL29" s="126"/>
    </row>
    <row r="30" spans="1:90" ht="18" customHeight="1">
      <c r="A30" s="199" t="s">
        <v>138</v>
      </c>
      <c r="B30" s="217">
        <f t="shared" si="0"/>
        <v>26</v>
      </c>
      <c r="C30" s="218" t="str">
        <f t="shared" si="1"/>
        <v>fr</v>
      </c>
      <c r="D30" s="219" t="s">
        <v>241</v>
      </c>
      <c r="E30" s="220" t="str">
        <f t="shared" si="2"/>
        <v/>
      </c>
      <c r="F30" s="906"/>
      <c r="G30" s="907"/>
      <c r="H30" s="908"/>
      <c r="I30" s="217">
        <f t="shared" si="3"/>
        <v>26</v>
      </c>
      <c r="J30" s="218" t="str">
        <f t="shared" si="4"/>
        <v>ma</v>
      </c>
      <c r="K30" s="219" t="s">
        <v>241</v>
      </c>
      <c r="L30" s="220">
        <f t="shared" si="5"/>
        <v>39.285714285714285</v>
      </c>
      <c r="M30" s="906"/>
      <c r="N30" s="907"/>
      <c r="O30" s="908"/>
      <c r="P30" s="217">
        <f t="shared" si="6"/>
        <v>26</v>
      </c>
      <c r="Q30" s="218" t="str">
        <f t="shared" si="7"/>
        <v>on</v>
      </c>
      <c r="R30" s="219" t="s">
        <v>241</v>
      </c>
      <c r="S30" s="220" t="str">
        <f t="shared" si="8"/>
        <v/>
      </c>
      <c r="T30" s="906"/>
      <c r="U30" s="907"/>
      <c r="V30" s="908"/>
      <c r="W30" s="217">
        <f t="shared" si="9"/>
        <v>26</v>
      </c>
      <c r="X30" s="218" t="str">
        <f t="shared" si="10"/>
        <v>lø</v>
      </c>
      <c r="Y30" s="219" t="s">
        <v>138</v>
      </c>
      <c r="Z30" s="220" t="str">
        <f t="shared" si="11"/>
        <v/>
      </c>
      <c r="AA30" s="906"/>
      <c r="AB30" s="907"/>
      <c r="AC30" s="908"/>
      <c r="AD30" s="217">
        <f t="shared" si="12"/>
        <v>26</v>
      </c>
      <c r="AE30" s="218" t="str">
        <f t="shared" si="13"/>
        <v>ma</v>
      </c>
      <c r="AF30" s="219" t="s">
        <v>137</v>
      </c>
      <c r="AG30" s="220">
        <f t="shared" si="14"/>
        <v>52.285714285714285</v>
      </c>
      <c r="AH30" s="906" t="s">
        <v>101</v>
      </c>
      <c r="AI30" s="907"/>
      <c r="AJ30" s="908"/>
      <c r="AK30" s="217">
        <f t="shared" si="15"/>
        <v>26</v>
      </c>
      <c r="AL30" s="218" t="str">
        <f t="shared" si="16"/>
        <v>to</v>
      </c>
      <c r="AM30" s="219" t="s">
        <v>241</v>
      </c>
      <c r="AN30" s="220" t="str">
        <f t="shared" si="17"/>
        <v/>
      </c>
      <c r="AO30" s="909"/>
      <c r="AP30" s="910"/>
      <c r="AQ30" s="911"/>
      <c r="AR30" s="217">
        <f t="shared" si="18"/>
        <v>26</v>
      </c>
      <c r="AS30" s="218" t="str">
        <f t="shared" si="19"/>
        <v>sø</v>
      </c>
      <c r="AT30" s="219" t="s">
        <v>138</v>
      </c>
      <c r="AU30" s="220" t="str">
        <f t="shared" si="20"/>
        <v/>
      </c>
      <c r="AV30" s="906"/>
      <c r="AW30" s="907"/>
      <c r="AX30" s="908"/>
      <c r="AY30" s="217">
        <f t="shared" si="21"/>
        <v>26</v>
      </c>
      <c r="AZ30" s="218" t="str">
        <f t="shared" si="22"/>
        <v>sø</v>
      </c>
      <c r="BA30" s="219" t="s">
        <v>138</v>
      </c>
      <c r="BB30" s="220" t="str">
        <f t="shared" si="23"/>
        <v/>
      </c>
      <c r="BC30" s="906"/>
      <c r="BD30" s="907"/>
      <c r="BE30" s="908"/>
      <c r="BF30" s="217">
        <f t="shared" si="24"/>
        <v>26</v>
      </c>
      <c r="BG30" s="218" t="str">
        <f t="shared" si="25"/>
        <v>on</v>
      </c>
      <c r="BH30" s="219" t="s">
        <v>241</v>
      </c>
      <c r="BI30" s="220" t="str">
        <f t="shared" si="26"/>
        <v/>
      </c>
      <c r="BJ30" s="906"/>
      <c r="BK30" s="907"/>
      <c r="BL30" s="908"/>
      <c r="BM30" s="217">
        <f t="shared" si="27"/>
        <v>26</v>
      </c>
      <c r="BN30" s="218" t="str">
        <f t="shared" si="28"/>
        <v>fr</v>
      </c>
      <c r="BO30" s="219" t="s">
        <v>241</v>
      </c>
      <c r="BP30" s="220" t="str">
        <f t="shared" si="29"/>
        <v/>
      </c>
      <c r="BQ30" s="906"/>
      <c r="BR30" s="907"/>
      <c r="BS30" s="908"/>
      <c r="BT30" s="217">
        <f t="shared" si="30"/>
        <v>26</v>
      </c>
      <c r="BU30" s="218" t="str">
        <f t="shared" si="31"/>
        <v>ma</v>
      </c>
      <c r="BV30" s="219" t="s">
        <v>147</v>
      </c>
      <c r="BW30" s="220">
        <f t="shared" si="32"/>
        <v>26.142857142857142</v>
      </c>
      <c r="BX30" s="906"/>
      <c r="BY30" s="907"/>
      <c r="BZ30" s="908"/>
      <c r="CA30" s="217">
        <f t="shared" si="33"/>
        <v>26</v>
      </c>
      <c r="CB30" s="218" t="str">
        <f t="shared" si="34"/>
        <v>on</v>
      </c>
      <c r="CC30" s="219" t="s">
        <v>118</v>
      </c>
      <c r="CD30" s="220" t="str">
        <f t="shared" si="35"/>
        <v/>
      </c>
      <c r="CE30" s="912" t="s">
        <v>121</v>
      </c>
      <c r="CF30" s="913"/>
      <c r="CG30" s="914"/>
      <c r="CH30" s="239"/>
      <c r="CI30" s="232" t="s">
        <v>260</v>
      </c>
      <c r="CJ30" s="233">
        <f>CI119</f>
        <v>0</v>
      </c>
      <c r="CK30" s="126"/>
      <c r="CL30" s="126"/>
    </row>
    <row r="31" spans="1:90" ht="18" customHeight="1">
      <c r="A31" s="190" t="s">
        <v>245</v>
      </c>
      <c r="B31" s="217">
        <f t="shared" si="0"/>
        <v>27</v>
      </c>
      <c r="C31" s="218" t="str">
        <f t="shared" si="1"/>
        <v>lø</v>
      </c>
      <c r="D31" s="219" t="s">
        <v>138</v>
      </c>
      <c r="E31" s="220" t="str">
        <f t="shared" si="2"/>
        <v/>
      </c>
      <c r="F31" s="906"/>
      <c r="G31" s="907"/>
      <c r="H31" s="908"/>
      <c r="I31" s="217">
        <f t="shared" si="3"/>
        <v>27</v>
      </c>
      <c r="J31" s="218" t="str">
        <f t="shared" si="4"/>
        <v>ti</v>
      </c>
      <c r="K31" s="219" t="s">
        <v>241</v>
      </c>
      <c r="L31" s="220" t="str">
        <f t="shared" si="5"/>
        <v/>
      </c>
      <c r="M31" s="906"/>
      <c r="N31" s="907"/>
      <c r="O31" s="908"/>
      <c r="P31" s="217">
        <f t="shared" si="6"/>
        <v>27</v>
      </c>
      <c r="Q31" s="218" t="str">
        <f t="shared" si="7"/>
        <v>to</v>
      </c>
      <c r="R31" s="219" t="s">
        <v>241</v>
      </c>
      <c r="S31" s="220" t="str">
        <f t="shared" si="8"/>
        <v/>
      </c>
      <c r="T31" s="906"/>
      <c r="U31" s="907"/>
      <c r="V31" s="908"/>
      <c r="W31" s="217">
        <f t="shared" si="9"/>
        <v>27</v>
      </c>
      <c r="X31" s="218" t="str">
        <f t="shared" si="10"/>
        <v>sø</v>
      </c>
      <c r="Y31" s="219" t="s">
        <v>138</v>
      </c>
      <c r="Z31" s="220" t="str">
        <f t="shared" si="11"/>
        <v/>
      </c>
      <c r="AA31" s="906"/>
      <c r="AB31" s="907"/>
      <c r="AC31" s="908"/>
      <c r="AD31" s="217">
        <f t="shared" si="12"/>
        <v>27</v>
      </c>
      <c r="AE31" s="218" t="str">
        <f t="shared" si="13"/>
        <v>ti</v>
      </c>
      <c r="AF31" s="219" t="s">
        <v>147</v>
      </c>
      <c r="AG31" s="220" t="str">
        <f t="shared" si="14"/>
        <v/>
      </c>
      <c r="AH31" s="906"/>
      <c r="AI31" s="907"/>
      <c r="AJ31" s="908"/>
      <c r="AK31" s="217">
        <f t="shared" si="15"/>
        <v>27</v>
      </c>
      <c r="AL31" s="218" t="str">
        <f t="shared" si="16"/>
        <v>fr</v>
      </c>
      <c r="AM31" s="219" t="s">
        <v>241</v>
      </c>
      <c r="AN31" s="220" t="str">
        <f t="shared" si="17"/>
        <v/>
      </c>
      <c r="AO31" s="909"/>
      <c r="AP31" s="910"/>
      <c r="AQ31" s="911"/>
      <c r="AR31" s="217">
        <f t="shared" si="18"/>
        <v>27</v>
      </c>
      <c r="AS31" s="218" t="str">
        <f t="shared" si="19"/>
        <v>ma</v>
      </c>
      <c r="AT31" s="219" t="s">
        <v>241</v>
      </c>
      <c r="AU31" s="220">
        <f t="shared" si="20"/>
        <v>9.1428571428571423</v>
      </c>
      <c r="AV31" s="906"/>
      <c r="AW31" s="907"/>
      <c r="AX31" s="908"/>
      <c r="AY31" s="217">
        <f t="shared" si="21"/>
        <v>27</v>
      </c>
      <c r="AZ31" s="218" t="str">
        <f t="shared" si="22"/>
        <v>ma</v>
      </c>
      <c r="BA31" s="219" t="s">
        <v>241</v>
      </c>
      <c r="BB31" s="220">
        <f t="shared" si="23"/>
        <v>13.142857142857142</v>
      </c>
      <c r="BC31" s="906"/>
      <c r="BD31" s="907"/>
      <c r="BE31" s="908"/>
      <c r="BF31" s="217">
        <f t="shared" si="24"/>
        <v>27</v>
      </c>
      <c r="BG31" s="218" t="str">
        <f t="shared" si="25"/>
        <v>to</v>
      </c>
      <c r="BH31" s="219" t="s">
        <v>241</v>
      </c>
      <c r="BI31" s="220" t="str">
        <f t="shared" si="26"/>
        <v/>
      </c>
      <c r="BJ31" s="906"/>
      <c r="BK31" s="907"/>
      <c r="BL31" s="908"/>
      <c r="BM31" s="217">
        <f t="shared" si="27"/>
        <v>27</v>
      </c>
      <c r="BN31" s="218" t="str">
        <f t="shared" si="28"/>
        <v>lø</v>
      </c>
      <c r="BO31" s="219" t="s">
        <v>136</v>
      </c>
      <c r="BP31" s="220" t="str">
        <f t="shared" si="29"/>
        <v/>
      </c>
      <c r="BQ31" s="906"/>
      <c r="BR31" s="907"/>
      <c r="BS31" s="908"/>
      <c r="BT31" s="217">
        <f t="shared" si="30"/>
        <v>27</v>
      </c>
      <c r="BU31" s="218" t="str">
        <f t="shared" si="31"/>
        <v>ti</v>
      </c>
      <c r="BV31" s="219" t="s">
        <v>147</v>
      </c>
      <c r="BW31" s="220" t="str">
        <f t="shared" si="32"/>
        <v/>
      </c>
      <c r="BX31" s="906"/>
      <c r="BY31" s="907"/>
      <c r="BZ31" s="908"/>
      <c r="CA31" s="217">
        <f t="shared" si="33"/>
        <v>27</v>
      </c>
      <c r="CB31" s="218" t="str">
        <f t="shared" si="34"/>
        <v>to</v>
      </c>
      <c r="CC31" s="219" t="s">
        <v>118</v>
      </c>
      <c r="CD31" s="220" t="str">
        <f t="shared" si="35"/>
        <v/>
      </c>
      <c r="CE31" s="912" t="s">
        <v>121</v>
      </c>
      <c r="CF31" s="913"/>
      <c r="CG31" s="914"/>
      <c r="CH31" s="239"/>
      <c r="CI31" s="234" t="s">
        <v>146</v>
      </c>
      <c r="CJ31" s="235">
        <f>CD46+BW46+BP46+BI46+BB46+AU46+AN46+AG46+Z46+S46+L46+E46</f>
        <v>7</v>
      </c>
      <c r="CK31" s="126"/>
      <c r="CL31" s="126"/>
    </row>
    <row r="32" spans="1:90" ht="18" customHeight="1">
      <c r="A32" s="181" t="s">
        <v>137</v>
      </c>
      <c r="B32" s="217">
        <f t="shared" si="0"/>
        <v>28</v>
      </c>
      <c r="C32" s="218" t="str">
        <f t="shared" si="1"/>
        <v>sø</v>
      </c>
      <c r="D32" s="219" t="s">
        <v>138</v>
      </c>
      <c r="E32" s="220" t="str">
        <f t="shared" si="2"/>
        <v/>
      </c>
      <c r="F32" s="906"/>
      <c r="G32" s="907"/>
      <c r="H32" s="908"/>
      <c r="I32" s="217">
        <f t="shared" si="3"/>
        <v>28</v>
      </c>
      <c r="J32" s="218" t="str">
        <f t="shared" si="4"/>
        <v>on</v>
      </c>
      <c r="K32" s="219" t="s">
        <v>241</v>
      </c>
      <c r="L32" s="220" t="str">
        <f t="shared" si="5"/>
        <v/>
      </c>
      <c r="M32" s="906"/>
      <c r="N32" s="907"/>
      <c r="O32" s="908"/>
      <c r="P32" s="217">
        <f t="shared" si="6"/>
        <v>28</v>
      </c>
      <c r="Q32" s="218" t="str">
        <f t="shared" si="7"/>
        <v>fr</v>
      </c>
      <c r="R32" s="219" t="s">
        <v>241</v>
      </c>
      <c r="S32" s="220" t="str">
        <f t="shared" si="8"/>
        <v/>
      </c>
      <c r="T32" s="906"/>
      <c r="U32" s="907"/>
      <c r="V32" s="908"/>
      <c r="W32" s="217">
        <f t="shared" si="9"/>
        <v>28</v>
      </c>
      <c r="X32" s="218" t="str">
        <f t="shared" si="10"/>
        <v>ma</v>
      </c>
      <c r="Y32" s="219" t="s">
        <v>241</v>
      </c>
      <c r="Z32" s="220">
        <f t="shared" si="11"/>
        <v>48.285714285714285</v>
      </c>
      <c r="AA32" s="906"/>
      <c r="AB32" s="907"/>
      <c r="AC32" s="908"/>
      <c r="AD32" s="217">
        <f t="shared" si="12"/>
        <v>28</v>
      </c>
      <c r="AE32" s="218" t="str">
        <f t="shared" si="13"/>
        <v>on</v>
      </c>
      <c r="AF32" s="219" t="s">
        <v>147</v>
      </c>
      <c r="AG32" s="220" t="str">
        <f t="shared" si="14"/>
        <v/>
      </c>
      <c r="AH32" s="906"/>
      <c r="AI32" s="907"/>
      <c r="AJ32" s="908"/>
      <c r="AK32" s="217">
        <f t="shared" si="15"/>
        <v>28</v>
      </c>
      <c r="AL32" s="218" t="str">
        <f t="shared" si="16"/>
        <v>lø</v>
      </c>
      <c r="AM32" s="219" t="s">
        <v>136</v>
      </c>
      <c r="AN32" s="220" t="str">
        <f t="shared" si="17"/>
        <v/>
      </c>
      <c r="AO32" s="909"/>
      <c r="AP32" s="910"/>
      <c r="AQ32" s="911"/>
      <c r="AR32" s="217">
        <f t="shared" si="18"/>
        <v>28</v>
      </c>
      <c r="AS32" s="218" t="str">
        <f t="shared" si="19"/>
        <v>ti</v>
      </c>
      <c r="AT32" s="219" t="s">
        <v>241</v>
      </c>
      <c r="AU32" s="220" t="str">
        <f t="shared" si="20"/>
        <v/>
      </c>
      <c r="AV32" s="909"/>
      <c r="AW32" s="910"/>
      <c r="AX32" s="911"/>
      <c r="AY32" s="217">
        <f t="shared" si="21"/>
        <v>28</v>
      </c>
      <c r="AZ32" s="218" t="str">
        <f t="shared" si="22"/>
        <v>ti</v>
      </c>
      <c r="BA32" s="219" t="s">
        <v>241</v>
      </c>
      <c r="BB32" s="220" t="str">
        <f t="shared" si="23"/>
        <v/>
      </c>
      <c r="BC32" s="906"/>
      <c r="BD32" s="907"/>
      <c r="BE32" s="908"/>
      <c r="BF32" s="217">
        <f t="shared" si="24"/>
        <v>28</v>
      </c>
      <c r="BG32" s="218" t="str">
        <f t="shared" si="25"/>
        <v>fr</v>
      </c>
      <c r="BH32" s="219" t="s">
        <v>241</v>
      </c>
      <c r="BI32" s="220" t="str">
        <f t="shared" si="26"/>
        <v/>
      </c>
      <c r="BJ32" s="906"/>
      <c r="BK32" s="907"/>
      <c r="BL32" s="908"/>
      <c r="BM32" s="217">
        <f t="shared" si="27"/>
        <v>28</v>
      </c>
      <c r="BN32" s="218" t="str">
        <f t="shared" si="28"/>
        <v>sø</v>
      </c>
      <c r="BO32" s="219" t="s">
        <v>136</v>
      </c>
      <c r="BP32" s="220" t="str">
        <f t="shared" si="29"/>
        <v/>
      </c>
      <c r="BQ32" s="906" t="s">
        <v>209</v>
      </c>
      <c r="BR32" s="907"/>
      <c r="BS32" s="908"/>
      <c r="BT32" s="217">
        <f t="shared" si="30"/>
        <v>28</v>
      </c>
      <c r="BU32" s="218" t="str">
        <f t="shared" si="31"/>
        <v>on</v>
      </c>
      <c r="BV32" s="219" t="s">
        <v>147</v>
      </c>
      <c r="BW32" s="220" t="str">
        <f t="shared" si="32"/>
        <v/>
      </c>
      <c r="BX32" s="906"/>
      <c r="BY32" s="907"/>
      <c r="BZ32" s="908"/>
      <c r="CA32" s="217">
        <f t="shared" si="33"/>
        <v>28</v>
      </c>
      <c r="CB32" s="218" t="str">
        <f t="shared" si="34"/>
        <v>fr</v>
      </c>
      <c r="CC32" s="219" t="s">
        <v>118</v>
      </c>
      <c r="CD32" s="220" t="str">
        <f t="shared" si="35"/>
        <v/>
      </c>
      <c r="CE32" s="912" t="s">
        <v>121</v>
      </c>
      <c r="CF32" s="913"/>
      <c r="CG32" s="914"/>
      <c r="CH32" s="239"/>
      <c r="CI32" s="236" t="s">
        <v>114</v>
      </c>
      <c r="CJ32" s="237">
        <f>CD47+BW47+BP47+BI47+BB47+AU47+AN47+AG47+Z47+S47+L47+E47</f>
        <v>25</v>
      </c>
      <c r="CK32" s="126"/>
      <c r="CL32" s="126"/>
    </row>
    <row r="33" spans="1:90" ht="18" customHeight="1">
      <c r="A33" s="105" t="s">
        <v>241</v>
      </c>
      <c r="B33" s="217">
        <f>IF(ISNUMBER(B32),B32+1,1)</f>
        <v>29</v>
      </c>
      <c r="C33" s="218" t="str">
        <f t="shared" si="1"/>
        <v>ma</v>
      </c>
      <c r="D33" s="219" t="s">
        <v>241</v>
      </c>
      <c r="E33" s="220">
        <f t="shared" si="2"/>
        <v>35.285714285714285</v>
      </c>
      <c r="F33" s="906"/>
      <c r="G33" s="907"/>
      <c r="H33" s="908"/>
      <c r="I33" s="217">
        <f>IF(ISNUMBER(I32),I32+1,1)</f>
        <v>29</v>
      </c>
      <c r="J33" s="218" t="str">
        <f t="shared" si="4"/>
        <v>to</v>
      </c>
      <c r="K33" s="219" t="s">
        <v>241</v>
      </c>
      <c r="L33" s="220" t="str">
        <f t="shared" si="5"/>
        <v/>
      </c>
      <c r="M33" s="906"/>
      <c r="N33" s="907"/>
      <c r="O33" s="908"/>
      <c r="P33" s="217">
        <f>IF(ISNUMBER(P32),P32+1,1)</f>
        <v>29</v>
      </c>
      <c r="Q33" s="218" t="str">
        <f t="shared" si="7"/>
        <v>lø</v>
      </c>
      <c r="R33" s="219" t="s">
        <v>136</v>
      </c>
      <c r="S33" s="220" t="str">
        <f t="shared" si="8"/>
        <v/>
      </c>
      <c r="T33" s="906"/>
      <c r="U33" s="907"/>
      <c r="V33" s="908"/>
      <c r="W33" s="217">
        <f>IF(ISNUMBER(W32),W32+1,1)</f>
        <v>29</v>
      </c>
      <c r="X33" s="218" t="str">
        <f t="shared" si="10"/>
        <v>ti</v>
      </c>
      <c r="Y33" s="219" t="s">
        <v>241</v>
      </c>
      <c r="Z33" s="220" t="str">
        <f t="shared" si="11"/>
        <v/>
      </c>
      <c r="AA33" s="906"/>
      <c r="AB33" s="907"/>
      <c r="AC33" s="908"/>
      <c r="AD33" s="217">
        <f>IF(ISNUMBER(AD32),AD32+1,1)</f>
        <v>29</v>
      </c>
      <c r="AE33" s="218" t="str">
        <f t="shared" si="13"/>
        <v>to</v>
      </c>
      <c r="AF33" s="219" t="s">
        <v>147</v>
      </c>
      <c r="AG33" s="220" t="str">
        <f t="shared" si="14"/>
        <v/>
      </c>
      <c r="AH33" s="906"/>
      <c r="AI33" s="907"/>
      <c r="AJ33" s="908"/>
      <c r="AK33" s="217">
        <f>IF(ISNUMBER(AK32),AK32+1,1)</f>
        <v>29</v>
      </c>
      <c r="AL33" s="218" t="str">
        <f t="shared" si="16"/>
        <v>sø</v>
      </c>
      <c r="AM33" s="219" t="s">
        <v>136</v>
      </c>
      <c r="AN33" s="220" t="str">
        <f t="shared" si="17"/>
        <v/>
      </c>
      <c r="AO33" s="909"/>
      <c r="AP33" s="910"/>
      <c r="AQ33" s="911"/>
      <c r="AR33" s="323"/>
      <c r="AS33" s="323"/>
      <c r="AT33" s="324"/>
      <c r="AU33" s="325"/>
      <c r="AV33" s="239"/>
      <c r="AW33" s="239"/>
      <c r="AX33" s="239"/>
      <c r="AY33" s="217">
        <f>IF(ISNUMBER(AY32),AY32+1,1)</f>
        <v>29</v>
      </c>
      <c r="AZ33" s="218" t="str">
        <f t="shared" si="22"/>
        <v>on</v>
      </c>
      <c r="BA33" s="219" t="s">
        <v>241</v>
      </c>
      <c r="BB33" s="220" t="str">
        <f t="shared" si="23"/>
        <v/>
      </c>
      <c r="BC33" s="906"/>
      <c r="BD33" s="907"/>
      <c r="BE33" s="908"/>
      <c r="BF33" s="217">
        <f>IF(ISNUMBER(BF32),BF32+1,1)</f>
        <v>29</v>
      </c>
      <c r="BG33" s="218" t="str">
        <f t="shared" si="25"/>
        <v>lø</v>
      </c>
      <c r="BH33" s="219" t="s">
        <v>138</v>
      </c>
      <c r="BI33" s="220" t="str">
        <f t="shared" si="26"/>
        <v/>
      </c>
      <c r="BJ33" s="906"/>
      <c r="BK33" s="907"/>
      <c r="BL33" s="908"/>
      <c r="BM33" s="217">
        <f>IF(ISNUMBER(BM32),BM32+1,1)</f>
        <v>29</v>
      </c>
      <c r="BN33" s="218" t="str">
        <f t="shared" si="28"/>
        <v>ma</v>
      </c>
      <c r="BO33" s="219" t="s">
        <v>137</v>
      </c>
      <c r="BP33" s="220">
        <f t="shared" si="29"/>
        <v>22.142857142857142</v>
      </c>
      <c r="BQ33" s="906" t="s">
        <v>203</v>
      </c>
      <c r="BR33" s="907"/>
      <c r="BS33" s="908"/>
      <c r="BT33" s="217">
        <f>IF(ISNUMBER(BT32),BT32+1,1)</f>
        <v>29</v>
      </c>
      <c r="BU33" s="218" t="str">
        <f t="shared" si="31"/>
        <v>to</v>
      </c>
      <c r="BV33" s="219" t="s">
        <v>147</v>
      </c>
      <c r="BW33" s="220" t="str">
        <f t="shared" si="32"/>
        <v/>
      </c>
      <c r="BX33" s="906"/>
      <c r="BY33" s="907"/>
      <c r="BZ33" s="908"/>
      <c r="CA33" s="217">
        <f>IF(ISNUMBER(CA32),CA32+1,1)</f>
        <v>29</v>
      </c>
      <c r="CB33" s="218" t="str">
        <f t="shared" si="34"/>
        <v>lø</v>
      </c>
      <c r="CC33" s="219" t="s">
        <v>136</v>
      </c>
      <c r="CD33" s="220" t="str">
        <f t="shared" si="35"/>
        <v/>
      </c>
      <c r="CE33" s="912"/>
      <c r="CF33" s="913"/>
      <c r="CG33" s="914"/>
      <c r="CH33" s="239"/>
      <c r="CI33" s="398" t="s">
        <v>258</v>
      </c>
      <c r="CJ33" s="399">
        <f>CD48+BW48+BP48+BI48+BB48+AU48+AN48+AG48+Z48+S48+L48+E48</f>
        <v>29</v>
      </c>
      <c r="CK33" s="126"/>
      <c r="CL33" s="126"/>
    </row>
    <row r="34" spans="1:90" ht="18" customHeight="1">
      <c r="A34" s="105" t="s">
        <v>242</v>
      </c>
      <c r="B34" s="217">
        <f t="shared" si="0"/>
        <v>30</v>
      </c>
      <c r="C34" s="218" t="str">
        <f t="shared" si="1"/>
        <v>ti</v>
      </c>
      <c r="D34" s="219" t="s">
        <v>241</v>
      </c>
      <c r="E34" s="220" t="str">
        <f t="shared" si="2"/>
        <v/>
      </c>
      <c r="F34" s="906"/>
      <c r="G34" s="907"/>
      <c r="H34" s="908"/>
      <c r="I34" s="217">
        <f t="shared" si="3"/>
        <v>30</v>
      </c>
      <c r="J34" s="218" t="str">
        <f t="shared" si="4"/>
        <v>fr</v>
      </c>
      <c r="K34" s="219" t="s">
        <v>241</v>
      </c>
      <c r="L34" s="220" t="str">
        <f t="shared" si="5"/>
        <v/>
      </c>
      <c r="M34" s="909"/>
      <c r="N34" s="910"/>
      <c r="O34" s="911"/>
      <c r="P34" s="217">
        <f t="shared" si="6"/>
        <v>30</v>
      </c>
      <c r="Q34" s="218" t="str">
        <f t="shared" si="7"/>
        <v>sø</v>
      </c>
      <c r="R34" s="219" t="s">
        <v>136</v>
      </c>
      <c r="S34" s="220" t="str">
        <f t="shared" si="8"/>
        <v/>
      </c>
      <c r="T34" s="906"/>
      <c r="U34" s="907"/>
      <c r="V34" s="908"/>
      <c r="W34" s="217">
        <f t="shared" si="9"/>
        <v>30</v>
      </c>
      <c r="X34" s="218" t="str">
        <f t="shared" si="10"/>
        <v>on</v>
      </c>
      <c r="Y34" s="219" t="s">
        <v>241</v>
      </c>
      <c r="Z34" s="220" t="str">
        <f t="shared" si="11"/>
        <v/>
      </c>
      <c r="AA34" s="909"/>
      <c r="AB34" s="910"/>
      <c r="AC34" s="911"/>
      <c r="AD34" s="217">
        <f t="shared" si="12"/>
        <v>30</v>
      </c>
      <c r="AE34" s="218" t="str">
        <f t="shared" si="13"/>
        <v>fr</v>
      </c>
      <c r="AF34" s="219" t="s">
        <v>147</v>
      </c>
      <c r="AG34" s="220"/>
      <c r="AH34" s="906"/>
      <c r="AI34" s="907"/>
      <c r="AJ34" s="908"/>
      <c r="AK34" s="217">
        <f t="shared" si="15"/>
        <v>30</v>
      </c>
      <c r="AL34" s="218" t="str">
        <f t="shared" si="16"/>
        <v>ma</v>
      </c>
      <c r="AM34" s="219" t="s">
        <v>241</v>
      </c>
      <c r="AN34" s="220">
        <f t="shared" si="17"/>
        <v>5.1428571428571432</v>
      </c>
      <c r="AO34" s="909"/>
      <c r="AP34" s="910"/>
      <c r="AQ34" s="911"/>
      <c r="AR34" s="131"/>
      <c r="AS34" s="131"/>
      <c r="AT34" s="130"/>
      <c r="AU34" s="134"/>
      <c r="AV34" s="129"/>
      <c r="AW34" s="129"/>
      <c r="AX34" s="129"/>
      <c r="AY34" s="217">
        <f t="shared" si="21"/>
        <v>30</v>
      </c>
      <c r="AZ34" s="218" t="str">
        <f t="shared" si="22"/>
        <v>to</v>
      </c>
      <c r="BA34" s="219" t="s">
        <v>241</v>
      </c>
      <c r="BB34" s="220" t="str">
        <f t="shared" si="23"/>
        <v/>
      </c>
      <c r="BC34" s="906"/>
      <c r="BD34" s="907"/>
      <c r="BE34" s="908"/>
      <c r="BF34" s="217">
        <f t="shared" si="24"/>
        <v>30</v>
      </c>
      <c r="BG34" s="218" t="str">
        <f t="shared" si="25"/>
        <v>sø</v>
      </c>
      <c r="BH34" s="219" t="s">
        <v>138</v>
      </c>
      <c r="BI34" s="220" t="str">
        <f t="shared" si="26"/>
        <v/>
      </c>
      <c r="BJ34" s="909"/>
      <c r="BK34" s="910"/>
      <c r="BL34" s="911"/>
      <c r="BM34" s="217">
        <f t="shared" si="27"/>
        <v>30</v>
      </c>
      <c r="BN34" s="218" t="str">
        <f t="shared" si="28"/>
        <v>ti</v>
      </c>
      <c r="BO34" s="219" t="s">
        <v>241</v>
      </c>
      <c r="BP34" s="220" t="str">
        <f t="shared" si="29"/>
        <v/>
      </c>
      <c r="BQ34" s="906"/>
      <c r="BR34" s="907"/>
      <c r="BS34" s="908"/>
      <c r="BT34" s="217">
        <f t="shared" si="30"/>
        <v>30</v>
      </c>
      <c r="BU34" s="218" t="str">
        <f t="shared" si="31"/>
        <v>fr</v>
      </c>
      <c r="BV34" s="219" t="s">
        <v>147</v>
      </c>
      <c r="BW34" s="220" t="str">
        <f t="shared" si="32"/>
        <v/>
      </c>
      <c r="BX34" s="909"/>
      <c r="BY34" s="910"/>
      <c r="BZ34" s="911"/>
      <c r="CA34" s="217">
        <f t="shared" si="33"/>
        <v>30</v>
      </c>
      <c r="CB34" s="218" t="str">
        <f t="shared" si="34"/>
        <v>sø</v>
      </c>
      <c r="CC34" s="219" t="s">
        <v>136</v>
      </c>
      <c r="CD34" s="220" t="str">
        <f t="shared" si="35"/>
        <v/>
      </c>
      <c r="CE34" s="912"/>
      <c r="CF34" s="913"/>
      <c r="CG34" s="914"/>
      <c r="CH34" s="239"/>
      <c r="CI34" s="301" t="s">
        <v>185</v>
      </c>
      <c r="CJ34" s="401">
        <f>CD49+BW49+BP49+BI49+BB49+AU49+AN49+AG49+Z49+S49+L49+E49</f>
        <v>0</v>
      </c>
      <c r="CK34" s="126"/>
      <c r="CL34" s="126"/>
    </row>
    <row r="35" spans="1:90" ht="18" customHeight="1" thickBot="1">
      <c r="A35" s="105" t="s">
        <v>243</v>
      </c>
      <c r="B35" s="217">
        <f>IF(ISNUMBER(B34),B34+1,1)</f>
        <v>31</v>
      </c>
      <c r="C35" s="218" t="str">
        <f>CHOOSE(MOD(WEEKDAY(DATE(B$3,B$2,B35)),7)+1,"lø","sø","ma","ti","on","to","fr",)</f>
        <v>on</v>
      </c>
      <c r="D35" s="219" t="s">
        <v>241</v>
      </c>
      <c r="E35" s="220" t="str">
        <f>IF(C35="ma",(DATE(B$3,B$2,B35)-DATE(B$3,1,1)+7)/7,"")</f>
        <v/>
      </c>
      <c r="F35" s="909"/>
      <c r="G35" s="910"/>
      <c r="H35" s="911"/>
      <c r="I35" s="133"/>
      <c r="J35" s="133"/>
      <c r="K35" s="132"/>
      <c r="L35" s="132"/>
      <c r="M35" s="129"/>
      <c r="N35" s="129"/>
      <c r="O35" s="129"/>
      <c r="P35" s="217">
        <f>IF(ISNUMBER(P34),P34+1,1)</f>
        <v>31</v>
      </c>
      <c r="Q35" s="218" t="str">
        <f>CHOOSE(MOD(WEEKDAY(DATE(P$3,P$2,P35)),7)+1,"lø","sø","ma","ti","on","to","fr",)</f>
        <v>ma</v>
      </c>
      <c r="R35" s="219" t="s">
        <v>241</v>
      </c>
      <c r="S35" s="220">
        <f>IF(Q35="ma",(DATE(P$3,P$2,P35)-DATE(P$3,1,1)+7)/7,"")</f>
        <v>44.285714285714285</v>
      </c>
      <c r="T35" s="909"/>
      <c r="U35" s="910"/>
      <c r="V35" s="911"/>
      <c r="W35" s="133"/>
      <c r="X35" s="133"/>
      <c r="Y35" s="132"/>
      <c r="Z35" s="132"/>
      <c r="AA35" s="129"/>
      <c r="AB35" s="129"/>
      <c r="AC35" s="129"/>
      <c r="AD35" s="217">
        <f>IF(ISNUMBER(AD34),AD34+1,1)</f>
        <v>31</v>
      </c>
      <c r="AE35" s="218" t="str">
        <f>CHOOSE(MOD(WEEKDAY(DATE(AD$3,AD$2,AD35)),7)+1,"lø","sø","ma","ti","on","to","fr",)</f>
        <v>lø</v>
      </c>
      <c r="AF35" s="219" t="s">
        <v>138</v>
      </c>
      <c r="AG35" s="220" t="str">
        <f>IF(AE35="ma",(DATE(AD$3,AD$2,AD35)-DATE(AD$3,1,1)+7)/7-AG28,"")</f>
        <v/>
      </c>
      <c r="AH35" s="906" t="s">
        <v>148</v>
      </c>
      <c r="AI35" s="907"/>
      <c r="AJ35" s="908"/>
      <c r="AK35" s="217">
        <f>IF(ISNUMBER(AK34),AK34+1,1)</f>
        <v>31</v>
      </c>
      <c r="AL35" s="218" t="str">
        <f>CHOOSE(MOD(WEEKDAY(DATE(AK$3,AK$2,AK35)),7)+1,"lø","sø","ma","ti","on","to","fr",)</f>
        <v>ti</v>
      </c>
      <c r="AM35" s="219" t="s">
        <v>241</v>
      </c>
      <c r="AN35" s="220" t="str">
        <f>IF(AL35="ma",(DATE(AK$3,AK$2,AK35)-DATE(AK$3,1,1)+7)/7,"")</f>
        <v/>
      </c>
      <c r="AO35" s="909"/>
      <c r="AP35" s="910"/>
      <c r="AQ35" s="911"/>
      <c r="AR35" s="131"/>
      <c r="AS35" s="131"/>
      <c r="AT35" s="130"/>
      <c r="AU35" s="130"/>
      <c r="AV35" s="129"/>
      <c r="AW35" s="129"/>
      <c r="AX35" s="129"/>
      <c r="AY35" s="217">
        <f>IF(ISNUMBER(AY34),AY34+1,1)</f>
        <v>31</v>
      </c>
      <c r="AZ35" s="218" t="str">
        <f>CHOOSE(MOD(WEEKDAY(DATE(AY$3,AY$2,AY35)),7)+1,"lø","sø","ma","ti","on","to","fr",)</f>
        <v>fr</v>
      </c>
      <c r="BA35" s="219" t="s">
        <v>241</v>
      </c>
      <c r="BB35" s="220" t="str">
        <f>IF(AZ35="ma",(DATE(AY$3,AY$2,AY35)-DATE(AY$3,1,1)+7)/7,"")</f>
        <v/>
      </c>
      <c r="BC35" s="909"/>
      <c r="BD35" s="910"/>
      <c r="BE35" s="911"/>
      <c r="BF35" s="127"/>
      <c r="BG35" s="127"/>
      <c r="BH35" s="127"/>
      <c r="BI35" s="127"/>
      <c r="BJ35" s="129"/>
      <c r="BK35" s="129"/>
      <c r="BL35" s="129"/>
      <c r="BM35" s="217">
        <f>IF(ISNUMBER(BM34),BM34+1,1)</f>
        <v>31</v>
      </c>
      <c r="BN35" s="218" t="str">
        <f>CHOOSE(MOD(WEEKDAY(DATE(BM$3,BM$2,BM35)),7)+1,"lø","sø","ma","ti","on","to","fr",)</f>
        <v>on</v>
      </c>
      <c r="BO35" s="219" t="s">
        <v>241</v>
      </c>
      <c r="BP35" s="220" t="str">
        <f>IF(BN35="ma",(DATE(BM$3,BM$2,BM35)-DATE(BM$3,1,1)+7)/7,"")</f>
        <v/>
      </c>
      <c r="BQ35" s="906"/>
      <c r="BR35" s="907"/>
      <c r="BS35" s="908"/>
      <c r="BT35" s="127"/>
      <c r="BU35" s="127"/>
      <c r="BV35" s="127"/>
      <c r="BW35" s="127"/>
      <c r="BX35" s="129"/>
      <c r="BY35" s="129"/>
      <c r="BZ35" s="129"/>
      <c r="CA35" s="217">
        <f>IF(ISNUMBER(CA34),CA34+1,1)</f>
        <v>31</v>
      </c>
      <c r="CB35" s="218" t="str">
        <f>CHOOSE(MOD(WEEKDAY(DATE(CA$3,CA$2,CA35)),7)+1,"lø","sø","ma","ti","on","to","fr",)</f>
        <v>ma</v>
      </c>
      <c r="CC35" s="219" t="s">
        <v>118</v>
      </c>
      <c r="CD35" s="220">
        <f>IF(CB35="ma",(DATE(CA$3,CA$2,CA35)-DATE(CA$3,1,1)+7)/7,"")</f>
        <v>31.142857142857142</v>
      </c>
      <c r="CE35" s="909" t="s">
        <v>121</v>
      </c>
      <c r="CF35" s="910"/>
      <c r="CG35" s="911"/>
      <c r="CH35" s="239"/>
      <c r="CI35" s="400" t="s">
        <v>186</v>
      </c>
      <c r="CJ35" s="402">
        <f>CD50+BW50+BP50+BI50+BB50+AU50+AN50+AG50+Z50+S50+L50+E50-CJ34</f>
        <v>365</v>
      </c>
      <c r="CK35" s="126"/>
      <c r="CL35" s="126"/>
    </row>
    <row r="36" spans="1:90" s="113" customFormat="1" ht="13" customHeight="1" thickTop="1">
      <c r="A36" s="105" t="s">
        <v>244</v>
      </c>
      <c r="B36" s="114"/>
      <c r="C36" s="123"/>
      <c r="D36" s="114"/>
      <c r="E36" s="114"/>
      <c r="F36" s="124"/>
      <c r="G36" s="124"/>
      <c r="H36" s="124"/>
      <c r="I36" s="124"/>
      <c r="J36" s="125"/>
      <c r="K36" s="124"/>
      <c r="L36" s="124"/>
      <c r="M36" s="124"/>
      <c r="N36" s="124"/>
      <c r="O36" s="124"/>
      <c r="P36" s="114"/>
      <c r="Q36" s="123"/>
      <c r="R36" s="114"/>
      <c r="S36" s="114"/>
      <c r="T36" s="124"/>
      <c r="U36" s="124"/>
      <c r="V36" s="124"/>
      <c r="W36" s="124"/>
      <c r="X36" s="125"/>
      <c r="Y36" s="124"/>
      <c r="Z36" s="124"/>
      <c r="AA36" s="124"/>
      <c r="AB36" s="124"/>
      <c r="AC36" s="124"/>
      <c r="AD36" s="114"/>
      <c r="AE36" s="123"/>
      <c r="AF36" s="114"/>
      <c r="AG36" s="114"/>
      <c r="AH36" s="114"/>
      <c r="AI36" s="114"/>
      <c r="AJ36" s="114"/>
      <c r="AK36" s="114"/>
      <c r="AL36" s="123"/>
      <c r="AM36" s="114"/>
      <c r="AN36" s="114"/>
      <c r="AO36" s="114"/>
      <c r="AP36" s="124"/>
      <c r="AQ36" s="124"/>
      <c r="AR36" s="124"/>
      <c r="AS36" s="125"/>
      <c r="AT36" s="124"/>
      <c r="AU36" s="124"/>
      <c r="AV36" s="124"/>
      <c r="AW36" s="124"/>
      <c r="AX36" s="124"/>
      <c r="AY36" s="114"/>
      <c r="AZ36" s="123"/>
      <c r="BA36" s="114"/>
      <c r="BB36" s="114"/>
      <c r="BC36" s="124"/>
      <c r="BD36" s="124"/>
      <c r="BE36" s="124"/>
      <c r="BF36" s="124"/>
      <c r="BG36" s="125"/>
      <c r="BH36" s="124"/>
      <c r="BI36" s="124"/>
      <c r="BJ36" s="124"/>
      <c r="BK36" s="124"/>
      <c r="BL36" s="124"/>
      <c r="BM36" s="114"/>
      <c r="BN36" s="123"/>
      <c r="BO36" s="114"/>
      <c r="BP36" s="114"/>
      <c r="BQ36" s="124"/>
      <c r="BR36" s="124"/>
      <c r="BS36" s="124"/>
      <c r="BT36" s="124"/>
      <c r="BU36" s="125"/>
      <c r="BV36" s="124"/>
      <c r="BW36" s="124"/>
      <c r="BX36" s="124"/>
      <c r="BY36" s="124"/>
      <c r="BZ36" s="124"/>
      <c r="CA36" s="114"/>
      <c r="CB36" s="123"/>
      <c r="CC36" s="114"/>
      <c r="CD36" s="114"/>
      <c r="CE36" s="124"/>
      <c r="CF36" s="124"/>
      <c r="CG36" s="124"/>
      <c r="CH36" s="216"/>
      <c r="CI36" s="124"/>
      <c r="CJ36" s="403"/>
    </row>
    <row r="37" spans="1:90" s="113" customFormat="1" ht="13" customHeight="1">
      <c r="A37" s="195" t="s">
        <v>155</v>
      </c>
      <c r="B37" s="390" t="s">
        <v>241</v>
      </c>
      <c r="C37" s="391"/>
      <c r="D37" s="392"/>
      <c r="E37" s="390">
        <f>COUNTIF(august,"Skema 1")</f>
        <v>18</v>
      </c>
      <c r="F37" s="223"/>
      <c r="G37" s="368" t="s">
        <v>221</v>
      </c>
      <c r="H37" s="369">
        <f>COUNTIFS($C$5:$C$35,"ma",august,"Skema 1")</f>
        <v>4</v>
      </c>
      <c r="I37" s="390" t="s">
        <v>241</v>
      </c>
      <c r="J37" s="391"/>
      <c r="K37" s="392"/>
      <c r="L37" s="390">
        <f>COUNTIF(september,"Skema 1")</f>
        <v>22</v>
      </c>
      <c r="M37" s="223"/>
      <c r="N37" s="368" t="s">
        <v>221</v>
      </c>
      <c r="O37" s="371">
        <f>COUNTIFS($J$5:$J$34,"ma",september,"Skema 1")</f>
        <v>4</v>
      </c>
      <c r="P37" s="390" t="s">
        <v>241</v>
      </c>
      <c r="Q37" s="391"/>
      <c r="R37" s="392"/>
      <c r="S37" s="390">
        <f>COUNTIF(oktober,"Skema 1")</f>
        <v>16</v>
      </c>
      <c r="T37" s="223"/>
      <c r="U37" s="368" t="s">
        <v>221</v>
      </c>
      <c r="V37" s="371">
        <f>COUNTIFS(Q5:Q35,"ma",oktober,"Skema 1")</f>
        <v>4</v>
      </c>
      <c r="W37" s="390" t="s">
        <v>241</v>
      </c>
      <c r="X37" s="391"/>
      <c r="Y37" s="392"/>
      <c r="Z37" s="390">
        <f>COUNTIF(november,"Skema 1")</f>
        <v>22</v>
      </c>
      <c r="AA37" s="223"/>
      <c r="AB37" s="368" t="s">
        <v>221</v>
      </c>
      <c r="AC37" s="371">
        <f>COUNTIFS(X5:X34,"ma",november,"Skema 1")</f>
        <v>4</v>
      </c>
      <c r="AD37" s="390" t="s">
        <v>241</v>
      </c>
      <c r="AE37" s="391"/>
      <c r="AF37" s="392"/>
      <c r="AG37" s="390">
        <f>COUNTIF(december,"Skema 1")</f>
        <v>15</v>
      </c>
      <c r="AH37" s="223"/>
      <c r="AI37" s="368" t="s">
        <v>221</v>
      </c>
      <c r="AJ37" s="371">
        <f>COUNTIFS(AE5:AE35,"ma",december,"Skema 1")</f>
        <v>3</v>
      </c>
      <c r="AK37" s="390" t="s">
        <v>241</v>
      </c>
      <c r="AL37" s="391"/>
      <c r="AM37" s="392"/>
      <c r="AN37" s="390">
        <f>COUNTIF(januar,"Skema 1")</f>
        <v>20</v>
      </c>
      <c r="AO37" s="223"/>
      <c r="AP37" s="368" t="s">
        <v>221</v>
      </c>
      <c r="AQ37" s="371">
        <f>COUNTIFS(AL5:AL35,"ma",januar,"Skema 1")</f>
        <v>4</v>
      </c>
      <c r="AR37" s="390" t="s">
        <v>241</v>
      </c>
      <c r="AS37" s="391"/>
      <c r="AT37" s="392"/>
      <c r="AU37" s="390">
        <f>COUNTIF(februar,"Skema 1")</f>
        <v>15</v>
      </c>
      <c r="AV37" s="223"/>
      <c r="AW37" s="368" t="s">
        <v>221</v>
      </c>
      <c r="AX37" s="371">
        <f>COUNTIFS(AS5:AS32,"ma",februar,"Skema 1")</f>
        <v>3</v>
      </c>
      <c r="AY37" s="390" t="s">
        <v>241</v>
      </c>
      <c r="AZ37" s="391"/>
      <c r="BA37" s="392"/>
      <c r="BB37" s="390">
        <f>COUNTIF(marts,"Skema 1")</f>
        <v>23</v>
      </c>
      <c r="BC37" s="223"/>
      <c r="BD37" s="368" t="s">
        <v>221</v>
      </c>
      <c r="BE37" s="371">
        <f>COUNTIFS(AZ5:AZ35,"ma",marts,"Skema 1")</f>
        <v>4</v>
      </c>
      <c r="BF37" s="390" t="s">
        <v>241</v>
      </c>
      <c r="BG37" s="391"/>
      <c r="BH37" s="392"/>
      <c r="BI37" s="390">
        <f>COUNTIF(april,"Skema 1")</f>
        <v>14</v>
      </c>
      <c r="BJ37" s="223"/>
      <c r="BK37" s="368" t="s">
        <v>221</v>
      </c>
      <c r="BL37" s="371">
        <f>COUNTIFS(BG5:BG34,"ma",april,"Skema 1")</f>
        <v>2</v>
      </c>
      <c r="BM37" s="390" t="s">
        <v>241</v>
      </c>
      <c r="BN37" s="391"/>
      <c r="BO37" s="392"/>
      <c r="BP37" s="390">
        <f>COUNTIF(maj,"Skema 1")</f>
        <v>19</v>
      </c>
      <c r="BQ37" s="223"/>
      <c r="BR37" s="368" t="s">
        <v>221</v>
      </c>
      <c r="BS37" s="371">
        <f>COUNTIFS(BN5:BN35,"ma",maj,"Skema 1")</f>
        <v>4</v>
      </c>
      <c r="BT37" s="390" t="s">
        <v>241</v>
      </c>
      <c r="BU37" s="391"/>
      <c r="BV37" s="392"/>
      <c r="BW37" s="390">
        <f>COUNTIF(juni,"Skema 1")</f>
        <v>16</v>
      </c>
      <c r="BX37" s="223"/>
      <c r="BY37" s="368" t="s">
        <v>221</v>
      </c>
      <c r="BZ37" s="371">
        <f>COUNTIFS(BU5:BU34,"ma",juni,"Skema 1")</f>
        <v>2</v>
      </c>
      <c r="CA37" s="390" t="s">
        <v>241</v>
      </c>
      <c r="CB37" s="391"/>
      <c r="CC37" s="392"/>
      <c r="CD37" s="390">
        <f>COUNTIF(juli,"Skema 1")</f>
        <v>0</v>
      </c>
      <c r="CE37" s="223"/>
      <c r="CF37" s="368" t="s">
        <v>221</v>
      </c>
      <c r="CG37" s="371">
        <f>COUNTIFS(CB5:CB35,"ma",juli,"Skema 1")</f>
        <v>0</v>
      </c>
      <c r="CH37" s="216"/>
      <c r="CI37" s="216" t="s">
        <v>241</v>
      </c>
      <c r="CJ37" s="368" t="s">
        <v>34</v>
      </c>
      <c r="CK37" s="369">
        <f>CG37+BZ37+BS37+BL37+BE37+AX37+AQ37+AJ37+AC37+V37+O37+H37</f>
        <v>38</v>
      </c>
    </row>
    <row r="38" spans="1:90" s="113" customFormat="1" ht="13" customHeight="1">
      <c r="A38" s="196" t="s">
        <v>246</v>
      </c>
      <c r="B38" s="927" t="s">
        <v>242</v>
      </c>
      <c r="C38" s="928"/>
      <c r="D38" s="928"/>
      <c r="E38" s="390">
        <f>COUNTIF(august,"Skema 2")</f>
        <v>0</v>
      </c>
      <c r="F38" s="223"/>
      <c r="G38" s="370" t="s">
        <v>222</v>
      </c>
      <c r="H38" s="371">
        <f>COUNTIFS($C$5:$C$35,"ti",august,"Skema 1")</f>
        <v>4</v>
      </c>
      <c r="I38" s="927" t="s">
        <v>242</v>
      </c>
      <c r="J38" s="928"/>
      <c r="K38" s="928"/>
      <c r="L38" s="390">
        <f>COUNTIF(september,"Skema 2")</f>
        <v>0</v>
      </c>
      <c r="M38" s="223"/>
      <c r="N38" s="370" t="s">
        <v>222</v>
      </c>
      <c r="O38" s="371">
        <f>COUNTIFS($J$5:$J$34,"ti",september,"Skema 1")</f>
        <v>4</v>
      </c>
      <c r="P38" s="927" t="s">
        <v>242</v>
      </c>
      <c r="Q38" s="928"/>
      <c r="R38" s="928"/>
      <c r="S38" s="390">
        <f>COUNTIF(oktober,"Skema 2")</f>
        <v>0</v>
      </c>
      <c r="T38" s="223"/>
      <c r="U38" s="370" t="s">
        <v>222</v>
      </c>
      <c r="V38" s="371">
        <f>COUNTIFS(Q5:Q35,"ti",oktober,"Skema 1")</f>
        <v>3</v>
      </c>
      <c r="W38" s="927" t="s">
        <v>242</v>
      </c>
      <c r="X38" s="928"/>
      <c r="Y38" s="928"/>
      <c r="Z38" s="390">
        <f>COUNTIF(november,"Skema 2")</f>
        <v>0</v>
      </c>
      <c r="AA38" s="223"/>
      <c r="AB38" s="370" t="s">
        <v>222</v>
      </c>
      <c r="AC38" s="371">
        <f>COUNTIFS(X5:X34,"ti",november,"Skema 1")</f>
        <v>5</v>
      </c>
      <c r="AD38" s="927" t="s">
        <v>242</v>
      </c>
      <c r="AE38" s="928"/>
      <c r="AF38" s="928"/>
      <c r="AG38" s="390">
        <f>COUNTIF(december,"Skema 2")</f>
        <v>0</v>
      </c>
      <c r="AH38" s="223"/>
      <c r="AI38" s="370" t="s">
        <v>222</v>
      </c>
      <c r="AJ38" s="371">
        <f>COUNTIFS(AE5:AE35,"ti",december,"Skema 1")</f>
        <v>3</v>
      </c>
      <c r="AK38" s="927" t="s">
        <v>242</v>
      </c>
      <c r="AL38" s="928"/>
      <c r="AM38" s="928"/>
      <c r="AN38" s="390">
        <f>COUNTIF(januar,"Skema 2")</f>
        <v>0</v>
      </c>
      <c r="AO38" s="223"/>
      <c r="AP38" s="370" t="s">
        <v>222</v>
      </c>
      <c r="AQ38" s="371">
        <f>COUNTIFS(AL5:AL35,"ti",januar,"Skema 1")</f>
        <v>4</v>
      </c>
      <c r="AR38" s="927" t="s">
        <v>242</v>
      </c>
      <c r="AS38" s="928"/>
      <c r="AT38" s="928"/>
      <c r="AU38" s="390">
        <f>COUNTIF(februar,"Skema 2")</f>
        <v>0</v>
      </c>
      <c r="AV38" s="223"/>
      <c r="AW38" s="370" t="s">
        <v>222</v>
      </c>
      <c r="AX38" s="371">
        <f>COUNTIFS(AS5:AS32,"ti",februar,"Skema 1")</f>
        <v>3</v>
      </c>
      <c r="AY38" s="927" t="s">
        <v>242</v>
      </c>
      <c r="AZ38" s="928"/>
      <c r="BA38" s="928"/>
      <c r="BB38" s="390">
        <f>COUNTIF(marts,"Skema 2")</f>
        <v>0</v>
      </c>
      <c r="BC38" s="223"/>
      <c r="BD38" s="370" t="s">
        <v>222</v>
      </c>
      <c r="BE38" s="371">
        <f>COUNTIFS(AZ5:AZ35,"ti",marts,"Skema 1")</f>
        <v>4</v>
      </c>
      <c r="BF38" s="927" t="s">
        <v>242</v>
      </c>
      <c r="BG38" s="928"/>
      <c r="BH38" s="928"/>
      <c r="BI38" s="390">
        <f>COUNTIF(april,"Skema 2")</f>
        <v>0</v>
      </c>
      <c r="BJ38" s="223"/>
      <c r="BK38" s="370" t="s">
        <v>222</v>
      </c>
      <c r="BL38" s="371">
        <f>COUNTIFS(BG5:BG34,"ti",april,"Skema 1")</f>
        <v>3</v>
      </c>
      <c r="BM38" s="927" t="s">
        <v>242</v>
      </c>
      <c r="BN38" s="928"/>
      <c r="BO38" s="928"/>
      <c r="BP38" s="390">
        <f>COUNTIF(maj,"Skema 2")</f>
        <v>0</v>
      </c>
      <c r="BQ38" s="223"/>
      <c r="BR38" s="370" t="s">
        <v>222</v>
      </c>
      <c r="BS38" s="371">
        <f>COUNTIFS(BN5:BN35,"ti",maj,"Skema 1")</f>
        <v>5</v>
      </c>
      <c r="BT38" s="927" t="s">
        <v>242</v>
      </c>
      <c r="BU38" s="928"/>
      <c r="BV38" s="928"/>
      <c r="BW38" s="390">
        <f>COUNTIF(juni,"Skema 2")</f>
        <v>0</v>
      </c>
      <c r="BX38" s="223"/>
      <c r="BY38" s="370" t="s">
        <v>222</v>
      </c>
      <c r="BZ38" s="371">
        <f>COUNTIFS(BU5:BU34,"ti",juni,"Skema 1")</f>
        <v>3</v>
      </c>
      <c r="CA38" s="927" t="s">
        <v>242</v>
      </c>
      <c r="CB38" s="928"/>
      <c r="CC38" s="928"/>
      <c r="CD38" s="390">
        <f>COUNTIF(juli,"Skema 2")</f>
        <v>0</v>
      </c>
      <c r="CE38" s="223"/>
      <c r="CF38" s="370" t="s">
        <v>222</v>
      </c>
      <c r="CG38" s="371">
        <f>COUNTIFS(CB5:CB35,"ti",juli,"Skema 1")</f>
        <v>0</v>
      </c>
      <c r="CH38" s="216"/>
      <c r="CI38" s="216" t="str">
        <f>CI37</f>
        <v>Skema 1</v>
      </c>
      <c r="CJ38" s="370" t="s">
        <v>35</v>
      </c>
      <c r="CK38" s="369">
        <f>CG38+BZ38+BS38+BL38+BE38+AX38+AQ38+AJ38+AC38+V38+O38+H38</f>
        <v>41</v>
      </c>
    </row>
    <row r="39" spans="1:90" s="113" customFormat="1">
      <c r="A39" s="197" t="s">
        <v>156</v>
      </c>
      <c r="B39" s="927" t="s">
        <v>243</v>
      </c>
      <c r="C39" s="928"/>
      <c r="D39" s="928"/>
      <c r="E39" s="390">
        <f>COUNTIF(august,"Skema 3")</f>
        <v>0</v>
      </c>
      <c r="F39" s="223"/>
      <c r="G39" s="370" t="s">
        <v>223</v>
      </c>
      <c r="H39" s="371">
        <f>COUNTIFS($C$5:$C$35,"on",august,"Skema 1")</f>
        <v>4</v>
      </c>
      <c r="I39" s="927" t="s">
        <v>243</v>
      </c>
      <c r="J39" s="928"/>
      <c r="K39" s="928"/>
      <c r="L39" s="390">
        <f>COUNTIF(september,"Skema 3")</f>
        <v>0</v>
      </c>
      <c r="M39" s="223"/>
      <c r="N39" s="370" t="s">
        <v>223</v>
      </c>
      <c r="O39" s="371">
        <f>COUNTIFS($J$5:$J$34,"on",september,"Skema 1")</f>
        <v>4</v>
      </c>
      <c r="P39" s="927" t="s">
        <v>243</v>
      </c>
      <c r="Q39" s="928"/>
      <c r="R39" s="928"/>
      <c r="S39" s="390">
        <f>COUNTIF(oktober,"Skema 3")</f>
        <v>0</v>
      </c>
      <c r="T39" s="223"/>
      <c r="U39" s="370" t="s">
        <v>223</v>
      </c>
      <c r="V39" s="371">
        <f>COUNTIFS(Q5:Q35,"on",oktober,"Skema 1")</f>
        <v>3</v>
      </c>
      <c r="W39" s="927" t="s">
        <v>243</v>
      </c>
      <c r="X39" s="928"/>
      <c r="Y39" s="928"/>
      <c r="Z39" s="390">
        <f>COUNTIF(november,"Skema 3")</f>
        <v>0</v>
      </c>
      <c r="AA39" s="223"/>
      <c r="AB39" s="370" t="s">
        <v>223</v>
      </c>
      <c r="AC39" s="371">
        <f>COUNTIFS(X5:X34,"on",november,"Skema 1")</f>
        <v>5</v>
      </c>
      <c r="AD39" s="927" t="s">
        <v>243</v>
      </c>
      <c r="AE39" s="928"/>
      <c r="AF39" s="928"/>
      <c r="AG39" s="390">
        <f>COUNTIF(december,"Skema 3")</f>
        <v>0</v>
      </c>
      <c r="AH39" s="223"/>
      <c r="AI39" s="370" t="s">
        <v>223</v>
      </c>
      <c r="AJ39" s="371">
        <f>COUNTIFS(AE5:AE35,"on",december,"Skema 1")</f>
        <v>3</v>
      </c>
      <c r="AK39" s="927" t="s">
        <v>243</v>
      </c>
      <c r="AL39" s="928"/>
      <c r="AM39" s="928"/>
      <c r="AN39" s="390">
        <f>COUNTIF(januar,"Skema 3")</f>
        <v>0</v>
      </c>
      <c r="AO39" s="223"/>
      <c r="AP39" s="370" t="s">
        <v>223</v>
      </c>
      <c r="AQ39" s="371">
        <f>COUNTIFS(AL5:AL35,"on",januar,"Skema 1")</f>
        <v>4</v>
      </c>
      <c r="AR39" s="927" t="s">
        <v>243</v>
      </c>
      <c r="AS39" s="928"/>
      <c r="AT39" s="928"/>
      <c r="AU39" s="390">
        <f>COUNTIF(februar,"Skema 3")</f>
        <v>0</v>
      </c>
      <c r="AV39" s="223"/>
      <c r="AW39" s="370" t="s">
        <v>223</v>
      </c>
      <c r="AX39" s="371">
        <f>COUNTIFS(AS5:AS32,"on",februar,"Skema 1")</f>
        <v>3</v>
      </c>
      <c r="AY39" s="927" t="s">
        <v>243</v>
      </c>
      <c r="AZ39" s="928"/>
      <c r="BA39" s="928"/>
      <c r="BB39" s="390">
        <f>COUNTIF(marts,"Skema 3")</f>
        <v>0</v>
      </c>
      <c r="BC39" s="223"/>
      <c r="BD39" s="370" t="s">
        <v>223</v>
      </c>
      <c r="BE39" s="371">
        <f>COUNTIFS(AZ5:AZ35,"on",marts,"Skema 1")</f>
        <v>5</v>
      </c>
      <c r="BF39" s="927" t="s">
        <v>243</v>
      </c>
      <c r="BG39" s="928"/>
      <c r="BH39" s="928"/>
      <c r="BI39" s="390">
        <f>COUNTIF(april,"Skema 3")</f>
        <v>0</v>
      </c>
      <c r="BJ39" s="223"/>
      <c r="BK39" s="370" t="s">
        <v>223</v>
      </c>
      <c r="BL39" s="371">
        <f>COUNTIFS(BG5:BG34,"on",april,"Skema 1")</f>
        <v>3</v>
      </c>
      <c r="BM39" s="927" t="s">
        <v>243</v>
      </c>
      <c r="BN39" s="928"/>
      <c r="BO39" s="928"/>
      <c r="BP39" s="390">
        <f>COUNTIF(maj,"Skema 3")</f>
        <v>0</v>
      </c>
      <c r="BQ39" s="223"/>
      <c r="BR39" s="370" t="s">
        <v>223</v>
      </c>
      <c r="BS39" s="371">
        <f>COUNTIFS(BN5:BN35,"on",maj,"Skema 1")</f>
        <v>5</v>
      </c>
      <c r="BT39" s="927" t="s">
        <v>243</v>
      </c>
      <c r="BU39" s="928"/>
      <c r="BV39" s="928"/>
      <c r="BW39" s="390">
        <f>COUNTIF(juni,"Skema 3")</f>
        <v>0</v>
      </c>
      <c r="BX39" s="223"/>
      <c r="BY39" s="370" t="s">
        <v>223</v>
      </c>
      <c r="BZ39" s="371">
        <f>COUNTIFS(BU5:BU34,"on",juni,"Skema 1")</f>
        <v>3</v>
      </c>
      <c r="CA39" s="927" t="s">
        <v>243</v>
      </c>
      <c r="CB39" s="928"/>
      <c r="CC39" s="928"/>
      <c r="CD39" s="390">
        <f>COUNTIF(juli,"Skema 3")</f>
        <v>0</v>
      </c>
      <c r="CE39" s="223"/>
      <c r="CF39" s="370" t="s">
        <v>223</v>
      </c>
      <c r="CG39" s="371">
        <f>COUNTIFS(CB5:CB35,"on",juli,"Skema 1")</f>
        <v>0</v>
      </c>
      <c r="CH39" s="216"/>
      <c r="CI39" s="216" t="str">
        <f t="shared" ref="CI39:CI41" si="36">CI38</f>
        <v>Skema 1</v>
      </c>
      <c r="CJ39" s="368" t="s">
        <v>36</v>
      </c>
      <c r="CK39" s="369">
        <f>CG39+BZ39+BS39+BL39+BE39+AX39+AQ39+AJ39+AC39+V39+O39+H39</f>
        <v>42</v>
      </c>
    </row>
    <row r="40" spans="1:90" s="113" customFormat="1">
      <c r="A40" s="182" t="s">
        <v>157</v>
      </c>
      <c r="B40" s="927" t="s">
        <v>244</v>
      </c>
      <c r="C40" s="928"/>
      <c r="D40" s="928"/>
      <c r="E40" s="390">
        <f>COUNTIF(august,"Skema 4")</f>
        <v>0</v>
      </c>
      <c r="F40" s="223"/>
      <c r="G40" s="370" t="s">
        <v>225</v>
      </c>
      <c r="H40" s="371">
        <f>COUNTIFS($C$5:$C$35,"to",august,"Skema 1")</f>
        <v>3</v>
      </c>
      <c r="I40" s="927" t="s">
        <v>244</v>
      </c>
      <c r="J40" s="928"/>
      <c r="K40" s="928"/>
      <c r="L40" s="390">
        <f>COUNTIF(september,"Skema 4")</f>
        <v>0</v>
      </c>
      <c r="M40" s="223"/>
      <c r="N40" s="370" t="s">
        <v>225</v>
      </c>
      <c r="O40" s="371">
        <f>COUNTIFS($J$5:$J$34,"to",september,"Skema 1")</f>
        <v>5</v>
      </c>
      <c r="P40" s="927" t="s">
        <v>244</v>
      </c>
      <c r="Q40" s="928"/>
      <c r="R40" s="928"/>
      <c r="S40" s="390">
        <f>COUNTIF(oktober,"Skema 4")</f>
        <v>0</v>
      </c>
      <c r="T40" s="223"/>
      <c r="U40" s="370" t="s">
        <v>225</v>
      </c>
      <c r="V40" s="371">
        <f>COUNTIFS(Q5:Q35,"to",oktober,"Skema 1")</f>
        <v>3</v>
      </c>
      <c r="W40" s="927" t="s">
        <v>244</v>
      </c>
      <c r="X40" s="928"/>
      <c r="Y40" s="928"/>
      <c r="Z40" s="390">
        <f>COUNTIF(november,"Skema 4")</f>
        <v>0</v>
      </c>
      <c r="AA40" s="223"/>
      <c r="AB40" s="370" t="s">
        <v>225</v>
      </c>
      <c r="AC40" s="371">
        <f>COUNTIFS(X5:X34,"to",november,"Skema 1")</f>
        <v>4</v>
      </c>
      <c r="AD40" s="927" t="s">
        <v>244</v>
      </c>
      <c r="AE40" s="928"/>
      <c r="AF40" s="928"/>
      <c r="AG40" s="390">
        <f>COUNTIF(december,"Skema 4")</f>
        <v>0</v>
      </c>
      <c r="AH40" s="223"/>
      <c r="AI40" s="370" t="s">
        <v>225</v>
      </c>
      <c r="AJ40" s="371">
        <f>COUNTIFS(AE5:AE35,"to",december,"Skema 1")</f>
        <v>3</v>
      </c>
      <c r="AK40" s="927" t="s">
        <v>244</v>
      </c>
      <c r="AL40" s="928"/>
      <c r="AM40" s="928"/>
      <c r="AN40" s="390">
        <f>COUNTIF(januar,"Skema 4")</f>
        <v>0</v>
      </c>
      <c r="AO40" s="223"/>
      <c r="AP40" s="370" t="s">
        <v>225</v>
      </c>
      <c r="AQ40" s="371">
        <f>COUNTIFS(AL5:AL35,"to",januar,"Skema 1")</f>
        <v>4</v>
      </c>
      <c r="AR40" s="927" t="s">
        <v>244</v>
      </c>
      <c r="AS40" s="928"/>
      <c r="AT40" s="928"/>
      <c r="AU40" s="390">
        <f>COUNTIF(februar,"Skema 4")</f>
        <v>0</v>
      </c>
      <c r="AV40" s="223"/>
      <c r="AW40" s="370" t="s">
        <v>225</v>
      </c>
      <c r="AX40" s="371">
        <f>COUNTIFS(AS5:AS32,"to",februar,"Skema 1")</f>
        <v>3</v>
      </c>
      <c r="AY40" s="927" t="s">
        <v>244</v>
      </c>
      <c r="AZ40" s="928"/>
      <c r="BA40" s="928"/>
      <c r="BB40" s="390">
        <f>COUNTIF(marts,"Skema 4")</f>
        <v>0</v>
      </c>
      <c r="BC40" s="223"/>
      <c r="BD40" s="370" t="s">
        <v>225</v>
      </c>
      <c r="BE40" s="371">
        <f>COUNTIFS(AZ5:AZ35,"to",marts,"Skema 1")</f>
        <v>5</v>
      </c>
      <c r="BF40" s="927" t="s">
        <v>244</v>
      </c>
      <c r="BG40" s="928"/>
      <c r="BH40" s="928"/>
      <c r="BI40" s="390">
        <f>COUNTIF(april,"Skema 4")</f>
        <v>0</v>
      </c>
      <c r="BJ40" s="223"/>
      <c r="BK40" s="370" t="s">
        <v>225</v>
      </c>
      <c r="BL40" s="371">
        <f>COUNTIFS(BG5:BG34,"to",april,"Skema 1")</f>
        <v>3</v>
      </c>
      <c r="BM40" s="927" t="s">
        <v>244</v>
      </c>
      <c r="BN40" s="928"/>
      <c r="BO40" s="928"/>
      <c r="BP40" s="390">
        <f>COUNTIF(maj,"Skema 4")</f>
        <v>0</v>
      </c>
      <c r="BQ40" s="223"/>
      <c r="BR40" s="370" t="s">
        <v>225</v>
      </c>
      <c r="BS40" s="371">
        <f>COUNTIFS(BN5:BN35,"to",maj,"Skema 1")</f>
        <v>3</v>
      </c>
      <c r="BT40" s="927" t="s">
        <v>244</v>
      </c>
      <c r="BU40" s="928"/>
      <c r="BV40" s="928"/>
      <c r="BW40" s="390">
        <f>COUNTIF(juni,"Skema 4")</f>
        <v>0</v>
      </c>
      <c r="BX40" s="223"/>
      <c r="BY40" s="370" t="s">
        <v>225</v>
      </c>
      <c r="BZ40" s="371">
        <f>COUNTIFS(BU5:BU34,"to",juni,"Skema 1")</f>
        <v>4</v>
      </c>
      <c r="CA40" s="927" t="s">
        <v>244</v>
      </c>
      <c r="CB40" s="928"/>
      <c r="CC40" s="928"/>
      <c r="CD40" s="390">
        <f>COUNTIF(juli,"Skema 4")</f>
        <v>0</v>
      </c>
      <c r="CE40" s="223"/>
      <c r="CF40" s="370" t="s">
        <v>225</v>
      </c>
      <c r="CG40" s="371">
        <f>COUNTIFS(CB5:CB35,"to",juli,"Skema 1")</f>
        <v>0</v>
      </c>
      <c r="CH40" s="216"/>
      <c r="CI40" s="216" t="str">
        <f t="shared" si="36"/>
        <v>Skema 1</v>
      </c>
      <c r="CJ40" s="370" t="s">
        <v>37</v>
      </c>
      <c r="CK40" s="369">
        <f>CG40+BZ40+BS40+BL40+BE40+AX40+AQ40+AJ40+AC40+V40+O40+H40</f>
        <v>40</v>
      </c>
    </row>
    <row r="41" spans="1:90" s="113" customFormat="1" ht="16" customHeight="1">
      <c r="A41" s="198" t="s">
        <v>158</v>
      </c>
      <c r="B41" s="388" t="s">
        <v>117</v>
      </c>
      <c r="C41" s="389"/>
      <c r="D41" s="389"/>
      <c r="E41" s="390">
        <f>COUNTIF(august,"fagdag")+COUNTIF(august,"emnedag")</f>
        <v>0</v>
      </c>
      <c r="F41" s="223"/>
      <c r="G41" s="372" t="s">
        <v>224</v>
      </c>
      <c r="H41" s="373">
        <f>COUNTIFS($C$5:$C$35,"fr",august,"Skema 1")</f>
        <v>3</v>
      </c>
      <c r="I41" s="388" t="s">
        <v>117</v>
      </c>
      <c r="J41" s="389"/>
      <c r="K41" s="389"/>
      <c r="L41" s="390">
        <f>COUNTIF(september,"fagdag")+COUNTIF(september,"emnedag")</f>
        <v>0</v>
      </c>
      <c r="M41" s="223"/>
      <c r="N41" s="372" t="s">
        <v>224</v>
      </c>
      <c r="O41" s="371">
        <f>COUNTIFS($J$5:$J$34,"fr",september,"Skema 1")</f>
        <v>5</v>
      </c>
      <c r="P41" s="388" t="s">
        <v>117</v>
      </c>
      <c r="Q41" s="389"/>
      <c r="R41" s="389"/>
      <c r="S41" s="390">
        <f>COUNTIF(oktober,"fagdag")+COUNTIF(oktober,"emnedag")</f>
        <v>0</v>
      </c>
      <c r="T41" s="223"/>
      <c r="U41" s="372" t="s">
        <v>224</v>
      </c>
      <c r="V41" s="371">
        <f>COUNTIFS(Q5:Q35,"fr",oktober,"Skema 1")</f>
        <v>3</v>
      </c>
      <c r="W41" s="388" t="s">
        <v>117</v>
      </c>
      <c r="X41" s="389"/>
      <c r="Y41" s="389"/>
      <c r="Z41" s="390">
        <f>COUNTIF(november,"fagdag")+COUNTIF(november,"emnedag")</f>
        <v>0</v>
      </c>
      <c r="AA41" s="223"/>
      <c r="AB41" s="372" t="s">
        <v>224</v>
      </c>
      <c r="AC41" s="371">
        <f>COUNTIFS(X5:X34,"fr",november,"Skema 1")</f>
        <v>4</v>
      </c>
      <c r="AD41" s="388" t="s">
        <v>117</v>
      </c>
      <c r="AE41" s="389"/>
      <c r="AF41" s="389"/>
      <c r="AG41" s="390">
        <f>COUNTIF(december,"fagdag")+COUNTIF(december,"emnedag")</f>
        <v>0</v>
      </c>
      <c r="AH41" s="223"/>
      <c r="AI41" s="372" t="s">
        <v>224</v>
      </c>
      <c r="AJ41" s="371">
        <f>COUNTIFS(AE5:AE35,"fr",december,"Skema 1")</f>
        <v>3</v>
      </c>
      <c r="AK41" s="388" t="s">
        <v>117</v>
      </c>
      <c r="AL41" s="389"/>
      <c r="AM41" s="389"/>
      <c r="AN41" s="390">
        <f>COUNTIF(januar,"fagdag")+COUNTIF(januar,"emnedag")</f>
        <v>0</v>
      </c>
      <c r="AO41" s="223"/>
      <c r="AP41" s="372" t="s">
        <v>224</v>
      </c>
      <c r="AQ41" s="371">
        <f>COUNTIFS(AL5:AL35,"fr",januar,"Skema 1")</f>
        <v>4</v>
      </c>
      <c r="AR41" s="388" t="s">
        <v>117</v>
      </c>
      <c r="AS41" s="389"/>
      <c r="AT41" s="389"/>
      <c r="AU41" s="390">
        <f>COUNTIF(februar,"fagdag")+COUNTIF(februar,"emnedag")</f>
        <v>0</v>
      </c>
      <c r="AV41" s="223"/>
      <c r="AW41" s="372" t="s">
        <v>224</v>
      </c>
      <c r="AX41" s="371">
        <f>COUNTIFS(AS5:AS32,"fr",februar,"Skema 1")</f>
        <v>3</v>
      </c>
      <c r="AY41" s="388" t="s">
        <v>117</v>
      </c>
      <c r="AZ41" s="389"/>
      <c r="BA41" s="389"/>
      <c r="BB41" s="390">
        <f>COUNTIF(marts,"fagdag")+COUNTIF(marts,"emnedag")</f>
        <v>0</v>
      </c>
      <c r="BC41" s="223"/>
      <c r="BD41" s="372" t="s">
        <v>224</v>
      </c>
      <c r="BE41" s="371">
        <f>COUNTIFS(AZ5:AZ35,"fr",marts,"Skema 1")</f>
        <v>5</v>
      </c>
      <c r="BF41" s="388" t="s">
        <v>117</v>
      </c>
      <c r="BG41" s="389"/>
      <c r="BH41" s="389"/>
      <c r="BI41" s="390">
        <f>COUNTIF(april,"fagdag")+COUNTIF(april,"emnedag")</f>
        <v>0</v>
      </c>
      <c r="BJ41" s="223"/>
      <c r="BK41" s="372" t="s">
        <v>224</v>
      </c>
      <c r="BL41" s="371">
        <f>COUNTIFS(BG5:BG34,"fr",april,"Skema 1")</f>
        <v>3</v>
      </c>
      <c r="BM41" s="388" t="s">
        <v>117</v>
      </c>
      <c r="BN41" s="389"/>
      <c r="BO41" s="389"/>
      <c r="BP41" s="390">
        <f>COUNTIF(maj,"fagdag")+COUNTIF(maj,"emnedag")</f>
        <v>0</v>
      </c>
      <c r="BQ41" s="223"/>
      <c r="BR41" s="372" t="s">
        <v>224</v>
      </c>
      <c r="BS41" s="371">
        <f>COUNTIFS(BN5:BN35,"fr",maj,"Skema 1")</f>
        <v>2</v>
      </c>
      <c r="BT41" s="388" t="s">
        <v>117</v>
      </c>
      <c r="BU41" s="389"/>
      <c r="BV41" s="389"/>
      <c r="BW41" s="390">
        <f>COUNTIF(juni,"fagdag")+COUNTIF(juni,"emnedag")</f>
        <v>0</v>
      </c>
      <c r="BX41" s="223"/>
      <c r="BY41" s="372" t="s">
        <v>224</v>
      </c>
      <c r="BZ41" s="371">
        <f>COUNTIFS(BU5:BU34,"fr",juni,"Skema 1")</f>
        <v>4</v>
      </c>
      <c r="CA41" s="388" t="s">
        <v>117</v>
      </c>
      <c r="CB41" s="389"/>
      <c r="CC41" s="389"/>
      <c r="CD41" s="390">
        <f>COUNTIF(juli,"fagdag")+COUNTIF(juli,"emnedag")</f>
        <v>0</v>
      </c>
      <c r="CE41" s="223"/>
      <c r="CF41" s="372" t="s">
        <v>224</v>
      </c>
      <c r="CG41" s="371">
        <f>COUNTIFS(CB5:CB35,"fr",juli,"Skema 1")</f>
        <v>0</v>
      </c>
      <c r="CH41" s="216"/>
      <c r="CI41" s="216" t="str">
        <f t="shared" si="36"/>
        <v>Skema 1</v>
      </c>
      <c r="CJ41" s="368" t="s">
        <v>38</v>
      </c>
      <c r="CK41" s="369">
        <f>CG41+BZ41+BS41+BL41+BE41+AX41+AQ41+AJ41+AC41+V41+O41+H41</f>
        <v>39</v>
      </c>
    </row>
    <row r="42" spans="1:90" s="113" customFormat="1">
      <c r="A42" s="395" t="s">
        <v>147</v>
      </c>
      <c r="B42" s="120" t="s">
        <v>116</v>
      </c>
      <c r="C42" s="121"/>
      <c r="D42" s="121"/>
      <c r="E42" s="390">
        <f>COUNTIF(august,"lejrskole")+COUNTIF(august,"ekskursion")</f>
        <v>0</v>
      </c>
      <c r="F42" s="223"/>
      <c r="G42" s="105"/>
      <c r="H42" s="374"/>
      <c r="I42" s="120" t="s">
        <v>116</v>
      </c>
      <c r="J42" s="121"/>
      <c r="K42" s="121"/>
      <c r="L42" s="390">
        <f>COUNTIF(september,"lejrskole")+COUNTIF(september,"ekskursion")</f>
        <v>0</v>
      </c>
      <c r="M42" s="223"/>
      <c r="N42" s="105"/>
      <c r="O42" s="374"/>
      <c r="P42" s="120" t="s">
        <v>116</v>
      </c>
      <c r="Q42" s="121"/>
      <c r="R42" s="121"/>
      <c r="S42" s="390">
        <f>COUNTIF(oktober,"lejrskole")+COUNTIF(oktober,"ekskursion")</f>
        <v>0</v>
      </c>
      <c r="T42" s="223"/>
      <c r="U42" s="105"/>
      <c r="V42" s="374"/>
      <c r="W42" s="120" t="s">
        <v>116</v>
      </c>
      <c r="X42" s="121"/>
      <c r="Y42" s="121"/>
      <c r="Z42" s="390">
        <f>COUNTIF(november,"lejrskole")+COUNTIF(november,"ekskursion")</f>
        <v>0</v>
      </c>
      <c r="AA42" s="223"/>
      <c r="AB42" s="105"/>
      <c r="AC42" s="374"/>
      <c r="AD42" s="120" t="s">
        <v>116</v>
      </c>
      <c r="AE42" s="121"/>
      <c r="AF42" s="121"/>
      <c r="AG42" s="390">
        <f>COUNTIF(december,"lejrskole")+COUNTIF(december,"ekskursion")</f>
        <v>0</v>
      </c>
      <c r="AH42" s="223"/>
      <c r="AI42" s="105"/>
      <c r="AJ42" s="374"/>
      <c r="AK42" s="120" t="s">
        <v>116</v>
      </c>
      <c r="AL42" s="121"/>
      <c r="AM42" s="121"/>
      <c r="AN42" s="390">
        <f>COUNTIF(januar,"lejrskole")+COUNTIF(januar,"ekskursion")</f>
        <v>0</v>
      </c>
      <c r="AO42" s="223"/>
      <c r="AP42" s="105"/>
      <c r="AQ42" s="374"/>
      <c r="AR42" s="120" t="s">
        <v>116</v>
      </c>
      <c r="AS42" s="121"/>
      <c r="AT42" s="121"/>
      <c r="AU42" s="390">
        <f>COUNTIF(februar,"lejrskole")+COUNTIF(februar,"ekskursion")</f>
        <v>0</v>
      </c>
      <c r="AV42" s="223"/>
      <c r="AW42" s="105"/>
      <c r="AX42" s="374"/>
      <c r="AY42" s="120" t="s">
        <v>116</v>
      </c>
      <c r="AZ42" s="121"/>
      <c r="BA42" s="121"/>
      <c r="BB42" s="390">
        <f>COUNTIF(marts,"lejrskole")+COUNTIF(marts,"ekskursion")</f>
        <v>0</v>
      </c>
      <c r="BC42" s="223"/>
      <c r="BD42" s="105"/>
      <c r="BE42" s="374"/>
      <c r="BF42" s="120" t="s">
        <v>116</v>
      </c>
      <c r="BG42" s="121"/>
      <c r="BH42" s="121"/>
      <c r="BI42" s="390">
        <f>COUNTIF(april,"lejrskole")+COUNTIF(april,"ekskursion")</f>
        <v>0</v>
      </c>
      <c r="BJ42" s="223"/>
      <c r="BK42" s="105"/>
      <c r="BL42" s="374"/>
      <c r="BM42" s="120" t="s">
        <v>116</v>
      </c>
      <c r="BN42" s="121"/>
      <c r="BO42" s="121"/>
      <c r="BP42" s="390">
        <f>COUNTIF(maj,"lejrskole")+COUNTIF(maj,"ekskursion")</f>
        <v>0</v>
      </c>
      <c r="BQ42" s="223"/>
      <c r="BR42" s="105"/>
      <c r="BS42" s="374"/>
      <c r="BT42" s="120" t="s">
        <v>116</v>
      </c>
      <c r="BU42" s="121"/>
      <c r="BV42" s="121"/>
      <c r="BW42" s="390">
        <f>COUNTIF(juni,"lejrskole")+COUNTIF(juni,"ekskursion")</f>
        <v>0</v>
      </c>
      <c r="BX42" s="223"/>
      <c r="BY42" s="105"/>
      <c r="BZ42" s="374"/>
      <c r="CA42" s="120" t="s">
        <v>116</v>
      </c>
      <c r="CB42" s="121"/>
      <c r="CC42" s="121"/>
      <c r="CD42" s="390">
        <f>COUNTIF(juli,"lejrskole")+COUNTIF(juli,"ekskursion")</f>
        <v>0</v>
      </c>
      <c r="CE42" s="223"/>
      <c r="CF42" s="105"/>
      <c r="CG42" s="374"/>
      <c r="CH42" s="216"/>
      <c r="CI42" s="216"/>
      <c r="CJ42" s="105"/>
      <c r="CK42" s="369"/>
    </row>
    <row r="43" spans="1:90" s="113" customFormat="1">
      <c r="A43" s="395" t="s">
        <v>504</v>
      </c>
      <c r="B43" s="782"/>
      <c r="C43" s="112"/>
      <c r="D43" s="112"/>
      <c r="E43" s="390"/>
      <c r="F43" s="223"/>
      <c r="G43" s="105"/>
      <c r="H43" s="374"/>
      <c r="I43" s="782"/>
      <c r="J43" s="112"/>
      <c r="K43" s="112"/>
      <c r="L43" s="390"/>
      <c r="M43" s="223"/>
      <c r="N43" s="105"/>
      <c r="O43" s="374"/>
      <c r="P43" s="782"/>
      <c r="Q43" s="112"/>
      <c r="R43" s="112"/>
      <c r="S43" s="390"/>
      <c r="T43" s="223"/>
      <c r="U43" s="105"/>
      <c r="V43" s="374"/>
      <c r="W43" s="782"/>
      <c r="X43" s="112"/>
      <c r="Y43" s="112"/>
      <c r="Z43" s="390"/>
      <c r="AA43" s="223"/>
      <c r="AB43" s="105"/>
      <c r="AC43" s="374"/>
      <c r="AD43" s="782"/>
      <c r="AE43" s="112"/>
      <c r="AF43" s="112"/>
      <c r="AG43" s="390"/>
      <c r="AH43" s="223"/>
      <c r="AI43" s="105"/>
      <c r="AJ43" s="374"/>
      <c r="AK43" s="782"/>
      <c r="AL43" s="112"/>
      <c r="AM43" s="112"/>
      <c r="AN43" s="390"/>
      <c r="AO43" s="223"/>
      <c r="AP43" s="105"/>
      <c r="AQ43" s="374"/>
      <c r="AR43" s="782"/>
      <c r="AS43" s="112"/>
      <c r="AT43" s="112"/>
      <c r="AU43" s="390"/>
      <c r="AV43" s="223"/>
      <c r="AW43" s="105"/>
      <c r="AX43" s="374"/>
      <c r="AY43" s="782"/>
      <c r="AZ43" s="112"/>
      <c r="BA43" s="112"/>
      <c r="BB43" s="390"/>
      <c r="BC43" s="223"/>
      <c r="BD43" s="105"/>
      <c r="BE43" s="374"/>
      <c r="BF43" s="782"/>
      <c r="BG43" s="112"/>
      <c r="BH43" s="112"/>
      <c r="BI43" s="390"/>
      <c r="BJ43" s="223"/>
      <c r="BK43" s="105"/>
      <c r="BL43" s="374"/>
      <c r="BM43" s="782"/>
      <c r="BN43" s="112"/>
      <c r="BO43" s="112"/>
      <c r="BP43" s="390"/>
      <c r="BQ43" s="223"/>
      <c r="BR43" s="105"/>
      <c r="BS43" s="374"/>
      <c r="BT43" s="782"/>
      <c r="BU43" s="112"/>
      <c r="BV43" s="112"/>
      <c r="BW43" s="390"/>
      <c r="BX43" s="223"/>
      <c r="BY43" s="105"/>
      <c r="BZ43" s="374"/>
      <c r="CA43" s="782"/>
      <c r="CB43" s="112"/>
      <c r="CC43" s="112"/>
      <c r="CD43" s="390"/>
      <c r="CE43" s="223"/>
      <c r="CF43" s="105"/>
      <c r="CG43" s="374"/>
      <c r="CH43" s="216"/>
      <c r="CI43" s="216"/>
      <c r="CJ43" s="105"/>
      <c r="CK43" s="369"/>
    </row>
    <row r="44" spans="1:90" s="113" customFormat="1" ht="16" customHeight="1">
      <c r="A44" s="298" t="s">
        <v>185</v>
      </c>
      <c r="B44" s="111" t="s">
        <v>115</v>
      </c>
      <c r="C44" s="112"/>
      <c r="D44" s="112"/>
      <c r="E44" s="390">
        <f>COUNTIF(august,"Pæd.dag")</f>
        <v>0</v>
      </c>
      <c r="F44" s="223"/>
      <c r="G44" s="368" t="s">
        <v>226</v>
      </c>
      <c r="H44" s="375">
        <f>COUNTIFS($C$5:$C$35,"ma",august,"Skema 2")</f>
        <v>0</v>
      </c>
      <c r="I44" s="111" t="s">
        <v>115</v>
      </c>
      <c r="J44" s="112"/>
      <c r="K44" s="112"/>
      <c r="L44" s="390">
        <f>COUNTIF(september,"Pæd.dag")</f>
        <v>0</v>
      </c>
      <c r="M44" s="223"/>
      <c r="N44" s="368" t="s">
        <v>226</v>
      </c>
      <c r="O44" s="371">
        <f>COUNTIFS($J$5:$J$34,"ma",september,"Skema 2")</f>
        <v>0</v>
      </c>
      <c r="P44" s="111" t="s">
        <v>115</v>
      </c>
      <c r="Q44" s="112"/>
      <c r="R44" s="112"/>
      <c r="S44" s="390">
        <f>COUNTIF(oktober,"Pæd.dag")</f>
        <v>0</v>
      </c>
      <c r="T44" s="223"/>
      <c r="U44" s="368" t="s">
        <v>226</v>
      </c>
      <c r="V44" s="371">
        <f>COUNTIFS(Q5:Q35,"ma",oktober,"Skema 2")</f>
        <v>0</v>
      </c>
      <c r="W44" s="111" t="s">
        <v>115</v>
      </c>
      <c r="X44" s="112"/>
      <c r="Y44" s="112"/>
      <c r="Z44" s="390">
        <f>COUNTIF(november,"Pæd.dag")</f>
        <v>0</v>
      </c>
      <c r="AA44" s="223"/>
      <c r="AB44" s="368" t="s">
        <v>226</v>
      </c>
      <c r="AC44" s="371">
        <f>COUNTIFS(X5:X34,"ma",november,"Skema 2")</f>
        <v>0</v>
      </c>
      <c r="AD44" s="111" t="s">
        <v>115</v>
      </c>
      <c r="AE44" s="112"/>
      <c r="AF44" s="112"/>
      <c r="AG44" s="390">
        <f>COUNTIF(december,"Pæd.dag")</f>
        <v>0</v>
      </c>
      <c r="AH44" s="223"/>
      <c r="AI44" s="368" t="s">
        <v>226</v>
      </c>
      <c r="AJ44" s="371">
        <f>COUNTIFS(AE5:AE35,"ma",december,"Skema 2")</f>
        <v>0</v>
      </c>
      <c r="AK44" s="111" t="s">
        <v>115</v>
      </c>
      <c r="AL44" s="112"/>
      <c r="AM44" s="112"/>
      <c r="AN44" s="390">
        <f>COUNTIF(januar,"Pæd.dag")</f>
        <v>0</v>
      </c>
      <c r="AO44" s="223"/>
      <c r="AP44" s="368" t="s">
        <v>226</v>
      </c>
      <c r="AQ44" s="371">
        <f>COUNTIFS(AL5:AL35,"ma",januar,"Skema 2")</f>
        <v>0</v>
      </c>
      <c r="AR44" s="111" t="s">
        <v>115</v>
      </c>
      <c r="AS44" s="112"/>
      <c r="AT44" s="112"/>
      <c r="AU44" s="390">
        <f>COUNTIF(februar,"Pæd.dag")</f>
        <v>0</v>
      </c>
      <c r="AV44" s="223"/>
      <c r="AW44" s="368" t="s">
        <v>226</v>
      </c>
      <c r="AX44" s="371">
        <f>COUNTIFS(AS5:AS32,"ma",februar,"Skema 2")</f>
        <v>0</v>
      </c>
      <c r="AY44" s="111" t="s">
        <v>115</v>
      </c>
      <c r="AZ44" s="112"/>
      <c r="BA44" s="112"/>
      <c r="BB44" s="390">
        <f>COUNTIF(marts,"Pæd.dag")</f>
        <v>0</v>
      </c>
      <c r="BC44" s="223"/>
      <c r="BD44" s="368" t="s">
        <v>226</v>
      </c>
      <c r="BE44" s="371">
        <f>COUNTIFS(AZ5:AZ35,"ma",marts,"Skema 2")</f>
        <v>0</v>
      </c>
      <c r="BF44" s="111" t="s">
        <v>115</v>
      </c>
      <c r="BG44" s="112"/>
      <c r="BH44" s="112"/>
      <c r="BI44" s="390">
        <f>COUNTIF(april,"Pæd.dag")</f>
        <v>0</v>
      </c>
      <c r="BJ44" s="223"/>
      <c r="BK44" s="368" t="s">
        <v>226</v>
      </c>
      <c r="BL44" s="371">
        <f>COUNTIFS(BG5:BG34,"ma",april,"Skema 2")</f>
        <v>0</v>
      </c>
      <c r="BM44" s="111" t="s">
        <v>115</v>
      </c>
      <c r="BN44" s="112"/>
      <c r="BO44" s="112"/>
      <c r="BP44" s="390">
        <f>COUNTIF(maj,"Pæd.dag")</f>
        <v>0</v>
      </c>
      <c r="BQ44" s="223"/>
      <c r="BR44" s="368" t="s">
        <v>226</v>
      </c>
      <c r="BS44" s="371">
        <f>COUNTIFS(BN5:BN35,"ma",maj,"Skema 2")</f>
        <v>0</v>
      </c>
      <c r="BT44" s="111" t="s">
        <v>115</v>
      </c>
      <c r="BU44" s="112"/>
      <c r="BV44" s="112"/>
      <c r="BW44" s="390">
        <f>COUNTIF(juni,"Pæd.dag")</f>
        <v>0</v>
      </c>
      <c r="BX44" s="223"/>
      <c r="BY44" s="368" t="s">
        <v>226</v>
      </c>
      <c r="BZ44" s="371">
        <f>COUNTIFS(BU5:BU34,"ma",juni,"Skema 2")</f>
        <v>0</v>
      </c>
      <c r="CA44" s="111" t="s">
        <v>115</v>
      </c>
      <c r="CB44" s="112"/>
      <c r="CC44" s="112"/>
      <c r="CD44" s="390">
        <f>COUNTIF(juli,"Pæd.dag")</f>
        <v>0</v>
      </c>
      <c r="CE44" s="223"/>
      <c r="CF44" s="368" t="s">
        <v>226</v>
      </c>
      <c r="CG44" s="371">
        <f>COUNTIFS(CB5:CB35,"ma",juli,"Skema 2")</f>
        <v>0</v>
      </c>
      <c r="CH44" s="216"/>
      <c r="CI44" s="216" t="s">
        <v>242</v>
      </c>
      <c r="CJ44" s="368" t="s">
        <v>34</v>
      </c>
      <c r="CK44" s="369">
        <f>CG44+BZ44+BS44+BL44+BE44+AX44+AQ44+AJ44+AC44+V44+O44+H44</f>
        <v>0</v>
      </c>
    </row>
    <row r="45" spans="1:90" s="113" customFormat="1">
      <c r="A45" s="297"/>
      <c r="B45" s="111" t="s">
        <v>138</v>
      </c>
      <c r="C45" s="112"/>
      <c r="D45" s="112"/>
      <c r="E45" s="390">
        <f>COUNTIF(august,"weekend")</f>
        <v>8</v>
      </c>
      <c r="F45" s="223"/>
      <c r="G45" s="370" t="s">
        <v>227</v>
      </c>
      <c r="H45" s="376">
        <f>COUNTIFS($C$5:$C$35,"ti",august,"Skema 2")</f>
        <v>0</v>
      </c>
      <c r="I45" s="111" t="s">
        <v>138</v>
      </c>
      <c r="J45" s="112"/>
      <c r="K45" s="112"/>
      <c r="L45" s="390">
        <f>COUNTIF(september,"weekend")</f>
        <v>8</v>
      </c>
      <c r="M45" s="223"/>
      <c r="N45" s="370" t="s">
        <v>227</v>
      </c>
      <c r="O45" s="371">
        <f>COUNTIFS($J$5:$J$34,"ti",september,"Skema 2")</f>
        <v>0</v>
      </c>
      <c r="P45" s="111" t="s">
        <v>138</v>
      </c>
      <c r="Q45" s="112"/>
      <c r="R45" s="112"/>
      <c r="S45" s="390">
        <f>COUNTIF(oktober,"weekend")</f>
        <v>10</v>
      </c>
      <c r="T45" s="223"/>
      <c r="U45" s="370" t="s">
        <v>227</v>
      </c>
      <c r="V45" s="371">
        <f>COUNTIFS(Q5:Q35,"ti",oktober,"Skema 2")</f>
        <v>0</v>
      </c>
      <c r="W45" s="111" t="s">
        <v>138</v>
      </c>
      <c r="X45" s="112"/>
      <c r="Y45" s="112"/>
      <c r="Z45" s="390">
        <f>COUNTIF(november,"weekend")</f>
        <v>8</v>
      </c>
      <c r="AA45" s="223"/>
      <c r="AB45" s="370" t="s">
        <v>227</v>
      </c>
      <c r="AC45" s="371">
        <f>COUNTIFS(X5:X34,"ti",november,"Skema 2")</f>
        <v>0</v>
      </c>
      <c r="AD45" s="111" t="s">
        <v>138</v>
      </c>
      <c r="AE45" s="112"/>
      <c r="AF45" s="112"/>
      <c r="AG45" s="390">
        <f>COUNTIF(december,"weekend")</f>
        <v>9</v>
      </c>
      <c r="AH45" s="223"/>
      <c r="AI45" s="370" t="s">
        <v>227</v>
      </c>
      <c r="AJ45" s="371">
        <f>COUNTIFS(AE5:AE35,"ti",december,"Skema 2")</f>
        <v>0</v>
      </c>
      <c r="AK45" s="111" t="s">
        <v>138</v>
      </c>
      <c r="AL45" s="112"/>
      <c r="AM45" s="112"/>
      <c r="AN45" s="390">
        <f>COUNTIF(januar,"weekend")</f>
        <v>9</v>
      </c>
      <c r="AO45" s="223"/>
      <c r="AP45" s="370" t="s">
        <v>227</v>
      </c>
      <c r="AQ45" s="371">
        <f>COUNTIFS(AL5:AL35,"ti",januar,"Skema 2")</f>
        <v>0</v>
      </c>
      <c r="AR45" s="111" t="s">
        <v>138</v>
      </c>
      <c r="AS45" s="112"/>
      <c r="AT45" s="112"/>
      <c r="AU45" s="390">
        <f>COUNTIF(februar,"weekend")</f>
        <v>8</v>
      </c>
      <c r="AV45" s="223"/>
      <c r="AW45" s="370" t="s">
        <v>227</v>
      </c>
      <c r="AX45" s="371">
        <f>COUNTIFS(AS5:AS32,"ti",februar,"Skema 2")</f>
        <v>0</v>
      </c>
      <c r="AY45" s="111" t="s">
        <v>138</v>
      </c>
      <c r="AZ45" s="112"/>
      <c r="BA45" s="112"/>
      <c r="BB45" s="390">
        <f>COUNTIF(marts,"weekend")</f>
        <v>8</v>
      </c>
      <c r="BC45" s="223"/>
      <c r="BD45" s="370" t="s">
        <v>227</v>
      </c>
      <c r="BE45" s="371">
        <f>COUNTIFS(AZ5:AZ35,"ti",marts,"Skema 2")</f>
        <v>0</v>
      </c>
      <c r="BF45" s="111" t="s">
        <v>138</v>
      </c>
      <c r="BG45" s="112"/>
      <c r="BH45" s="112"/>
      <c r="BI45" s="390">
        <f>COUNTIF(april,"weekend")</f>
        <v>10</v>
      </c>
      <c r="BJ45" s="223"/>
      <c r="BK45" s="370" t="s">
        <v>227</v>
      </c>
      <c r="BL45" s="371">
        <f>COUNTIFS(BG5:BG34,"ti",april,"Skema 2")</f>
        <v>0</v>
      </c>
      <c r="BM45" s="111" t="s">
        <v>138</v>
      </c>
      <c r="BN45" s="112"/>
      <c r="BO45" s="112"/>
      <c r="BP45" s="390">
        <f>COUNTIF(maj,"weekend")</f>
        <v>8</v>
      </c>
      <c r="BQ45" s="223"/>
      <c r="BR45" s="370" t="s">
        <v>227</v>
      </c>
      <c r="BS45" s="371">
        <f>COUNTIFS(BN5:BN35,"ti",maj,"Skema 2")</f>
        <v>0</v>
      </c>
      <c r="BT45" s="111" t="s">
        <v>138</v>
      </c>
      <c r="BU45" s="112"/>
      <c r="BV45" s="112"/>
      <c r="BW45" s="390">
        <f>COUNTIF(juni,"weekend")</f>
        <v>8</v>
      </c>
      <c r="BX45" s="223"/>
      <c r="BY45" s="370" t="s">
        <v>227</v>
      </c>
      <c r="BZ45" s="371">
        <f>COUNTIFS(BU5:BU34,"ti",juni,"Skema 2")</f>
        <v>0</v>
      </c>
      <c r="CA45" s="111" t="s">
        <v>138</v>
      </c>
      <c r="CB45" s="112"/>
      <c r="CC45" s="112"/>
      <c r="CD45" s="390">
        <f>COUNTIF(juli,"weekend")</f>
        <v>10</v>
      </c>
      <c r="CE45" s="223"/>
      <c r="CF45" s="370" t="s">
        <v>227</v>
      </c>
      <c r="CG45" s="371">
        <f>COUNTIFS(CB5:CB35,"ti",juli,"Skema 2")</f>
        <v>0</v>
      </c>
      <c r="CH45" s="240"/>
      <c r="CI45" s="240" t="str">
        <f>CI44</f>
        <v>Skema 2</v>
      </c>
      <c r="CJ45" s="370" t="s">
        <v>35</v>
      </c>
      <c r="CK45" s="369">
        <f>CG45+BZ45+BS45+BL45+BE45+AX45+AQ45+AJ45+AC45+V45+O45+H45</f>
        <v>0</v>
      </c>
    </row>
    <row r="46" spans="1:90" s="113" customFormat="1">
      <c r="A46" s="930" t="s">
        <v>160</v>
      </c>
      <c r="B46" s="111" t="s">
        <v>146</v>
      </c>
      <c r="C46" s="112"/>
      <c r="D46" s="112"/>
      <c r="E46" s="390">
        <f>COUNTIF(august,"SH-dag")</f>
        <v>0</v>
      </c>
      <c r="F46" s="223"/>
      <c r="G46" s="370" t="s">
        <v>228</v>
      </c>
      <c r="H46" s="376">
        <f>COUNTIFS($C$5:$C$35,"on",august,"Skema 2")</f>
        <v>0</v>
      </c>
      <c r="I46" s="111" t="s">
        <v>146</v>
      </c>
      <c r="J46" s="112"/>
      <c r="K46" s="112"/>
      <c r="L46" s="390">
        <f>COUNTIF(september,"SH-dag")</f>
        <v>0</v>
      </c>
      <c r="M46" s="223"/>
      <c r="N46" s="370" t="s">
        <v>228</v>
      </c>
      <c r="O46" s="371">
        <f>COUNTIFS($J$5:$J$34,"on",september,"Skema 2")</f>
        <v>0</v>
      </c>
      <c r="P46" s="111" t="s">
        <v>146</v>
      </c>
      <c r="Q46" s="112"/>
      <c r="R46" s="112"/>
      <c r="S46" s="390">
        <f>COUNTIF(oktober,"SH-dag")</f>
        <v>0</v>
      </c>
      <c r="T46" s="223"/>
      <c r="U46" s="370" t="s">
        <v>228</v>
      </c>
      <c r="V46" s="371">
        <f>COUNTIFS(Q5:Q35,"on",oktober,"Skema 2")</f>
        <v>0</v>
      </c>
      <c r="W46" s="111" t="s">
        <v>146</v>
      </c>
      <c r="X46" s="112"/>
      <c r="Y46" s="112"/>
      <c r="Z46" s="390">
        <f>COUNTIF(november,"SH-dag")</f>
        <v>0</v>
      </c>
      <c r="AA46" s="223"/>
      <c r="AB46" s="370" t="s">
        <v>228</v>
      </c>
      <c r="AC46" s="371">
        <f>COUNTIFS(X5:X34,"on",november,"Skema 2")</f>
        <v>0</v>
      </c>
      <c r="AD46" s="111" t="s">
        <v>146</v>
      </c>
      <c r="AE46" s="112"/>
      <c r="AF46" s="112"/>
      <c r="AG46" s="390">
        <f>COUNTIF(december,"SH-dag")</f>
        <v>1</v>
      </c>
      <c r="AH46" s="223"/>
      <c r="AI46" s="370" t="s">
        <v>228</v>
      </c>
      <c r="AJ46" s="371">
        <f>COUNTIFS(AE5:AE35,"on",december,"Skema 2")</f>
        <v>0</v>
      </c>
      <c r="AK46" s="111" t="s">
        <v>146</v>
      </c>
      <c r="AL46" s="112"/>
      <c r="AM46" s="112"/>
      <c r="AN46" s="390">
        <f>COUNTIF(januar,"SH-dag")</f>
        <v>0</v>
      </c>
      <c r="AO46" s="223"/>
      <c r="AP46" s="370" t="s">
        <v>228</v>
      </c>
      <c r="AQ46" s="371">
        <f>COUNTIFS(AL5:AL35,"on",januar,"Skema 2")</f>
        <v>0</v>
      </c>
      <c r="AR46" s="111" t="s">
        <v>146</v>
      </c>
      <c r="AS46" s="112"/>
      <c r="AT46" s="112"/>
      <c r="AU46" s="390">
        <f>COUNTIF(februar,"SH-dag")</f>
        <v>0</v>
      </c>
      <c r="AV46" s="223"/>
      <c r="AW46" s="370" t="s">
        <v>228</v>
      </c>
      <c r="AX46" s="371">
        <f>COUNTIFS(AS5:AS32,"on",februar,"Skema 2")</f>
        <v>0</v>
      </c>
      <c r="AY46" s="111" t="s">
        <v>146</v>
      </c>
      <c r="AZ46" s="112"/>
      <c r="BA46" s="112"/>
      <c r="BB46" s="390">
        <f>COUNTIF(marts,"SH-dag")</f>
        <v>0</v>
      </c>
      <c r="BC46" s="223"/>
      <c r="BD46" s="370" t="s">
        <v>228</v>
      </c>
      <c r="BE46" s="371">
        <f>COUNTIFS(AZ5:AZ35,"on",marts,"Skema 2")</f>
        <v>0</v>
      </c>
      <c r="BF46" s="111" t="s">
        <v>146</v>
      </c>
      <c r="BG46" s="112"/>
      <c r="BH46" s="112"/>
      <c r="BI46" s="390">
        <f>COUNTIF(april,"SH-dag")</f>
        <v>3</v>
      </c>
      <c r="BJ46" s="223"/>
      <c r="BK46" s="370" t="s">
        <v>228</v>
      </c>
      <c r="BL46" s="371">
        <f>COUNTIFS(BG5:BG34,"on",april,"Skema 2")</f>
        <v>0</v>
      </c>
      <c r="BM46" s="111" t="s">
        <v>146</v>
      </c>
      <c r="BN46" s="112"/>
      <c r="BO46" s="112"/>
      <c r="BP46" s="390">
        <f>COUNTIF(maj,"SH-dag")</f>
        <v>3</v>
      </c>
      <c r="BQ46" s="223"/>
      <c r="BR46" s="370" t="s">
        <v>228</v>
      </c>
      <c r="BS46" s="371">
        <f>COUNTIFS(BN5:BN35,"on",maj,"Skema 2")</f>
        <v>0</v>
      </c>
      <c r="BT46" s="111" t="s">
        <v>146</v>
      </c>
      <c r="BU46" s="112"/>
      <c r="BV46" s="112"/>
      <c r="BW46" s="390">
        <f>COUNTIF(juni,"SH-dag")</f>
        <v>0</v>
      </c>
      <c r="BX46" s="223"/>
      <c r="BY46" s="370" t="s">
        <v>228</v>
      </c>
      <c r="BZ46" s="371">
        <f>COUNTIFS(BU5:BU34,"on",juni,"Skema 2")</f>
        <v>0</v>
      </c>
      <c r="CA46" s="111" t="s">
        <v>146</v>
      </c>
      <c r="CB46" s="112"/>
      <c r="CC46" s="112"/>
      <c r="CD46" s="390">
        <f>COUNTIF(juli,"SH-dag")</f>
        <v>0</v>
      </c>
      <c r="CE46" s="223"/>
      <c r="CF46" s="370" t="s">
        <v>228</v>
      </c>
      <c r="CG46" s="371">
        <f>COUNTIFS(CB5:CB35,"on",juli,"Skema 2")</f>
        <v>0</v>
      </c>
      <c r="CH46" s="117"/>
      <c r="CI46" s="240" t="str">
        <f t="shared" ref="CI46:CI48" si="37">CI45</f>
        <v>Skema 2</v>
      </c>
      <c r="CJ46" s="368" t="s">
        <v>36</v>
      </c>
      <c r="CK46" s="369">
        <f>CG46+BZ46+BS46+BL46+BE46+AX46+AQ46+AJ46+AC46+V46+O46+H46</f>
        <v>0</v>
      </c>
    </row>
    <row r="47" spans="1:90" s="113" customFormat="1">
      <c r="A47" s="930"/>
      <c r="B47" s="111" t="s">
        <v>114</v>
      </c>
      <c r="C47" s="112"/>
      <c r="D47" s="112"/>
      <c r="E47" s="390">
        <f>COUNTIF(august,"feriedag")</f>
        <v>2</v>
      </c>
      <c r="F47" s="223"/>
      <c r="G47" s="370" t="s">
        <v>229</v>
      </c>
      <c r="H47" s="376">
        <f>COUNTIFS($C$5:$C$35,"to",august,"Skema 2")</f>
        <v>0</v>
      </c>
      <c r="I47" s="111" t="s">
        <v>114</v>
      </c>
      <c r="J47" s="112"/>
      <c r="K47" s="112"/>
      <c r="L47" s="390">
        <f>COUNTIF(september,"feriedag")</f>
        <v>0</v>
      </c>
      <c r="M47" s="223"/>
      <c r="N47" s="370" t="s">
        <v>229</v>
      </c>
      <c r="O47" s="371">
        <f>COUNTIFS($J$5:$J$34,"to",september,"Skema 2")</f>
        <v>0</v>
      </c>
      <c r="P47" s="111" t="s">
        <v>114</v>
      </c>
      <c r="Q47" s="112"/>
      <c r="R47" s="112"/>
      <c r="S47" s="390">
        <f>COUNTIF(oktober,"feriedag")</f>
        <v>5</v>
      </c>
      <c r="T47" s="223"/>
      <c r="U47" s="370" t="s">
        <v>229</v>
      </c>
      <c r="V47" s="371">
        <f>COUNTIFS(Q5:Q35,"to",oktober,"Skema 2")</f>
        <v>0</v>
      </c>
      <c r="W47" s="111" t="s">
        <v>114</v>
      </c>
      <c r="X47" s="112"/>
      <c r="Y47" s="112"/>
      <c r="Z47" s="390">
        <f>COUNTIF(november,"feriedag")</f>
        <v>0</v>
      </c>
      <c r="AA47" s="223"/>
      <c r="AB47" s="370" t="s">
        <v>229</v>
      </c>
      <c r="AC47" s="371">
        <f>COUNTIFS(X5:X34,"to",november,"Skema 2")</f>
        <v>0</v>
      </c>
      <c r="AD47" s="111" t="s">
        <v>114</v>
      </c>
      <c r="AE47" s="112"/>
      <c r="AF47" s="112"/>
      <c r="AG47" s="390">
        <f>COUNTIF(december,"feriedag")</f>
        <v>0</v>
      </c>
      <c r="AH47" s="223"/>
      <c r="AI47" s="370" t="s">
        <v>229</v>
      </c>
      <c r="AJ47" s="371">
        <f>COUNTIFS(AE5:AE35,"to",december,"Skema 2")</f>
        <v>0</v>
      </c>
      <c r="AK47" s="111" t="s">
        <v>114</v>
      </c>
      <c r="AL47" s="112"/>
      <c r="AM47" s="112"/>
      <c r="AN47" s="390">
        <f>COUNTIF(januar,"feriedag")</f>
        <v>0</v>
      </c>
      <c r="AO47" s="223"/>
      <c r="AP47" s="370" t="s">
        <v>229</v>
      </c>
      <c r="AQ47" s="371">
        <f>COUNTIFS(AL5:AL35,"to",januar,"Skema 2")</f>
        <v>0</v>
      </c>
      <c r="AR47" s="111" t="s">
        <v>114</v>
      </c>
      <c r="AS47" s="112"/>
      <c r="AT47" s="112"/>
      <c r="AU47" s="390">
        <f>COUNTIF(februar,"feriedag")</f>
        <v>0</v>
      </c>
      <c r="AV47" s="223"/>
      <c r="AW47" s="370" t="s">
        <v>229</v>
      </c>
      <c r="AX47" s="371">
        <f>COUNTIFS(AS5:AS32,"to",februar,"Skema 2")</f>
        <v>0</v>
      </c>
      <c r="AY47" s="111" t="s">
        <v>114</v>
      </c>
      <c r="AZ47" s="112"/>
      <c r="BA47" s="112"/>
      <c r="BB47" s="390">
        <f>COUNTIF(marts,"feriedag")</f>
        <v>0</v>
      </c>
      <c r="BC47" s="223"/>
      <c r="BD47" s="370" t="s">
        <v>229</v>
      </c>
      <c r="BE47" s="371">
        <f>COUNTIFS(AZ5:AZ35,"to",marts,"Skema 2")</f>
        <v>0</v>
      </c>
      <c r="BF47" s="111" t="s">
        <v>114</v>
      </c>
      <c r="BG47" s="112"/>
      <c r="BH47" s="112"/>
      <c r="BI47" s="390">
        <f>COUNTIF(april,"feriedag")</f>
        <v>0</v>
      </c>
      <c r="BJ47" s="223"/>
      <c r="BK47" s="370" t="s">
        <v>229</v>
      </c>
      <c r="BL47" s="371">
        <f>COUNTIFS(BG5:BG34,"to",april,"Skema 2")</f>
        <v>0</v>
      </c>
      <c r="BM47" s="111" t="s">
        <v>114</v>
      </c>
      <c r="BN47" s="112"/>
      <c r="BO47" s="112"/>
      <c r="BP47" s="390">
        <f>COUNTIF(maj,"feriedag")</f>
        <v>0</v>
      </c>
      <c r="BQ47" s="223"/>
      <c r="BR47" s="370" t="s">
        <v>229</v>
      </c>
      <c r="BS47" s="371">
        <f>COUNTIFS(BN5:BN35,"to",maj,"Skema 2")</f>
        <v>0</v>
      </c>
      <c r="BT47" s="111" t="s">
        <v>114</v>
      </c>
      <c r="BU47" s="112"/>
      <c r="BV47" s="112"/>
      <c r="BW47" s="390">
        <f>COUNTIF(juni,"feriedag")</f>
        <v>0</v>
      </c>
      <c r="BX47" s="223"/>
      <c r="BY47" s="370" t="s">
        <v>229</v>
      </c>
      <c r="BZ47" s="371">
        <f>COUNTIFS(BU5:BU34,"to",juni,"Skema 2")</f>
        <v>0</v>
      </c>
      <c r="CA47" s="111" t="s">
        <v>114</v>
      </c>
      <c r="CB47" s="112"/>
      <c r="CC47" s="112"/>
      <c r="CD47" s="390">
        <f>COUNTIF(juli,"feriedag")</f>
        <v>18</v>
      </c>
      <c r="CE47" s="223"/>
      <c r="CF47" s="370" t="s">
        <v>229</v>
      </c>
      <c r="CG47" s="371">
        <f>COUNTIFS(CB5:CB35,"to",juli,"Skema 2")</f>
        <v>0</v>
      </c>
      <c r="CH47" s="116"/>
      <c r="CI47" s="240" t="str">
        <f t="shared" si="37"/>
        <v>Skema 2</v>
      </c>
      <c r="CJ47" s="370" t="s">
        <v>37</v>
      </c>
      <c r="CK47" s="369">
        <f>CG47+BZ47+BS47+BL47+BE47+AX47+AQ47+AJ47+AC47+V47+O47+H47</f>
        <v>0</v>
      </c>
    </row>
    <row r="48" spans="1:90" s="113" customFormat="1" ht="18" customHeight="1">
      <c r="A48" s="930"/>
      <c r="B48" s="122" t="s">
        <v>210</v>
      </c>
      <c r="C48" s="121"/>
      <c r="D48" s="121"/>
      <c r="E48" s="390">
        <f>COUNTIF(august,"Nul-dag")</f>
        <v>3</v>
      </c>
      <c r="F48" s="223"/>
      <c r="G48" s="372" t="s">
        <v>230</v>
      </c>
      <c r="H48" s="377">
        <f>COUNTIFS($C$5:$C$35,"fr",august,"Skema 2")</f>
        <v>0</v>
      </c>
      <c r="I48" s="122" t="s">
        <v>210</v>
      </c>
      <c r="J48" s="121"/>
      <c r="K48" s="121"/>
      <c r="L48" s="390">
        <f>COUNTIF(september,"Nul-dag")</f>
        <v>0</v>
      </c>
      <c r="M48" s="223"/>
      <c r="N48" s="372" t="s">
        <v>230</v>
      </c>
      <c r="O48" s="371">
        <f>COUNTIFS($J$5:$J$34,"fr",september,"Skema 2")</f>
        <v>0</v>
      </c>
      <c r="P48" s="122" t="s">
        <v>210</v>
      </c>
      <c r="Q48" s="121"/>
      <c r="R48" s="121"/>
      <c r="S48" s="390">
        <f>COUNTIF(oktober,"Nul-dag")</f>
        <v>0</v>
      </c>
      <c r="T48" s="223"/>
      <c r="U48" s="372" t="s">
        <v>230</v>
      </c>
      <c r="V48" s="371">
        <f>COUNTIFS(Q5:Q35,"fr",oktober,"Skema 2")</f>
        <v>0</v>
      </c>
      <c r="W48" s="122" t="s">
        <v>210</v>
      </c>
      <c r="X48" s="121"/>
      <c r="Y48" s="121"/>
      <c r="Z48" s="390">
        <f>COUNTIF(november,"Nul-dag")</f>
        <v>0</v>
      </c>
      <c r="AA48" s="223"/>
      <c r="AB48" s="372" t="s">
        <v>230</v>
      </c>
      <c r="AC48" s="371">
        <f>COUNTIFS(X5:X34,"fr",november,"Skema 2")</f>
        <v>0</v>
      </c>
      <c r="AD48" s="122" t="s">
        <v>210</v>
      </c>
      <c r="AE48" s="121"/>
      <c r="AF48" s="121"/>
      <c r="AG48" s="390">
        <f>COUNTIF(december,"Nul-dag")</f>
        <v>6</v>
      </c>
      <c r="AH48" s="223"/>
      <c r="AI48" s="372" t="s">
        <v>230</v>
      </c>
      <c r="AJ48" s="371">
        <f>COUNTIFS(AE5:AE35,"fr",december,"Skema 2")</f>
        <v>0</v>
      </c>
      <c r="AK48" s="122" t="s">
        <v>210</v>
      </c>
      <c r="AL48" s="121"/>
      <c r="AM48" s="121"/>
      <c r="AN48" s="390">
        <f>COUNTIF(januar,"Nul-dag")</f>
        <v>2</v>
      </c>
      <c r="AO48" s="223"/>
      <c r="AP48" s="372" t="s">
        <v>230</v>
      </c>
      <c r="AQ48" s="371">
        <f>COUNTIFS(AL5:AL35,"fr",januar,"Skema 2")</f>
        <v>0</v>
      </c>
      <c r="AR48" s="122" t="s">
        <v>210</v>
      </c>
      <c r="AS48" s="121"/>
      <c r="AT48" s="121"/>
      <c r="AU48" s="390">
        <f>COUNTIF(februar,"Nul-dag")</f>
        <v>5</v>
      </c>
      <c r="AV48" s="223"/>
      <c r="AW48" s="372" t="s">
        <v>230</v>
      </c>
      <c r="AX48" s="371">
        <f>COUNTIFS(AS5:AS32,"fr",februar,"Skema 2")</f>
        <v>0</v>
      </c>
      <c r="AY48" s="122" t="s">
        <v>210</v>
      </c>
      <c r="AZ48" s="121"/>
      <c r="BA48" s="121"/>
      <c r="BB48" s="390">
        <f>COUNTIF(marts,"Nul-dag")</f>
        <v>0</v>
      </c>
      <c r="BC48" s="223"/>
      <c r="BD48" s="372" t="s">
        <v>230</v>
      </c>
      <c r="BE48" s="371">
        <f>COUNTIFS(AZ5:AZ35,"fr",marts,"Skema 2")</f>
        <v>0</v>
      </c>
      <c r="BF48" s="122" t="s">
        <v>210</v>
      </c>
      <c r="BG48" s="121"/>
      <c r="BH48" s="121"/>
      <c r="BI48" s="390">
        <f>COUNTIF(april,"Nul-dag")</f>
        <v>3</v>
      </c>
      <c r="BJ48" s="223"/>
      <c r="BK48" s="372" t="s">
        <v>230</v>
      </c>
      <c r="BL48" s="371">
        <f>COUNTIFS(BG5:BG34,"fr",april,"Skema 2")</f>
        <v>0</v>
      </c>
      <c r="BM48" s="122" t="s">
        <v>210</v>
      </c>
      <c r="BN48" s="121"/>
      <c r="BO48" s="121"/>
      <c r="BP48" s="390">
        <f>COUNTIF(maj,"Nul-dag")</f>
        <v>1</v>
      </c>
      <c r="BQ48" s="223"/>
      <c r="BR48" s="372" t="s">
        <v>230</v>
      </c>
      <c r="BS48" s="371">
        <f>COUNTIFS(BN5:BN35,"fr",maj,"Skema 2")</f>
        <v>0</v>
      </c>
      <c r="BT48" s="122" t="s">
        <v>210</v>
      </c>
      <c r="BU48" s="121"/>
      <c r="BV48" s="121"/>
      <c r="BW48" s="390">
        <f>COUNTIF(juni,"Nul-dag")</f>
        <v>6</v>
      </c>
      <c r="BX48" s="223"/>
      <c r="BY48" s="372" t="s">
        <v>230</v>
      </c>
      <c r="BZ48" s="371">
        <f>COUNTIFS(BU5:BU34,"fr",juni,"Skema 2")</f>
        <v>0</v>
      </c>
      <c r="CA48" s="122" t="s">
        <v>210</v>
      </c>
      <c r="CB48" s="121"/>
      <c r="CC48" s="121"/>
      <c r="CD48" s="390">
        <f>COUNTIF(juli,"Nul-dag")</f>
        <v>3</v>
      </c>
      <c r="CE48" s="223"/>
      <c r="CF48" s="372" t="s">
        <v>230</v>
      </c>
      <c r="CG48" s="371">
        <f>COUNTIFS(CB5:CB35,"fr",juli,"Skema 2")</f>
        <v>0</v>
      </c>
      <c r="CH48" s="115"/>
      <c r="CI48" s="240" t="str">
        <f t="shared" si="37"/>
        <v>Skema 2</v>
      </c>
      <c r="CJ48" s="368" t="s">
        <v>38</v>
      </c>
      <c r="CK48" s="369">
        <f>CG48+BZ48+BS48+BL48+BE48+AX48+AQ48+AJ48+AC48+V48+O48+H48</f>
        <v>0</v>
      </c>
    </row>
    <row r="49" spans="1:89">
      <c r="A49" s="930"/>
      <c r="B49" s="300" t="s">
        <v>185</v>
      </c>
      <c r="C49" s="124"/>
      <c r="D49" s="124"/>
      <c r="E49" s="390">
        <f>COUNTIF(august,"Ikke relevant")</f>
        <v>0</v>
      </c>
      <c r="F49" s="223"/>
      <c r="G49" s="378"/>
      <c r="H49" s="378"/>
      <c r="I49" s="300" t="s">
        <v>185</v>
      </c>
      <c r="J49" s="124"/>
      <c r="K49" s="124"/>
      <c r="L49" s="390">
        <f>COUNTIF(september,"Ikke relevant")</f>
        <v>0</v>
      </c>
      <c r="M49" s="223"/>
      <c r="N49" s="378"/>
      <c r="O49" s="378"/>
      <c r="P49" s="300" t="s">
        <v>185</v>
      </c>
      <c r="Q49" s="124"/>
      <c r="R49" s="124"/>
      <c r="S49" s="390">
        <f>COUNTIF(oktober,"Ikke relevant")</f>
        <v>0</v>
      </c>
      <c r="T49" s="223"/>
      <c r="U49" s="378"/>
      <c r="V49" s="378"/>
      <c r="W49" s="300" t="s">
        <v>185</v>
      </c>
      <c r="X49" s="124"/>
      <c r="Y49" s="124"/>
      <c r="Z49" s="390">
        <f>COUNTIF(november,"Ikke relevant")</f>
        <v>0</v>
      </c>
      <c r="AA49" s="223"/>
      <c r="AB49" s="378"/>
      <c r="AC49" s="378"/>
      <c r="AD49" s="300" t="s">
        <v>185</v>
      </c>
      <c r="AE49" s="124"/>
      <c r="AF49" s="124"/>
      <c r="AG49" s="390">
        <f>COUNTIF(december,"Ikke relevant")</f>
        <v>0</v>
      </c>
      <c r="AH49" s="223"/>
      <c r="AI49" s="378"/>
      <c r="AJ49" s="378"/>
      <c r="AK49" s="300" t="s">
        <v>185</v>
      </c>
      <c r="AL49" s="124"/>
      <c r="AM49" s="124"/>
      <c r="AN49" s="390">
        <f>COUNTIF(januar,"Ikke relevant")</f>
        <v>0</v>
      </c>
      <c r="AO49" s="223"/>
      <c r="AP49" s="378"/>
      <c r="AQ49" s="378"/>
      <c r="AR49" s="300" t="s">
        <v>185</v>
      </c>
      <c r="AS49" s="124"/>
      <c r="AT49" s="124"/>
      <c r="AU49" s="390">
        <f>COUNTIF(februar,"Ikke relevant")</f>
        <v>0</v>
      </c>
      <c r="AV49" s="223"/>
      <c r="AW49" s="378"/>
      <c r="AX49" s="378"/>
      <c r="AY49" s="300" t="s">
        <v>185</v>
      </c>
      <c r="AZ49" s="124"/>
      <c r="BA49" s="124"/>
      <c r="BB49" s="390">
        <f>COUNTIF(marts,"Ikke relevant")</f>
        <v>0</v>
      </c>
      <c r="BC49" s="223"/>
      <c r="BD49" s="378"/>
      <c r="BE49" s="378"/>
      <c r="BF49" s="300" t="s">
        <v>185</v>
      </c>
      <c r="BG49" s="124"/>
      <c r="BH49" s="124"/>
      <c r="BI49" s="390">
        <f>COUNTIF(april,"Ikke relevant")</f>
        <v>0</v>
      </c>
      <c r="BJ49" s="223"/>
      <c r="BK49" s="378"/>
      <c r="BL49" s="378"/>
      <c r="BM49" s="300" t="s">
        <v>185</v>
      </c>
      <c r="BN49" s="124"/>
      <c r="BO49" s="124"/>
      <c r="BP49" s="390">
        <f>COUNTIF(maj,"Ikke relevant")</f>
        <v>0</v>
      </c>
      <c r="BQ49" s="223"/>
      <c r="BR49" s="378"/>
      <c r="BS49" s="378"/>
      <c r="BT49" s="300" t="s">
        <v>185</v>
      </c>
      <c r="BU49" s="124"/>
      <c r="BV49" s="124"/>
      <c r="BW49" s="390">
        <f>COUNTIF(juni,"Ikke relevant")</f>
        <v>0</v>
      </c>
      <c r="BX49" s="223"/>
      <c r="BY49" s="378"/>
      <c r="BZ49" s="378"/>
      <c r="CA49" s="300" t="s">
        <v>185</v>
      </c>
      <c r="CB49" s="124"/>
      <c r="CC49" s="124"/>
      <c r="CD49" s="390">
        <f>COUNTIF(juli,"Ikke relevant")</f>
        <v>0</v>
      </c>
      <c r="CE49" s="223"/>
      <c r="CF49" s="378"/>
      <c r="CG49" s="378"/>
      <c r="CI49" s="109"/>
      <c r="CJ49" s="378"/>
      <c r="CK49" s="369"/>
    </row>
    <row r="50" spans="1:89">
      <c r="A50" s="200"/>
      <c r="B50" s="118" t="s">
        <v>113</v>
      </c>
      <c r="C50" s="119"/>
      <c r="D50" s="119"/>
      <c r="E50" s="393">
        <f>SUM(E37:E49)</f>
        <v>31</v>
      </c>
      <c r="F50" s="223"/>
      <c r="G50" s="368" t="s">
        <v>231</v>
      </c>
      <c r="H50" s="375">
        <f>COUNTIFS($C$5:$C$35,"ma",august,"Skema 3")</f>
        <v>0</v>
      </c>
      <c r="I50" s="118" t="s">
        <v>113</v>
      </c>
      <c r="J50" s="119"/>
      <c r="K50" s="119"/>
      <c r="L50" s="393">
        <f>SUM(L37:L49)</f>
        <v>30</v>
      </c>
      <c r="M50" s="223"/>
      <c r="N50" s="368" t="s">
        <v>231</v>
      </c>
      <c r="O50" s="371">
        <f>COUNTIFS($J$5:$J$34,"ma",september,"Skema 3")</f>
        <v>0</v>
      </c>
      <c r="P50" s="118" t="s">
        <v>113</v>
      </c>
      <c r="Q50" s="119"/>
      <c r="R50" s="119"/>
      <c r="S50" s="393">
        <f>SUM(S37:S49)</f>
        <v>31</v>
      </c>
      <c r="T50" s="223"/>
      <c r="U50" s="368" t="s">
        <v>231</v>
      </c>
      <c r="V50" s="371">
        <f>COUNTIFS(Q5:Q35,"ma",oktober,"Skema 3")</f>
        <v>0</v>
      </c>
      <c r="W50" s="118" t="s">
        <v>113</v>
      </c>
      <c r="X50" s="119"/>
      <c r="Y50" s="119"/>
      <c r="Z50" s="393">
        <f>SUM(Z37:Z49)</f>
        <v>30</v>
      </c>
      <c r="AA50" s="223"/>
      <c r="AB50" s="368" t="s">
        <v>231</v>
      </c>
      <c r="AC50" s="371">
        <f>COUNTIFS(X5:X34,"ma",november,"Skema 3")</f>
        <v>0</v>
      </c>
      <c r="AD50" s="118" t="s">
        <v>113</v>
      </c>
      <c r="AE50" s="119"/>
      <c r="AF50" s="119"/>
      <c r="AG50" s="393">
        <f>SUM(AG37:AG49)</f>
        <v>31</v>
      </c>
      <c r="AH50" s="223"/>
      <c r="AI50" s="368" t="s">
        <v>231</v>
      </c>
      <c r="AJ50" s="371">
        <f>COUNTIFS(AE5:AE35,"ma",december,"Skema 3")</f>
        <v>0</v>
      </c>
      <c r="AK50" s="118" t="s">
        <v>113</v>
      </c>
      <c r="AL50" s="119"/>
      <c r="AM50" s="119"/>
      <c r="AN50" s="393">
        <f>SUM(AN37:AN49)</f>
        <v>31</v>
      </c>
      <c r="AO50" s="223"/>
      <c r="AP50" s="368" t="s">
        <v>231</v>
      </c>
      <c r="AQ50" s="371">
        <f>COUNTIFS(AL5:AL35,"ma",januar,"Skema 3")</f>
        <v>0</v>
      </c>
      <c r="AR50" s="118" t="s">
        <v>113</v>
      </c>
      <c r="AS50" s="119"/>
      <c r="AT50" s="119"/>
      <c r="AU50" s="393">
        <f>SUM(AU37:AU49)</f>
        <v>28</v>
      </c>
      <c r="AV50" s="223"/>
      <c r="AW50" s="368" t="s">
        <v>231</v>
      </c>
      <c r="AX50" s="371">
        <f>COUNTIFS(AS5:AS32,"ma",februar,"Skema 3")</f>
        <v>0</v>
      </c>
      <c r="AY50" s="118" t="s">
        <v>113</v>
      </c>
      <c r="AZ50" s="119"/>
      <c r="BA50" s="119"/>
      <c r="BB50" s="393">
        <f>SUM(BB37:BB49)</f>
        <v>31</v>
      </c>
      <c r="BC50" s="223"/>
      <c r="BD50" s="368" t="s">
        <v>231</v>
      </c>
      <c r="BE50" s="371">
        <f>COUNTIFS(AZ5:AZ35,"ma",marts,"Skema 3")</f>
        <v>0</v>
      </c>
      <c r="BF50" s="118" t="s">
        <v>113</v>
      </c>
      <c r="BG50" s="119"/>
      <c r="BH50" s="119"/>
      <c r="BI50" s="393">
        <f>SUM(BI37:BI49)</f>
        <v>30</v>
      </c>
      <c r="BJ50" s="223"/>
      <c r="BK50" s="368" t="s">
        <v>231</v>
      </c>
      <c r="BL50" s="371">
        <f>COUNTIFS(BG5:BG34,"ma",april,"Skema 3")</f>
        <v>0</v>
      </c>
      <c r="BM50" s="118" t="s">
        <v>113</v>
      </c>
      <c r="BN50" s="119"/>
      <c r="BO50" s="119"/>
      <c r="BP50" s="393">
        <f>SUM(BP37:BP49)</f>
        <v>31</v>
      </c>
      <c r="BQ50" s="223"/>
      <c r="BR50" s="368" t="s">
        <v>231</v>
      </c>
      <c r="BS50" s="371">
        <f>COUNTIFS(BN5:BN35,"ma",maj,"Skema 3")</f>
        <v>0</v>
      </c>
      <c r="BT50" s="118" t="s">
        <v>113</v>
      </c>
      <c r="BU50" s="119"/>
      <c r="BV50" s="119"/>
      <c r="BW50" s="393">
        <f>SUM(BW37:BW49)</f>
        <v>30</v>
      </c>
      <c r="BX50" s="223"/>
      <c r="BY50" s="368" t="s">
        <v>231</v>
      </c>
      <c r="BZ50" s="371">
        <f>COUNTIFS(BU5:BU34,"ma",juni,"Skema 3")</f>
        <v>0</v>
      </c>
      <c r="CA50" s="118" t="s">
        <v>113</v>
      </c>
      <c r="CB50" s="119"/>
      <c r="CC50" s="119"/>
      <c r="CD50" s="393">
        <f>SUM(CD37:CD49)</f>
        <v>31</v>
      </c>
      <c r="CE50" s="223"/>
      <c r="CF50" s="368" t="s">
        <v>231</v>
      </c>
      <c r="CG50" s="371">
        <f>COUNTIFS(CB5:CB35,"ma",juli,"Skema 3")</f>
        <v>0</v>
      </c>
      <c r="CI50" s="109" t="s">
        <v>243</v>
      </c>
      <c r="CJ50" s="368" t="s">
        <v>34</v>
      </c>
      <c r="CK50" s="369">
        <f>CG50+BZ50+BS50+BL50+BE50+AX50+AQ50+AJ50+AC50+V50+O50+H50</f>
        <v>0</v>
      </c>
    </row>
    <row r="51" spans="1:89">
      <c r="A51" s="201" t="s">
        <v>126</v>
      </c>
      <c r="B51" s="113" t="s">
        <v>282</v>
      </c>
      <c r="C51" s="113"/>
      <c r="D51" s="113"/>
      <c r="E51" s="117">
        <f>E50-E45-B120</f>
        <v>23</v>
      </c>
      <c r="F51" s="117"/>
      <c r="G51" s="370" t="s">
        <v>232</v>
      </c>
      <c r="H51" s="376">
        <f>COUNTIFS($C$5:$C$35,"ti",august,"Skema 3")</f>
        <v>0</v>
      </c>
      <c r="I51" s="113" t="s">
        <v>282</v>
      </c>
      <c r="J51" s="113"/>
      <c r="K51" s="113"/>
      <c r="L51" s="117">
        <f>L50-L45-I120</f>
        <v>22</v>
      </c>
      <c r="M51" s="117"/>
      <c r="N51" s="370" t="s">
        <v>232</v>
      </c>
      <c r="O51" s="371">
        <f>COUNTIFS($J$5:$J$34,"ti",september,"Skema 3")</f>
        <v>0</v>
      </c>
      <c r="P51" s="113" t="s">
        <v>282</v>
      </c>
      <c r="Q51" s="113"/>
      <c r="R51" s="113"/>
      <c r="S51" s="117">
        <f>S50-S45-P119</f>
        <v>21</v>
      </c>
      <c r="T51" s="117"/>
      <c r="U51" s="370" t="s">
        <v>232</v>
      </c>
      <c r="V51" s="371">
        <f>COUNTIFS(Q5:Q35,"ti",oktober,"Skema 3")</f>
        <v>0</v>
      </c>
      <c r="W51" s="113" t="s">
        <v>282</v>
      </c>
      <c r="X51" s="113"/>
      <c r="Y51" s="113"/>
      <c r="Z51" s="117">
        <f>Z50-Z45-W119</f>
        <v>22</v>
      </c>
      <c r="AA51" s="117"/>
      <c r="AB51" s="370" t="s">
        <v>232</v>
      </c>
      <c r="AC51" s="371">
        <f>COUNTIFS(X5:X34,"ti",november,"Skema 3")</f>
        <v>0</v>
      </c>
      <c r="AD51" s="113" t="s">
        <v>282</v>
      </c>
      <c r="AE51" s="113"/>
      <c r="AF51" s="113"/>
      <c r="AG51" s="117">
        <f>AG50-AG45-AD118</f>
        <v>22</v>
      </c>
      <c r="AH51" s="117"/>
      <c r="AI51" s="370" t="s">
        <v>232</v>
      </c>
      <c r="AJ51" s="371">
        <f>COUNTIFS(AE5:AE35,"ti",december,"Skema 3")</f>
        <v>0</v>
      </c>
      <c r="AK51" s="113" t="s">
        <v>282</v>
      </c>
      <c r="AL51" s="113"/>
      <c r="AM51" s="113"/>
      <c r="AN51" s="117">
        <f>AN50-AN45-AK118</f>
        <v>22</v>
      </c>
      <c r="AO51" s="117"/>
      <c r="AP51" s="370" t="s">
        <v>232</v>
      </c>
      <c r="AQ51" s="371">
        <f>COUNTIFS(AL5:AL35,"ti",januar,"Skema 3")</f>
        <v>0</v>
      </c>
      <c r="AR51" s="113" t="s">
        <v>282</v>
      </c>
      <c r="AS51" s="113"/>
      <c r="AT51" s="113"/>
      <c r="AU51" s="117">
        <f>AU50-AU45-AR119</f>
        <v>20</v>
      </c>
      <c r="AV51" s="117"/>
      <c r="AW51" s="370" t="s">
        <v>232</v>
      </c>
      <c r="AX51" s="371">
        <f>COUNTIFS(AS5:AS32,"ti",februar,"Skema 3")</f>
        <v>0</v>
      </c>
      <c r="AY51" s="113" t="s">
        <v>282</v>
      </c>
      <c r="AZ51" s="113"/>
      <c r="BA51" s="113"/>
      <c r="BB51" s="117">
        <f>BB50-BB45-AY119</f>
        <v>23</v>
      </c>
      <c r="BC51" s="117"/>
      <c r="BD51" s="370" t="s">
        <v>232</v>
      </c>
      <c r="BE51" s="371">
        <f>COUNTIFS(AZ5:AZ35,"ti",marts,"Skema 3")</f>
        <v>0</v>
      </c>
      <c r="BF51" s="113" t="s">
        <v>282</v>
      </c>
      <c r="BG51" s="113"/>
      <c r="BH51" s="113"/>
      <c r="BI51" s="117">
        <f>BI50-BI45-BF118</f>
        <v>20</v>
      </c>
      <c r="BJ51" s="117"/>
      <c r="BK51" s="370" t="s">
        <v>232</v>
      </c>
      <c r="BL51" s="371">
        <f>COUNTIFS(BG5:BG34,"ti",april,"Skema 3")</f>
        <v>0</v>
      </c>
      <c r="BM51" s="113" t="s">
        <v>282</v>
      </c>
      <c r="BN51" s="113"/>
      <c r="BO51" s="113"/>
      <c r="BP51" s="117">
        <f>BP50-BP45-BM119</f>
        <v>23</v>
      </c>
      <c r="BQ51" s="117"/>
      <c r="BR51" s="370" t="s">
        <v>232</v>
      </c>
      <c r="BS51" s="371">
        <f>COUNTIFS(BN5:BN35,"ti",maj,"Skema 3")</f>
        <v>0</v>
      </c>
      <c r="BT51" s="113" t="s">
        <v>282</v>
      </c>
      <c r="BU51" s="113"/>
      <c r="BV51" s="113"/>
      <c r="BW51" s="117">
        <f>BW50-BW45-BT118</f>
        <v>22</v>
      </c>
      <c r="BX51" s="117"/>
      <c r="BY51" s="370" t="s">
        <v>232</v>
      </c>
      <c r="BZ51" s="371">
        <f>COUNTIFS(BU5:BU34,"ti",juni,"Skema 3")</f>
        <v>0</v>
      </c>
      <c r="CA51" s="113" t="s">
        <v>282</v>
      </c>
      <c r="CB51" s="113"/>
      <c r="CC51" s="113"/>
      <c r="CD51" s="117">
        <f>CD50-CD45-CA118</f>
        <v>21</v>
      </c>
      <c r="CE51" s="117"/>
      <c r="CF51" s="370" t="s">
        <v>232</v>
      </c>
      <c r="CG51" s="371">
        <f>COUNTIFS(CB5:CB35,"ti",juli,"Skema 3")</f>
        <v>0</v>
      </c>
      <c r="CI51" s="109" t="str">
        <f>CI50</f>
        <v>Skema 3</v>
      </c>
      <c r="CJ51" s="370" t="s">
        <v>35</v>
      </c>
      <c r="CK51" s="369">
        <f>CG51+BZ51+BS51+BL51+BE51+AX51+AQ51+AJ51+AC51+V51+O51+H51</f>
        <v>0</v>
      </c>
    </row>
    <row r="52" spans="1:89">
      <c r="A52" s="201" t="s">
        <v>125</v>
      </c>
      <c r="E52" s="109"/>
      <c r="F52" s="116"/>
      <c r="G52" s="370" t="s">
        <v>233</v>
      </c>
      <c r="H52" s="376">
        <f>COUNTIFS($C$5:$C$35,"on",august,"Skema 3")</f>
        <v>0</v>
      </c>
      <c r="L52" s="109"/>
      <c r="M52" s="116"/>
      <c r="N52" s="370" t="s">
        <v>233</v>
      </c>
      <c r="O52" s="371">
        <f>COUNTIFS($J$5:$J$34,"on",september,"Skema 3")</f>
        <v>0</v>
      </c>
      <c r="S52" s="109"/>
      <c r="T52" s="116"/>
      <c r="U52" s="370" t="s">
        <v>233</v>
      </c>
      <c r="V52" s="371">
        <f>COUNTIFS(Q5:Q35,"on",oktober,"Skema 3")</f>
        <v>0</v>
      </c>
      <c r="Z52" s="109"/>
      <c r="AA52" s="116"/>
      <c r="AB52" s="370" t="s">
        <v>233</v>
      </c>
      <c r="AC52" s="371">
        <f>COUNTIFS(X5:X34,"on",november,"Skema 3")</f>
        <v>0</v>
      </c>
      <c r="AG52" s="109"/>
      <c r="AH52" s="116"/>
      <c r="AI52" s="370" t="s">
        <v>233</v>
      </c>
      <c r="AJ52" s="371">
        <f>COUNTIFS(AE5:AE35,"on",december,"Skema 3")</f>
        <v>0</v>
      </c>
      <c r="AN52" s="109"/>
      <c r="AO52" s="116"/>
      <c r="AP52" s="370" t="s">
        <v>233</v>
      </c>
      <c r="AQ52" s="371">
        <f>COUNTIFS(AL5:AL35,"on",januar,"Skema 3")</f>
        <v>0</v>
      </c>
      <c r="AU52" s="109"/>
      <c r="AV52" s="116"/>
      <c r="AW52" s="370" t="s">
        <v>233</v>
      </c>
      <c r="AX52" s="371">
        <f>COUNTIFS(AS5:AS32,"on",februar,"Skema 3")</f>
        <v>0</v>
      </c>
      <c r="BB52" s="109"/>
      <c r="BC52" s="116"/>
      <c r="BD52" s="370" t="s">
        <v>233</v>
      </c>
      <c r="BE52" s="371">
        <f>COUNTIFS(AZ5:AZ35,"on",marts,"Skema 3")</f>
        <v>0</v>
      </c>
      <c r="BI52" s="109"/>
      <c r="BJ52" s="116"/>
      <c r="BK52" s="370" t="s">
        <v>233</v>
      </c>
      <c r="BL52" s="371">
        <f>COUNTIFS(BG5:BG34,"on",april,"Skema 3")</f>
        <v>0</v>
      </c>
      <c r="BP52" s="109"/>
      <c r="BQ52" s="116"/>
      <c r="BR52" s="370" t="s">
        <v>233</v>
      </c>
      <c r="BS52" s="371">
        <f>COUNTIFS(BN5:BN35,"on",maj,"Skema 3")</f>
        <v>0</v>
      </c>
      <c r="BW52" s="109"/>
      <c r="BX52" s="116"/>
      <c r="BY52" s="370" t="s">
        <v>233</v>
      </c>
      <c r="BZ52" s="371">
        <f>COUNTIFS(BU5:BU34,"on",juni,"Skema 3")</f>
        <v>0</v>
      </c>
      <c r="CD52" s="109"/>
      <c r="CE52" s="116"/>
      <c r="CF52" s="370" t="s">
        <v>233</v>
      </c>
      <c r="CG52" s="371">
        <f>COUNTIFS(CB5:CB35,"on",juli,"Skema 3")</f>
        <v>0</v>
      </c>
      <c r="CI52" s="109" t="str">
        <f t="shared" ref="CI52:CI54" si="38">CI51</f>
        <v>Skema 3</v>
      </c>
      <c r="CJ52" s="368" t="s">
        <v>36</v>
      </c>
      <c r="CK52" s="369">
        <f>CG52+BZ52+BS52+BL52+BE52+AX52+AQ52+AJ52+AC52+V52+O52+H52</f>
        <v>0</v>
      </c>
    </row>
    <row r="53" spans="1:89">
      <c r="A53" s="201" t="s">
        <v>124</v>
      </c>
      <c r="B53" s="105">
        <f>COUNTIF($D$10:$D$11,"Skema 1")</f>
        <v>0</v>
      </c>
      <c r="E53" s="109"/>
      <c r="G53" s="370" t="s">
        <v>234</v>
      </c>
      <c r="H53" s="376">
        <f>COUNTIFS($C$5:$C$35,"to",august,"Skema 3")</f>
        <v>0</v>
      </c>
      <c r="I53" s="105">
        <f>COUNTIF($D$10:$D$11,"Skema 1")</f>
        <v>0</v>
      </c>
      <c r="L53" s="109"/>
      <c r="N53" s="370" t="s">
        <v>234</v>
      </c>
      <c r="O53" s="371">
        <f>COUNTIFS($J$5:$J$34,"to",september,"Skema 3")</f>
        <v>0</v>
      </c>
      <c r="S53" s="109"/>
      <c r="U53" s="370" t="s">
        <v>234</v>
      </c>
      <c r="V53" s="371">
        <f>COUNTIFS(Q5:Q35,"to",oktober,"Skema 3")</f>
        <v>0</v>
      </c>
      <c r="Z53" s="109"/>
      <c r="AB53" s="370" t="s">
        <v>234</v>
      </c>
      <c r="AC53" s="371">
        <f>COUNTIFS(X5:X34,"to",november,"Skema 3")</f>
        <v>0</v>
      </c>
      <c r="AG53" s="109"/>
      <c r="AI53" s="370" t="s">
        <v>234</v>
      </c>
      <c r="AJ53" s="371">
        <f>COUNTIFS(AE5:AE35,"to",december,"Skema 3")</f>
        <v>0</v>
      </c>
      <c r="AN53" s="109"/>
      <c r="AP53" s="370" t="s">
        <v>234</v>
      </c>
      <c r="AQ53" s="371">
        <f>COUNTIFS(AL5:AL35,"to",januar,"Skema 3")</f>
        <v>0</v>
      </c>
      <c r="AU53" s="109"/>
      <c r="AW53" s="370" t="s">
        <v>234</v>
      </c>
      <c r="AX53" s="371">
        <f>COUNTIFS(AS5:AS32,"to",februar,"Skema 3")</f>
        <v>0</v>
      </c>
      <c r="BB53" s="109"/>
      <c r="BD53" s="370" t="s">
        <v>234</v>
      </c>
      <c r="BE53" s="371">
        <f>COUNTIFS(AZ5:AZ35,"to",marts,"Skema 3")</f>
        <v>0</v>
      </c>
      <c r="BI53" s="109"/>
      <c r="BK53" s="370" t="s">
        <v>234</v>
      </c>
      <c r="BL53" s="371">
        <f>COUNTIFS(BG5:BG34,"to",april,"Skema 3")</f>
        <v>0</v>
      </c>
      <c r="BP53" s="109"/>
      <c r="BR53" s="370" t="s">
        <v>234</v>
      </c>
      <c r="BS53" s="371">
        <f>COUNTIFS(BN5:BN35,"to",maj,"Skema 3")</f>
        <v>0</v>
      </c>
      <c r="BW53" s="109"/>
      <c r="BY53" s="370" t="s">
        <v>234</v>
      </c>
      <c r="BZ53" s="371">
        <f>COUNTIFS(BU5:BU34,"to",juni,"Skema 3")</f>
        <v>0</v>
      </c>
      <c r="CD53" s="109"/>
      <c r="CF53" s="370" t="s">
        <v>234</v>
      </c>
      <c r="CG53" s="371">
        <f>COUNTIFS(CB5:CB35,"to",juli,"Skema 3")</f>
        <v>0</v>
      </c>
      <c r="CI53" s="109" t="str">
        <f t="shared" si="38"/>
        <v>Skema 3</v>
      </c>
      <c r="CJ53" s="370" t="s">
        <v>37</v>
      </c>
      <c r="CK53" s="369">
        <f>CG53+BZ53+BS53+BL53+BE53+AX53+AQ53+AJ53+AC53+V53+O53+H53</f>
        <v>0</v>
      </c>
    </row>
    <row r="54" spans="1:89">
      <c r="A54" s="201" t="s">
        <v>123</v>
      </c>
      <c r="B54" s="105">
        <f>COUNTIF($D$17:$D$18,"Skema 1")</f>
        <v>0</v>
      </c>
      <c r="E54" s="109"/>
      <c r="G54" s="372" t="s">
        <v>235</v>
      </c>
      <c r="H54" s="377">
        <f>COUNTIFS($C$5:$C$35,"fr",august,"Skema 3")</f>
        <v>0</v>
      </c>
      <c r="I54" s="105">
        <f>COUNTIF($D$17:$D$18,"Skema 1")</f>
        <v>0</v>
      </c>
      <c r="L54" s="109"/>
      <c r="N54" s="372" t="s">
        <v>235</v>
      </c>
      <c r="O54" s="371">
        <f>COUNTIFS($J$5:$J$34,"fr",september,"Skema 3")</f>
        <v>0</v>
      </c>
      <c r="S54" s="109"/>
      <c r="U54" s="372" t="s">
        <v>235</v>
      </c>
      <c r="V54" s="371">
        <f>COUNTIFS(Q5:Q35,"fr",oktober,"Skema 3")</f>
        <v>0</v>
      </c>
      <c r="Z54" s="109"/>
      <c r="AB54" s="372" t="s">
        <v>235</v>
      </c>
      <c r="AC54" s="371">
        <f>COUNTIFS(X5:X34,"fr",november,"Skema 3")</f>
        <v>0</v>
      </c>
      <c r="AG54" s="109"/>
      <c r="AI54" s="372" t="s">
        <v>235</v>
      </c>
      <c r="AJ54" s="371">
        <f>COUNTIFS(AE5:AE35,"fr",december,"Skema 3")</f>
        <v>0</v>
      </c>
      <c r="AN54" s="109"/>
      <c r="AP54" s="372" t="s">
        <v>235</v>
      </c>
      <c r="AQ54" s="371">
        <f>COUNTIFS(AL5:AL35,"fr",januar,"Skema 3")</f>
        <v>0</v>
      </c>
      <c r="AU54" s="109"/>
      <c r="AW54" s="372" t="s">
        <v>235</v>
      </c>
      <c r="AX54" s="371">
        <f>COUNTIFS(AS5:AS32,"fr",februar,"Skema 3")</f>
        <v>0</v>
      </c>
      <c r="BB54" s="109"/>
      <c r="BD54" s="372" t="s">
        <v>235</v>
      </c>
      <c r="BE54" s="371">
        <f>COUNTIFS(AZ5:AZ35,"fr",marts,"Skema 3")</f>
        <v>0</v>
      </c>
      <c r="BI54" s="109"/>
      <c r="BK54" s="372" t="s">
        <v>235</v>
      </c>
      <c r="BL54" s="371">
        <f>COUNTIFS(BG5:BG34,"fr",april,"Skema 3")</f>
        <v>0</v>
      </c>
      <c r="BP54" s="109"/>
      <c r="BR54" s="372" t="s">
        <v>235</v>
      </c>
      <c r="BS54" s="371">
        <f>COUNTIFS(BN5:BN35,"fr",maj,"Skema 3")</f>
        <v>0</v>
      </c>
      <c r="BW54" s="109"/>
      <c r="BY54" s="372" t="s">
        <v>235</v>
      </c>
      <c r="BZ54" s="371">
        <f>COUNTIFS(BU5:BU34,"fr",juni,"Skema 3")</f>
        <v>0</v>
      </c>
      <c r="CD54" s="109"/>
      <c r="CF54" s="372" t="s">
        <v>235</v>
      </c>
      <c r="CG54" s="371">
        <f>COUNTIFS(CB5:CB35,"fr",juli,"Skema 3")</f>
        <v>0</v>
      </c>
      <c r="CI54" s="109" t="str">
        <f t="shared" si="38"/>
        <v>Skema 3</v>
      </c>
      <c r="CJ54" s="368" t="s">
        <v>38</v>
      </c>
      <c r="CK54" s="369">
        <f>CG54+BZ54+BS54+BL54+BE54+AX54+AQ54+AJ54+AC54+V54+O54+H54</f>
        <v>0</v>
      </c>
    </row>
    <row r="55" spans="1:89">
      <c r="A55" s="201" t="s">
        <v>122</v>
      </c>
      <c r="B55" s="105">
        <f>COUNTIF($D$24:$D$25,"Skema 1")</f>
        <v>0</v>
      </c>
      <c r="E55" s="109"/>
      <c r="F55" s="109"/>
      <c r="I55" s="105">
        <f>COUNTIF($D$24:$D$25,"Skema 1")</f>
        <v>0</v>
      </c>
      <c r="L55" s="109"/>
      <c r="M55" s="109"/>
      <c r="S55" s="109"/>
      <c r="T55" s="109"/>
      <c r="Z55" s="109"/>
      <c r="AA55" s="109"/>
      <c r="AG55" s="109"/>
      <c r="AH55" s="109"/>
      <c r="AN55" s="109"/>
      <c r="AO55" s="109"/>
      <c r="AU55" s="109"/>
      <c r="AV55" s="109"/>
      <c r="BB55" s="109"/>
      <c r="BC55" s="109"/>
      <c r="BI55" s="109"/>
      <c r="BJ55" s="109"/>
      <c r="BP55" s="109"/>
      <c r="BQ55" s="109"/>
      <c r="BW55" s="109"/>
      <c r="BX55" s="109"/>
      <c r="CD55" s="109"/>
      <c r="CE55" s="109"/>
      <c r="CI55" s="109"/>
      <c r="CK55" s="369"/>
    </row>
    <row r="56" spans="1:89">
      <c r="A56" s="201" t="s">
        <v>120</v>
      </c>
      <c r="B56" s="105">
        <f>COUNTIF($D$31:$D$32,"Skema 1")</f>
        <v>0</v>
      </c>
      <c r="E56" s="109"/>
      <c r="F56" s="109"/>
      <c r="G56" s="368" t="s">
        <v>236</v>
      </c>
      <c r="H56" s="375">
        <f>COUNTIFS($C$5:$C$35,"ma",august,"Skema 4")</f>
        <v>0</v>
      </c>
      <c r="I56" s="105">
        <f>COUNTIF($D$31:$D$32,"Skema 1")</f>
        <v>0</v>
      </c>
      <c r="L56" s="109"/>
      <c r="M56" s="109"/>
      <c r="N56" s="368" t="s">
        <v>236</v>
      </c>
      <c r="O56" s="371">
        <f>COUNTIFS($J$5:$J$34,"ma",september,"Skema 4")</f>
        <v>0</v>
      </c>
      <c r="S56" s="109"/>
      <c r="T56" s="109"/>
      <c r="U56" s="368" t="s">
        <v>236</v>
      </c>
      <c r="V56" s="371">
        <f>COUNTIFS(Q5:Q35,"ma",oktober,"Skema 4")</f>
        <v>0</v>
      </c>
      <c r="Z56" s="109"/>
      <c r="AA56" s="109"/>
      <c r="AB56" s="368" t="s">
        <v>236</v>
      </c>
      <c r="AC56" s="371">
        <f>COUNTIFS(X5:X34,"ma",november,"Skema 4")</f>
        <v>0</v>
      </c>
      <c r="AG56" s="109"/>
      <c r="AH56" s="109"/>
      <c r="AI56" s="368" t="s">
        <v>236</v>
      </c>
      <c r="AJ56" s="371">
        <f>COUNTIFS(AE5:AE35,"ma",december,"Skema 4")</f>
        <v>0</v>
      </c>
      <c r="AN56" s="109"/>
      <c r="AO56" s="109"/>
      <c r="AP56" s="368" t="s">
        <v>236</v>
      </c>
      <c r="AQ56" s="371">
        <f>COUNTIFS(AL5:AL35,"ma",januar,"Skema 4")</f>
        <v>0</v>
      </c>
      <c r="AU56" s="109"/>
      <c r="AV56" s="109"/>
      <c r="AW56" s="368" t="s">
        <v>236</v>
      </c>
      <c r="AX56" s="371">
        <f>COUNTIFS(AS5:AS32,"ma",februar,"Skema 4")</f>
        <v>0</v>
      </c>
      <c r="BB56" s="109"/>
      <c r="BC56" s="109"/>
      <c r="BD56" s="368" t="s">
        <v>236</v>
      </c>
      <c r="BE56" s="371">
        <f>COUNTIFS(AZ5:AZ35,"ma",marts,"Skema 4")</f>
        <v>0</v>
      </c>
      <c r="BI56" s="109"/>
      <c r="BJ56" s="109"/>
      <c r="BK56" s="368" t="s">
        <v>236</v>
      </c>
      <c r="BL56" s="371">
        <f>COUNTIFS(BG5:BG34,"ma",april,"Skema 4")</f>
        <v>0</v>
      </c>
      <c r="BP56" s="109"/>
      <c r="BQ56" s="109"/>
      <c r="BR56" s="368" t="s">
        <v>236</v>
      </c>
      <c r="BS56" s="371">
        <f>COUNTIFS(BN5:BN35,"ma",maj,"Skema 4")</f>
        <v>0</v>
      </c>
      <c r="BW56" s="109"/>
      <c r="BX56" s="109"/>
      <c r="BY56" s="368" t="s">
        <v>236</v>
      </c>
      <c r="BZ56" s="371">
        <f>COUNTIFS(BU5:BU34,"ma",juni,"Skema 4")</f>
        <v>0</v>
      </c>
      <c r="CD56" s="109"/>
      <c r="CE56" s="109"/>
      <c r="CF56" s="368" t="s">
        <v>236</v>
      </c>
      <c r="CG56" s="371">
        <f>COUNTIFS(CB5:CB35,"ma",juli,"Skema 4")</f>
        <v>0</v>
      </c>
      <c r="CI56" s="109" t="s">
        <v>244</v>
      </c>
      <c r="CJ56" s="368" t="s">
        <v>34</v>
      </c>
      <c r="CK56" s="369">
        <f>CG56+BZ56+BS56+BL56+BE56+AX56+AQ56+AJ56+AC56+V56+O56+H56</f>
        <v>0</v>
      </c>
    </row>
    <row r="57" spans="1:89">
      <c r="A57" s="201" t="s">
        <v>136</v>
      </c>
      <c r="E57" s="109"/>
      <c r="F57" s="109"/>
      <c r="G57" s="370" t="s">
        <v>237</v>
      </c>
      <c r="H57" s="376">
        <f>COUNTIFS($C$5:$C$35,"ti",august,"Skema 4")</f>
        <v>0</v>
      </c>
      <c r="L57" s="109"/>
      <c r="M57" s="109"/>
      <c r="N57" s="370" t="s">
        <v>237</v>
      </c>
      <c r="O57" s="371">
        <f>COUNTIFS($J$5:$J$34,"ti",september,"Skema 4")</f>
        <v>0</v>
      </c>
      <c r="S57" s="109"/>
      <c r="T57" s="109"/>
      <c r="U57" s="370" t="s">
        <v>237</v>
      </c>
      <c r="V57" s="371">
        <f>COUNTIFS(Q5:Q35,"ti",oktober,"Skema 4")</f>
        <v>0</v>
      </c>
      <c r="Z57" s="109"/>
      <c r="AA57" s="109"/>
      <c r="AB57" s="370" t="s">
        <v>237</v>
      </c>
      <c r="AC57" s="371">
        <f>COUNTIFS(X5:X34,"ti",november,"Skema 4")</f>
        <v>0</v>
      </c>
      <c r="AG57" s="109"/>
      <c r="AH57" s="109"/>
      <c r="AI57" s="370" t="s">
        <v>237</v>
      </c>
      <c r="AJ57" s="371">
        <f>COUNTIFS(AE5:AE35,"ti",december,"Skema 4")</f>
        <v>0</v>
      </c>
      <c r="AN57" s="109"/>
      <c r="AO57" s="109"/>
      <c r="AP57" s="370" t="s">
        <v>237</v>
      </c>
      <c r="AQ57" s="371">
        <f>COUNTIFS(AL5:AL35,"ti",januar,"Skema 4")</f>
        <v>0</v>
      </c>
      <c r="AU57" s="109"/>
      <c r="AV57" s="109"/>
      <c r="AW57" s="370" t="s">
        <v>237</v>
      </c>
      <c r="AX57" s="371">
        <f>COUNTIFS(AS5:AS32,"ti",februar,"Skema 4")</f>
        <v>0</v>
      </c>
      <c r="BB57" s="109"/>
      <c r="BC57" s="109"/>
      <c r="BD57" s="370" t="s">
        <v>237</v>
      </c>
      <c r="BE57" s="371">
        <f>COUNTIFS(AZ5:AZ35,"ti",marts,"Skema 4")</f>
        <v>0</v>
      </c>
      <c r="BI57" s="109"/>
      <c r="BJ57" s="109"/>
      <c r="BK57" s="370" t="s">
        <v>237</v>
      </c>
      <c r="BL57" s="371">
        <f>COUNTIFS(BG5:BG34,"ti",april,"Skema 4")</f>
        <v>0</v>
      </c>
      <c r="BP57" s="109"/>
      <c r="BQ57" s="109"/>
      <c r="BR57" s="370" t="s">
        <v>237</v>
      </c>
      <c r="BS57" s="371">
        <f>COUNTIFS(BN5:BN35,"ti",maj,"Skema 4")</f>
        <v>0</v>
      </c>
      <c r="BW57" s="109"/>
      <c r="BX57" s="109"/>
      <c r="BY57" s="370" t="s">
        <v>237</v>
      </c>
      <c r="BZ57" s="371">
        <f>COUNTIFS(BU5:BU34,"ti",juni,"Skema 4")</f>
        <v>0</v>
      </c>
      <c r="CD57" s="109"/>
      <c r="CE57" s="109"/>
      <c r="CF57" s="370" t="s">
        <v>237</v>
      </c>
      <c r="CG57" s="371">
        <f>COUNTIFS(CB5:CB35,"ti",juli,"Skema 4")</f>
        <v>0</v>
      </c>
      <c r="CI57" s="109" t="str">
        <f>CI56</f>
        <v>Skema 4</v>
      </c>
      <c r="CJ57" s="370" t="s">
        <v>35</v>
      </c>
      <c r="CK57" s="369">
        <f>CG57+BZ57+BS57+BL57+BE57+AX57+AQ57+AJ57+AC57+V57+O57+H57</f>
        <v>0</v>
      </c>
    </row>
    <row r="58" spans="1:89">
      <c r="A58" s="201" t="s">
        <v>137</v>
      </c>
      <c r="E58" s="109"/>
      <c r="F58" s="109"/>
      <c r="G58" s="370" t="s">
        <v>238</v>
      </c>
      <c r="H58" s="376">
        <f>COUNTIFS($C$5:$C$35,"on",august,"Skema 4")</f>
        <v>0</v>
      </c>
      <c r="L58" s="109"/>
      <c r="M58" s="109"/>
      <c r="N58" s="370" t="s">
        <v>238</v>
      </c>
      <c r="O58" s="371">
        <f>COUNTIFS($J$5:$J$34,"on",september,"Skema 4")</f>
        <v>0</v>
      </c>
      <c r="S58" s="109"/>
      <c r="T58" s="109"/>
      <c r="U58" s="370" t="s">
        <v>238</v>
      </c>
      <c r="V58" s="371">
        <f>COUNTIFS(Q5:Q35,"on",oktober,"Skema 4")</f>
        <v>0</v>
      </c>
      <c r="Z58" s="109"/>
      <c r="AA58" s="109"/>
      <c r="AB58" s="370" t="s">
        <v>238</v>
      </c>
      <c r="AC58" s="371">
        <f>COUNTIFS(X5:X34,"on",november,"Skema 4")</f>
        <v>0</v>
      </c>
      <c r="AG58" s="109"/>
      <c r="AH58" s="109"/>
      <c r="AI58" s="370" t="s">
        <v>238</v>
      </c>
      <c r="AJ58" s="371">
        <f>COUNTIFS(AE5:AE35,"on",december,"Skema 4")</f>
        <v>0</v>
      </c>
      <c r="AN58" s="109"/>
      <c r="AO58" s="109"/>
      <c r="AP58" s="370" t="s">
        <v>238</v>
      </c>
      <c r="AQ58" s="371">
        <f>COUNTIFS(AL5:AL35,"on",januar,"Skema 4")</f>
        <v>0</v>
      </c>
      <c r="AU58" s="109"/>
      <c r="AV58" s="109"/>
      <c r="AW58" s="370" t="s">
        <v>238</v>
      </c>
      <c r="AX58" s="371">
        <f>COUNTIFS(AS5:AS32,"on",februar,"Skema 4")</f>
        <v>0</v>
      </c>
      <c r="BB58" s="109"/>
      <c r="BC58" s="109"/>
      <c r="BD58" s="370" t="s">
        <v>238</v>
      </c>
      <c r="BE58" s="371">
        <f>COUNTIFS(AZ5:AZ35,"on",marts,"Skema 4")</f>
        <v>0</v>
      </c>
      <c r="BI58" s="109"/>
      <c r="BJ58" s="109"/>
      <c r="BK58" s="370" t="s">
        <v>238</v>
      </c>
      <c r="BL58" s="371">
        <f>COUNTIFS(BG5:BG34,"on",april,"Skema 4")</f>
        <v>0</v>
      </c>
      <c r="BP58" s="109"/>
      <c r="BQ58" s="109"/>
      <c r="BR58" s="370" t="s">
        <v>238</v>
      </c>
      <c r="BS58" s="371">
        <f>COUNTIFS(BN5:BN35,"on",maj,"Skema 4")</f>
        <v>0</v>
      </c>
      <c r="BW58" s="109"/>
      <c r="BX58" s="109"/>
      <c r="BY58" s="370" t="s">
        <v>238</v>
      </c>
      <c r="BZ58" s="371">
        <f>COUNTIFS(BU5:BU34,"on",juni,"Skema 4")</f>
        <v>0</v>
      </c>
      <c r="CD58" s="109"/>
      <c r="CE58" s="109"/>
      <c r="CF58" s="370" t="s">
        <v>238</v>
      </c>
      <c r="CG58" s="371">
        <f>COUNTIFS(CB5:CB35,"on",juli,"Skema 4")</f>
        <v>0</v>
      </c>
      <c r="CI58" s="109" t="str">
        <f t="shared" ref="CI58:CI60" si="39">CI57</f>
        <v>Skema 4</v>
      </c>
      <c r="CJ58" s="368" t="s">
        <v>36</v>
      </c>
      <c r="CK58" s="369">
        <f>CG58+BZ58+BS58+BL58+BE58+AX58+AQ58+AJ58+AC58+V58+O58+H58</f>
        <v>0</v>
      </c>
    </row>
    <row r="59" spans="1:89">
      <c r="A59" s="202" t="s">
        <v>118</v>
      </c>
      <c r="E59" s="109"/>
      <c r="F59" s="109"/>
      <c r="G59" s="370" t="s">
        <v>239</v>
      </c>
      <c r="H59" s="376">
        <f>COUNTIFS($C$5:$C$35,"to",august,"Skema 4")</f>
        <v>0</v>
      </c>
      <c r="L59" s="109"/>
      <c r="M59" s="109"/>
      <c r="N59" s="370" t="s">
        <v>239</v>
      </c>
      <c r="O59" s="371">
        <f>COUNTIFS($J$5:$J$34,"to",september,"Skema 4")</f>
        <v>0</v>
      </c>
      <c r="S59" s="109"/>
      <c r="T59" s="109"/>
      <c r="U59" s="370" t="s">
        <v>239</v>
      </c>
      <c r="V59" s="371">
        <f>COUNTIFS(Q5:Q35,"to",oktober,"Skema 4")</f>
        <v>0</v>
      </c>
      <c r="Z59" s="109"/>
      <c r="AA59" s="109"/>
      <c r="AB59" s="370" t="s">
        <v>239</v>
      </c>
      <c r="AC59" s="371">
        <f>COUNTIFS(X5:X34,"to",november,"Skema 4")</f>
        <v>0</v>
      </c>
      <c r="AG59" s="109"/>
      <c r="AH59" s="109"/>
      <c r="AI59" s="370" t="s">
        <v>239</v>
      </c>
      <c r="AJ59" s="371">
        <f>COUNTIFS(AE5:AE35,"to",december,"Skema 4")</f>
        <v>0</v>
      </c>
      <c r="AN59" s="109"/>
      <c r="AO59" s="109"/>
      <c r="AP59" s="370" t="s">
        <v>239</v>
      </c>
      <c r="AQ59" s="371">
        <f>COUNTIFS(AL5:AL35,"to",januar,"Skema 4")</f>
        <v>0</v>
      </c>
      <c r="AU59" s="109"/>
      <c r="AV59" s="109"/>
      <c r="AW59" s="370" t="s">
        <v>239</v>
      </c>
      <c r="AX59" s="371">
        <f>COUNTIFS(AS5:AS32,"to",februar,"Skema 4")</f>
        <v>0</v>
      </c>
      <c r="BB59" s="109"/>
      <c r="BC59" s="109"/>
      <c r="BD59" s="370" t="s">
        <v>239</v>
      </c>
      <c r="BE59" s="371">
        <f>COUNTIFS(AZ5:AZ35,"to",marts,"Skema 4")</f>
        <v>0</v>
      </c>
      <c r="BI59" s="109"/>
      <c r="BJ59" s="109"/>
      <c r="BK59" s="370" t="s">
        <v>239</v>
      </c>
      <c r="BL59" s="371">
        <f>COUNTIFS(BG5:BG34,"to",april,"Skema 4")</f>
        <v>0</v>
      </c>
      <c r="BP59" s="109"/>
      <c r="BQ59" s="109"/>
      <c r="BR59" s="370" t="s">
        <v>239</v>
      </c>
      <c r="BS59" s="371">
        <f>COUNTIFS(BN5:BN35,"to",maj,"Skema 4")</f>
        <v>0</v>
      </c>
      <c r="BW59" s="109"/>
      <c r="BX59" s="109"/>
      <c r="BY59" s="370" t="s">
        <v>239</v>
      </c>
      <c r="BZ59" s="371">
        <f>COUNTIFS(BU5:BU34,"to",juni,"Skema 4")</f>
        <v>0</v>
      </c>
      <c r="CD59" s="109"/>
      <c r="CE59" s="109"/>
      <c r="CF59" s="370" t="s">
        <v>239</v>
      </c>
      <c r="CG59" s="371">
        <f>COUNTIFS(CB5:CB35,"to",juli,"Skema 4")</f>
        <v>0</v>
      </c>
      <c r="CI59" s="109" t="str">
        <f t="shared" si="39"/>
        <v>Skema 4</v>
      </c>
      <c r="CJ59" s="370" t="s">
        <v>37</v>
      </c>
      <c r="CK59" s="369">
        <f>CG59+BZ59+BS59+BL59+BE59+AX59+AQ59+AJ59+AC59+V59+O59+H59</f>
        <v>0</v>
      </c>
    </row>
    <row r="60" spans="1:89">
      <c r="A60" s="201" t="s">
        <v>147</v>
      </c>
      <c r="E60" s="109"/>
      <c r="F60" s="109"/>
      <c r="G60" s="372" t="s">
        <v>240</v>
      </c>
      <c r="H60" s="377">
        <f>COUNTIFS($C$5:$C$35,"fr",august,"Skema 4")</f>
        <v>0</v>
      </c>
      <c r="L60" s="109"/>
      <c r="M60" s="109"/>
      <c r="N60" s="372" t="s">
        <v>240</v>
      </c>
      <c r="O60" s="371">
        <f>COUNTIFS($J$5:$J$34,"fr",september,"Skema 4")</f>
        <v>0</v>
      </c>
      <c r="S60" s="109"/>
      <c r="T60" s="109"/>
      <c r="U60" s="372" t="s">
        <v>240</v>
      </c>
      <c r="V60" s="371">
        <f>COUNTIFS(Q5:Q35,"fr",oktober,"Skema 4")</f>
        <v>0</v>
      </c>
      <c r="Z60" s="109"/>
      <c r="AA60" s="109"/>
      <c r="AB60" s="372" t="s">
        <v>240</v>
      </c>
      <c r="AC60" s="371">
        <f>COUNTIFS(X5:X34,"fr",november,"Skema 4")</f>
        <v>0</v>
      </c>
      <c r="AG60" s="109"/>
      <c r="AH60" s="109"/>
      <c r="AI60" s="372" t="s">
        <v>240</v>
      </c>
      <c r="AJ60" s="371">
        <f>COUNTIFS(AE5:AE35,"fr",december,"Skema 4")</f>
        <v>0</v>
      </c>
      <c r="AN60" s="109"/>
      <c r="AO60" s="109"/>
      <c r="AP60" s="372" t="s">
        <v>240</v>
      </c>
      <c r="AQ60" s="371">
        <f>COUNTIFS(AL5:AL35,"fr",januar,"Skema 4")</f>
        <v>0</v>
      </c>
      <c r="AU60" s="109"/>
      <c r="AV60" s="109"/>
      <c r="AW60" s="372" t="s">
        <v>240</v>
      </c>
      <c r="AX60" s="371">
        <f>COUNTIFS(AS5:AS32,"fr",februar,"Skema 4")</f>
        <v>0</v>
      </c>
      <c r="BB60" s="109"/>
      <c r="BC60" s="109"/>
      <c r="BD60" s="372" t="s">
        <v>240</v>
      </c>
      <c r="BE60" s="371">
        <f>COUNTIFS(AZ5:AZ35,"fr",marts,"Skema 4")</f>
        <v>0</v>
      </c>
      <c r="BI60" s="109"/>
      <c r="BJ60" s="109"/>
      <c r="BK60" s="372" t="s">
        <v>240</v>
      </c>
      <c r="BL60" s="371">
        <f>COUNTIFS(BG5:BG34,"fr",april,"Skema 4")</f>
        <v>0</v>
      </c>
      <c r="BP60" s="109"/>
      <c r="BQ60" s="109"/>
      <c r="BR60" s="372" t="s">
        <v>240</v>
      </c>
      <c r="BS60" s="371">
        <f>COUNTIFS(BN5:BN35,"fr",maj,"Skema 4")</f>
        <v>0</v>
      </c>
      <c r="BW60" s="109"/>
      <c r="BX60" s="109"/>
      <c r="BY60" s="372" t="s">
        <v>240</v>
      </c>
      <c r="BZ60" s="371">
        <f>COUNTIFS(BU5:BU34,"fr",juni,"Skema 4")</f>
        <v>0</v>
      </c>
      <c r="CD60" s="109"/>
      <c r="CE60" s="109"/>
      <c r="CF60" s="372" t="s">
        <v>240</v>
      </c>
      <c r="CG60" s="371">
        <f>COUNTIFS(CB5:CB35,"fr",juli,"Skema 4")</f>
        <v>0</v>
      </c>
      <c r="CI60" s="109" t="str">
        <f t="shared" si="39"/>
        <v>Skema 4</v>
      </c>
      <c r="CJ60" s="368" t="s">
        <v>38</v>
      </c>
      <c r="CK60" s="369">
        <f>CG60+BZ60+BS60+BL60+BE60+AX60+AQ60+AJ60+AC60+V60+O60+H60</f>
        <v>0</v>
      </c>
    </row>
    <row r="61" spans="1:89">
      <c r="A61" s="299" t="s">
        <v>185</v>
      </c>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10"/>
      <c r="AO61" s="109"/>
      <c r="AP61" s="109"/>
      <c r="AQ61" s="109"/>
      <c r="AR61" s="109"/>
      <c r="AS61" s="109"/>
      <c r="AT61" s="109"/>
      <c r="AU61" s="110"/>
      <c r="AV61" s="109"/>
      <c r="AW61" s="109"/>
      <c r="AX61" s="109"/>
      <c r="AY61" s="109"/>
      <c r="AZ61" s="109"/>
      <c r="BA61" s="109"/>
      <c r="BB61" s="110"/>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K61" s="105">
        <f>SUM(CK37:CK60)</f>
        <v>200</v>
      </c>
    </row>
    <row r="62" spans="1:89" ht="20">
      <c r="A62" s="295" t="s">
        <v>177</v>
      </c>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10"/>
      <c r="AO62" s="109"/>
      <c r="AP62" s="109"/>
      <c r="AQ62" s="109"/>
      <c r="AR62" s="109"/>
      <c r="AS62" s="109"/>
      <c r="AT62" s="109"/>
      <c r="AU62" s="110"/>
      <c r="AV62" s="109"/>
      <c r="AW62" s="109"/>
      <c r="AX62" s="109"/>
      <c r="AY62" s="109"/>
      <c r="AZ62" s="109"/>
      <c r="BA62" s="109"/>
      <c r="BB62" s="110"/>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row>
    <row r="63" spans="1:89" ht="16">
      <c r="A63" s="294" t="s">
        <v>190</v>
      </c>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10"/>
      <c r="AO63" s="109"/>
      <c r="AP63" s="109"/>
      <c r="AQ63" s="109"/>
      <c r="AR63" s="109"/>
      <c r="AS63" s="109"/>
      <c r="AT63" s="109"/>
      <c r="AU63" s="110"/>
      <c r="AV63" s="109"/>
      <c r="AW63" s="109"/>
      <c r="AX63" s="109"/>
      <c r="AY63" s="109"/>
      <c r="AZ63" s="109"/>
      <c r="BA63" s="109"/>
      <c r="BB63" s="110"/>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row>
    <row r="64" spans="1:89" ht="16">
      <c r="A64" s="294" t="s">
        <v>176</v>
      </c>
      <c r="E64" s="109"/>
      <c r="F64" s="109"/>
      <c r="G64" s="109"/>
      <c r="H64" s="109"/>
      <c r="I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10"/>
      <c r="AO64" s="109"/>
      <c r="AP64" s="109"/>
      <c r="AQ64" s="109"/>
      <c r="AR64" s="109"/>
      <c r="AS64" s="109"/>
      <c r="AT64" s="109"/>
      <c r="AU64" s="110"/>
      <c r="AV64" s="109"/>
      <c r="AW64" s="109"/>
      <c r="AX64" s="109"/>
      <c r="AY64" s="109"/>
      <c r="AZ64" s="109"/>
      <c r="BA64" s="109"/>
      <c r="BB64" s="110"/>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row>
    <row r="65" spans="1:87" ht="16">
      <c r="A65" s="404" t="s">
        <v>259</v>
      </c>
      <c r="B65" s="105" t="s">
        <v>241</v>
      </c>
      <c r="E65" s="109"/>
      <c r="F65" s="109"/>
      <c r="G65" s="109"/>
      <c r="H65" s="109"/>
      <c r="I65" s="105" t="s">
        <v>241</v>
      </c>
      <c r="K65" s="109"/>
      <c r="L65" s="109"/>
      <c r="M65" s="109"/>
      <c r="N65" s="109"/>
      <c r="O65" s="109"/>
      <c r="P65" s="105" t="s">
        <v>241</v>
      </c>
      <c r="Q65" s="109"/>
      <c r="R65" s="109"/>
      <c r="S65" s="109"/>
      <c r="T65" s="109"/>
      <c r="U65" s="109"/>
      <c r="V65" s="109"/>
      <c r="W65" s="105" t="s">
        <v>241</v>
      </c>
      <c r="X65" s="109"/>
      <c r="Y65" s="109"/>
      <c r="Z65" s="109"/>
      <c r="AA65" s="109"/>
      <c r="AB65" s="109"/>
      <c r="AC65" s="109"/>
      <c r="AD65" s="105" t="s">
        <v>241</v>
      </c>
      <c r="AE65" s="109"/>
      <c r="AF65" s="109"/>
      <c r="AG65" s="109"/>
      <c r="AH65" s="109"/>
      <c r="AI65" s="109"/>
      <c r="AJ65" s="109"/>
      <c r="AK65" s="105" t="s">
        <v>241</v>
      </c>
      <c r="AL65" s="109"/>
      <c r="AM65" s="109"/>
      <c r="AN65" s="110"/>
      <c r="AO65" s="109"/>
      <c r="AP65" s="109"/>
      <c r="AQ65" s="109"/>
      <c r="AR65" s="105" t="s">
        <v>241</v>
      </c>
      <c r="AS65" s="109"/>
      <c r="AT65" s="109"/>
      <c r="AU65" s="110"/>
      <c r="AV65" s="109"/>
      <c r="AW65" s="109"/>
      <c r="AX65" s="109"/>
      <c r="AY65" s="105" t="s">
        <v>241</v>
      </c>
      <c r="AZ65" s="109"/>
      <c r="BA65" s="109"/>
      <c r="BB65" s="110"/>
      <c r="BC65" s="109"/>
      <c r="BD65" s="109"/>
      <c r="BE65" s="109"/>
      <c r="BF65" s="105" t="s">
        <v>241</v>
      </c>
      <c r="BG65" s="109"/>
      <c r="BH65" s="109"/>
      <c r="BI65" s="109"/>
      <c r="BJ65" s="109"/>
      <c r="BK65" s="109"/>
      <c r="BL65" s="109"/>
      <c r="BM65" s="105" t="s">
        <v>241</v>
      </c>
      <c r="BN65" s="109"/>
      <c r="BO65" s="109"/>
      <c r="BP65" s="109"/>
      <c r="BQ65" s="109"/>
      <c r="BR65" s="109"/>
      <c r="BS65" s="109"/>
      <c r="BT65" s="105" t="s">
        <v>241</v>
      </c>
      <c r="BU65" s="109"/>
      <c r="BV65" s="109"/>
      <c r="BW65" s="109"/>
      <c r="BX65" s="109"/>
      <c r="BY65" s="109"/>
      <c r="BZ65" s="109"/>
      <c r="CA65" s="105" t="s">
        <v>241</v>
      </c>
    </row>
    <row r="66" spans="1:87">
      <c r="A66" s="189"/>
      <c r="B66" s="105">
        <f>COUNTIF(D10:D11,"Skema 1")</f>
        <v>0</v>
      </c>
      <c r="G66" s="109"/>
      <c r="H66" s="109"/>
      <c r="I66" s="105">
        <f>COUNTIF(K7:K8,"Skema 1")</f>
        <v>0</v>
      </c>
      <c r="K66" s="109"/>
      <c r="L66" s="109"/>
      <c r="M66" s="109"/>
      <c r="N66" s="109"/>
      <c r="O66" s="109"/>
      <c r="P66" s="105">
        <f>COUNTIF(R5:R6,"Skema 1")</f>
        <v>0</v>
      </c>
      <c r="Q66" s="109"/>
      <c r="R66" s="109"/>
      <c r="S66" s="109"/>
      <c r="T66" s="109"/>
      <c r="U66" s="109"/>
      <c r="V66" s="109"/>
      <c r="W66" s="105">
        <f>COUNTIF(Y9:Y10,"Skema 1")</f>
        <v>0</v>
      </c>
      <c r="X66" s="109"/>
      <c r="Y66" s="109"/>
      <c r="Z66" s="109"/>
      <c r="AA66" s="109"/>
      <c r="AB66" s="109"/>
      <c r="AC66" s="109"/>
      <c r="AD66" s="105">
        <f>COUNTIF(AF7:AF8,"Skema 1")</f>
        <v>0</v>
      </c>
      <c r="AE66" s="109"/>
      <c r="AF66" s="109"/>
      <c r="AG66" s="109"/>
      <c r="AH66" s="109"/>
      <c r="AI66" s="109"/>
      <c r="AJ66" s="109"/>
      <c r="AK66" s="105">
        <f>COUNTIF(AM5,"Skema 1")</f>
        <v>0</v>
      </c>
      <c r="AL66" s="109"/>
      <c r="AM66" s="109"/>
      <c r="AN66" s="110"/>
      <c r="AO66" s="109"/>
      <c r="AP66" s="109"/>
      <c r="AQ66" s="109"/>
      <c r="AR66" s="105">
        <f>COUNTIF(AT8:AT9,"Skema 1")</f>
        <v>0</v>
      </c>
      <c r="AS66" s="109"/>
      <c r="AT66" s="109"/>
      <c r="AU66" s="110"/>
      <c r="AV66" s="109"/>
      <c r="AW66" s="109"/>
      <c r="AX66" s="109"/>
      <c r="AY66" s="105">
        <f>COUNTIF(BA8:BA9,"Skema 1")</f>
        <v>0</v>
      </c>
      <c r="AZ66" s="109"/>
      <c r="BA66" s="109"/>
      <c r="BB66" s="110"/>
      <c r="BC66" s="109"/>
      <c r="BD66" s="109"/>
      <c r="BE66" s="109"/>
      <c r="BF66" s="105">
        <f>COUNTIF(BH5:BH6,"Skema 1")</f>
        <v>0</v>
      </c>
      <c r="BG66" s="109"/>
      <c r="BH66" s="109"/>
      <c r="BI66" s="109"/>
      <c r="BJ66" s="109"/>
      <c r="BK66" s="109"/>
      <c r="BL66" s="109"/>
      <c r="BM66" s="105">
        <f>COUNTIF(BO10:BO11,"Skema 1")</f>
        <v>0</v>
      </c>
      <c r="BN66" s="109"/>
      <c r="BO66" s="109"/>
      <c r="BP66" s="109"/>
      <c r="BQ66" s="109"/>
      <c r="BR66" s="109"/>
      <c r="BS66" s="109"/>
      <c r="BT66" s="105">
        <f>COUNTIF(BV7:BV8,"Skema 1")</f>
        <v>0</v>
      </c>
      <c r="BU66" s="109"/>
      <c r="BV66" s="109"/>
      <c r="BW66" s="109"/>
      <c r="BX66" s="109"/>
      <c r="BY66" s="109"/>
      <c r="BZ66" s="109"/>
      <c r="CA66" s="105">
        <f>COUNTIF(CC5:CC6,"Skema 1")</f>
        <v>0</v>
      </c>
      <c r="CI66" s="105">
        <f t="shared" ref="CI66:CI97" si="40">SUM(A66:CH66)</f>
        <v>0</v>
      </c>
    </row>
    <row r="67" spans="1:87">
      <c r="A67" s="189"/>
      <c r="B67" s="105">
        <f>COUNTIF(D17:D18,"Skema 1")</f>
        <v>0</v>
      </c>
      <c r="G67" s="109"/>
      <c r="H67" s="109"/>
      <c r="I67" s="105">
        <f>COUNTIF(K14:K15,"Skema 1")</f>
        <v>0</v>
      </c>
      <c r="K67" s="109"/>
      <c r="L67" s="109"/>
      <c r="M67" s="109"/>
      <c r="N67" s="109"/>
      <c r="O67" s="109"/>
      <c r="P67" s="105">
        <f>COUNTIF(R12:R13,"Skema 1")</f>
        <v>0</v>
      </c>
      <c r="Q67" s="109"/>
      <c r="R67" s="109"/>
      <c r="S67" s="109"/>
      <c r="T67" s="109"/>
      <c r="U67" s="109"/>
      <c r="V67" s="109"/>
      <c r="W67" s="105">
        <f>COUNTIF(Y16:Y17,"Skema 1")</f>
        <v>0</v>
      </c>
      <c r="X67" s="109"/>
      <c r="Y67" s="109"/>
      <c r="Z67" s="109"/>
      <c r="AA67" s="109"/>
      <c r="AB67" s="109"/>
      <c r="AC67" s="109"/>
      <c r="AD67" s="105">
        <f>COUNTIF(AF14:AF15,"Skema 1")</f>
        <v>0</v>
      </c>
      <c r="AE67" s="109"/>
      <c r="AF67" s="109"/>
      <c r="AG67" s="109"/>
      <c r="AH67" s="109"/>
      <c r="AI67" s="109"/>
      <c r="AJ67" s="109"/>
      <c r="AK67" s="105">
        <f>COUNTIF(AM11:AM12,"Skema 1")</f>
        <v>0</v>
      </c>
      <c r="AL67" s="109"/>
      <c r="AM67" s="109"/>
      <c r="AN67" s="110"/>
      <c r="AO67" s="109"/>
      <c r="AP67" s="109"/>
      <c r="AQ67" s="109"/>
      <c r="AR67" s="105">
        <f>COUNTIF(AT15:AT16,"Skema 1")</f>
        <v>0</v>
      </c>
      <c r="AS67" s="109"/>
      <c r="AT67" s="109"/>
      <c r="AU67" s="110"/>
      <c r="AV67" s="109"/>
      <c r="AW67" s="109"/>
      <c r="AX67" s="109"/>
      <c r="AY67" s="105">
        <f>COUNTIF(BA15:BA16,"Skema 1")</f>
        <v>0</v>
      </c>
      <c r="AZ67" s="109"/>
      <c r="BA67" s="109"/>
      <c r="BB67" s="110"/>
      <c r="BC67" s="109"/>
      <c r="BD67" s="109"/>
      <c r="BE67" s="109"/>
      <c r="BF67" s="105">
        <f>COUNTIF(BH12:BH13,"Skema 1")</f>
        <v>0</v>
      </c>
      <c r="BG67" s="109"/>
      <c r="BH67" s="109"/>
      <c r="BI67" s="109"/>
      <c r="BJ67" s="109"/>
      <c r="BK67" s="109"/>
      <c r="BL67" s="109"/>
      <c r="BM67" s="105">
        <f>COUNTIF(BO17:BO18,"Skema 1")</f>
        <v>0</v>
      </c>
      <c r="BN67" s="109"/>
      <c r="BO67" s="109"/>
      <c r="BP67" s="109"/>
      <c r="BQ67" s="109"/>
      <c r="BR67" s="109"/>
      <c r="BS67" s="109"/>
      <c r="BT67" s="105">
        <f>COUNTIF(BV14:BV15,"Skema 1")</f>
        <v>0</v>
      </c>
      <c r="BU67" s="109"/>
      <c r="BV67" s="109"/>
      <c r="BW67" s="109"/>
      <c r="BX67" s="109"/>
      <c r="BY67" s="109"/>
      <c r="BZ67" s="109"/>
      <c r="CA67" s="105">
        <f>COUNTIF(CC12:CC13,"Skema 1")</f>
        <v>0</v>
      </c>
      <c r="CI67" s="105">
        <f t="shared" si="40"/>
        <v>0</v>
      </c>
    </row>
    <row r="68" spans="1:87">
      <c r="A68" s="189"/>
      <c r="B68" s="105">
        <f>COUNTIF(D24:D25,"Skema 1")</f>
        <v>0</v>
      </c>
      <c r="G68" s="109"/>
      <c r="H68" s="109"/>
      <c r="I68" s="105">
        <f>COUNTIF(K21:K22,"Skema 1")</f>
        <v>0</v>
      </c>
      <c r="M68" s="109"/>
      <c r="N68" s="109"/>
      <c r="O68" s="109"/>
      <c r="P68" s="105">
        <f>COUNTIF(R19:R20,"Skema 1")</f>
        <v>0</v>
      </c>
      <c r="T68" s="109"/>
      <c r="U68" s="109"/>
      <c r="V68" s="109"/>
      <c r="W68" s="105">
        <f>COUNTIF(Y23:Y24,"Skema 1")</f>
        <v>0</v>
      </c>
      <c r="AA68" s="109"/>
      <c r="AB68" s="109"/>
      <c r="AC68" s="109"/>
      <c r="AD68" s="105">
        <f>COUNTIF(AF21:AF22,"Skema 1")</f>
        <v>0</v>
      </c>
      <c r="AH68" s="109"/>
      <c r="AI68" s="109"/>
      <c r="AJ68" s="109"/>
      <c r="AK68" s="105">
        <f>COUNTIF(AM18:AM19,"Skema 1")</f>
        <v>0</v>
      </c>
      <c r="AO68" s="109"/>
      <c r="AP68" s="109"/>
      <c r="AQ68" s="109"/>
      <c r="AR68" s="105">
        <f>COUNTIF(AT22:AT23,"Skema 1")</f>
        <v>0</v>
      </c>
      <c r="AV68" s="109"/>
      <c r="AW68" s="109"/>
      <c r="AX68" s="109"/>
      <c r="AY68" s="105">
        <f>COUNTIF(BA22:BA23,"Skema 1")</f>
        <v>0</v>
      </c>
      <c r="BC68" s="109"/>
      <c r="BD68" s="109"/>
      <c r="BE68" s="109"/>
      <c r="BF68" s="105">
        <f>COUNTIF(BH19:BH20,"Skema 1")</f>
        <v>0</v>
      </c>
      <c r="BJ68" s="109"/>
      <c r="BK68" s="109"/>
      <c r="BL68" s="109"/>
      <c r="BM68" s="105">
        <f>COUNTIF(BO24:BO25,"Skema 1")</f>
        <v>0</v>
      </c>
      <c r="BQ68" s="109"/>
      <c r="BR68" s="109"/>
      <c r="BS68" s="109"/>
      <c r="BT68" s="105">
        <f>COUNTIF(BV21:BV22,"Skema 1")</f>
        <v>0</v>
      </c>
      <c r="BX68" s="109"/>
      <c r="BY68" s="109"/>
      <c r="BZ68" s="109"/>
      <c r="CA68" s="105">
        <f>COUNTIF(CC19:CC20,"Skema 1")</f>
        <v>0</v>
      </c>
      <c r="CI68" s="105">
        <f t="shared" si="40"/>
        <v>0</v>
      </c>
    </row>
    <row r="69" spans="1:87">
      <c r="A69" s="188"/>
      <c r="B69" s="105">
        <f>COUNTIF(D31:D32,"Skema 1")</f>
        <v>0</v>
      </c>
      <c r="G69" s="109"/>
      <c r="H69" s="109"/>
      <c r="I69" s="105">
        <f>COUNTIF(K28:K29,"Skema 1")</f>
        <v>0</v>
      </c>
      <c r="M69" s="109"/>
      <c r="N69" s="109"/>
      <c r="O69" s="109"/>
      <c r="P69" s="105">
        <f>COUNTIF(R26:R27,"Skema 1")</f>
        <v>0</v>
      </c>
      <c r="T69" s="109"/>
      <c r="U69" s="109"/>
      <c r="V69" s="109"/>
      <c r="W69" s="105">
        <f>COUNTIF(Y30:Y31,"Skema 1")</f>
        <v>0</v>
      </c>
      <c r="AA69" s="109"/>
      <c r="AB69" s="109"/>
      <c r="AC69" s="109"/>
      <c r="AD69" s="105">
        <f>COUNTIF(AF28:AF29,"Skema 1")</f>
        <v>0</v>
      </c>
      <c r="AH69" s="109"/>
      <c r="AI69" s="109"/>
      <c r="AJ69" s="109"/>
      <c r="AK69" s="105">
        <f>COUNTIF(AM25:AM26,"Skema 1")</f>
        <v>0</v>
      </c>
      <c r="AO69" s="109"/>
      <c r="AP69" s="109"/>
      <c r="AQ69" s="109"/>
      <c r="AR69" s="105">
        <f>COUNTIF(AT29:AT30,"Skema 1")</f>
        <v>0</v>
      </c>
      <c r="AV69" s="109"/>
      <c r="AW69" s="109"/>
      <c r="AX69" s="109"/>
      <c r="AY69" s="105">
        <f>COUNTIF(BA29:BA30,"Skema 1")</f>
        <v>0</v>
      </c>
      <c r="BC69" s="109"/>
      <c r="BD69" s="109"/>
      <c r="BE69" s="109"/>
      <c r="BF69" s="105">
        <f>COUNTIF(BH26:BH27,"Skema 1")</f>
        <v>0</v>
      </c>
      <c r="BJ69" s="109"/>
      <c r="BK69" s="109"/>
      <c r="BL69" s="109"/>
      <c r="BM69" s="105">
        <f>COUNTIF(BO31:BO32,"Skema 1")</f>
        <v>0</v>
      </c>
      <c r="BQ69" s="109"/>
      <c r="BR69" s="109"/>
      <c r="BS69" s="109"/>
      <c r="BT69" s="105">
        <f>COUNTIF(BV28:BV29,"Skema 1")</f>
        <v>0</v>
      </c>
      <c r="BX69" s="109"/>
      <c r="BY69" s="109"/>
      <c r="BZ69" s="109"/>
      <c r="CA69" s="105">
        <f>COUNTIF(CC26:CC27,"Skema 1")</f>
        <v>0</v>
      </c>
      <c r="CI69" s="105">
        <f t="shared" si="40"/>
        <v>0</v>
      </c>
    </row>
    <row r="70" spans="1:87">
      <c r="A70" s="188"/>
      <c r="G70" s="109"/>
      <c r="H70" s="109"/>
      <c r="M70" s="109"/>
      <c r="N70" s="109"/>
      <c r="O70" s="109"/>
      <c r="P70" s="105">
        <f>COUNTIF(R33:R34,"Skema 1")</f>
        <v>0</v>
      </c>
      <c r="T70" s="109"/>
      <c r="U70" s="109"/>
      <c r="V70" s="109"/>
      <c r="AA70" s="109"/>
      <c r="AB70" s="109"/>
      <c r="AC70" s="109"/>
      <c r="AD70" s="105">
        <f>COUNTIF(AF35,"Skema 1")</f>
        <v>0</v>
      </c>
      <c r="AH70" s="109"/>
      <c r="AI70" s="109"/>
      <c r="AJ70" s="109"/>
      <c r="AK70" s="105">
        <f>COUNTIF(AM32:AM33,"Skema 1")</f>
        <v>0</v>
      </c>
      <c r="AO70" s="109"/>
      <c r="AP70" s="109"/>
      <c r="AQ70" s="109"/>
      <c r="AV70" s="109"/>
      <c r="AW70" s="109"/>
      <c r="AX70" s="109"/>
      <c r="BC70" s="109"/>
      <c r="BD70" s="109"/>
      <c r="BE70" s="109"/>
      <c r="BF70" s="105">
        <f>COUNTIF(BH33:BH34,"Skema 1")</f>
        <v>0</v>
      </c>
      <c r="BJ70" s="109"/>
      <c r="BK70" s="109"/>
      <c r="BL70" s="109"/>
      <c r="BQ70" s="109"/>
      <c r="BR70" s="109"/>
      <c r="BS70" s="109"/>
      <c r="BX70" s="109"/>
      <c r="BY70" s="109"/>
      <c r="BZ70" s="109"/>
      <c r="CA70" s="105">
        <f>COUNTIF(CC33:CC34,"Skema 1")</f>
        <v>0</v>
      </c>
      <c r="CI70" s="105">
        <f t="shared" si="40"/>
        <v>0</v>
      </c>
    </row>
    <row r="71" spans="1:87">
      <c r="A71" s="188"/>
      <c r="B71" s="105" t="s">
        <v>242</v>
      </c>
      <c r="E71" s="109"/>
      <c r="F71" s="109"/>
      <c r="G71" s="109"/>
      <c r="H71" s="109"/>
      <c r="I71" s="105" t="s">
        <v>242</v>
      </c>
      <c r="M71" s="109"/>
      <c r="N71" s="109"/>
      <c r="O71" s="109"/>
      <c r="P71" s="105" t="s">
        <v>242</v>
      </c>
      <c r="T71" s="109"/>
      <c r="U71" s="109"/>
      <c r="V71" s="109"/>
      <c r="W71" s="105" t="s">
        <v>242</v>
      </c>
      <c r="AA71" s="109"/>
      <c r="AB71" s="109"/>
      <c r="AC71" s="109"/>
      <c r="AD71" s="105" t="s">
        <v>242</v>
      </c>
      <c r="AH71" s="109"/>
      <c r="AI71" s="109"/>
      <c r="AJ71" s="109"/>
      <c r="AK71" s="105" t="s">
        <v>242</v>
      </c>
      <c r="AO71" s="109"/>
      <c r="AP71" s="109"/>
      <c r="AQ71" s="109"/>
      <c r="AR71" s="105" t="s">
        <v>242</v>
      </c>
      <c r="AV71" s="109"/>
      <c r="AW71" s="109"/>
      <c r="AX71" s="109"/>
      <c r="AY71" s="105" t="s">
        <v>242</v>
      </c>
      <c r="BC71" s="109"/>
      <c r="BD71" s="109"/>
      <c r="BE71" s="109"/>
      <c r="BF71" s="105" t="s">
        <v>242</v>
      </c>
      <c r="BJ71" s="109"/>
      <c r="BK71" s="109"/>
      <c r="BL71" s="109"/>
      <c r="BM71" s="105" t="s">
        <v>242</v>
      </c>
      <c r="BQ71" s="109"/>
      <c r="BR71" s="109"/>
      <c r="BS71" s="109"/>
      <c r="BT71" s="105" t="s">
        <v>242</v>
      </c>
      <c r="BX71" s="109"/>
      <c r="BY71" s="109"/>
      <c r="BZ71" s="109"/>
      <c r="CA71" s="105" t="s">
        <v>242</v>
      </c>
      <c r="CI71" s="105">
        <f t="shared" si="40"/>
        <v>0</v>
      </c>
    </row>
    <row r="72" spans="1:87">
      <c r="A72" s="188"/>
      <c r="B72" s="105">
        <f>COUNTIF(D10:D11,"Skema 2")</f>
        <v>0</v>
      </c>
      <c r="F72" s="109"/>
      <c r="G72" s="109"/>
      <c r="H72" s="109"/>
      <c r="I72" s="105">
        <f>COUNTIF(K7:K8,"Skema 2")</f>
        <v>0</v>
      </c>
      <c r="M72" s="109"/>
      <c r="N72" s="109"/>
      <c r="O72" s="109"/>
      <c r="P72" s="105">
        <f>COUNTIF(R5:R6,"Skema 2")</f>
        <v>0</v>
      </c>
      <c r="T72" s="109"/>
      <c r="U72" s="109"/>
      <c r="V72" s="109"/>
      <c r="W72" s="105">
        <f>COUNTIF(Y9:Y10,"Skema 2")</f>
        <v>0</v>
      </c>
      <c r="AA72" s="109"/>
      <c r="AB72" s="109"/>
      <c r="AC72" s="109"/>
      <c r="AD72" s="105">
        <f>COUNTIF(AF7:AF8,"Skema 2")</f>
        <v>0</v>
      </c>
      <c r="AH72" s="109"/>
      <c r="AI72" s="109"/>
      <c r="AJ72" s="109"/>
      <c r="AK72" s="105">
        <f>COUNTIF(AM5,"Skema 2")</f>
        <v>0</v>
      </c>
      <c r="AO72" s="109"/>
      <c r="AP72" s="109"/>
      <c r="AQ72" s="109"/>
      <c r="AR72" s="105">
        <f>COUNTIF(AT8:AT9,"Skema 2")</f>
        <v>0</v>
      </c>
      <c r="AV72" s="109"/>
      <c r="AW72" s="109"/>
      <c r="AX72" s="109"/>
      <c r="AY72" s="105">
        <f>COUNTIF(BA8:BA9,"Skema 2")</f>
        <v>0</v>
      </c>
      <c r="BC72" s="109"/>
      <c r="BD72" s="109"/>
      <c r="BE72" s="109"/>
      <c r="BF72" s="105">
        <f>COUNTIF(BH5:BH6,"Skema 2")</f>
        <v>0</v>
      </c>
      <c r="BJ72" s="109"/>
      <c r="BK72" s="109"/>
      <c r="BL72" s="109"/>
      <c r="BM72" s="105">
        <f>COUNTIF(BO10:BO11,"Skema 2")</f>
        <v>0</v>
      </c>
      <c r="BQ72" s="109"/>
      <c r="BR72" s="109"/>
      <c r="BS72" s="109"/>
      <c r="BT72" s="105">
        <f>COUNTIF(BV7:BV8,"Skema 2")</f>
        <v>0</v>
      </c>
      <c r="BX72" s="109"/>
      <c r="BY72" s="109"/>
      <c r="BZ72" s="109"/>
      <c r="CA72" s="105">
        <f>COUNTIF(CC5:CC6,"Skema 2")</f>
        <v>0</v>
      </c>
      <c r="CI72" s="105">
        <f t="shared" si="40"/>
        <v>0</v>
      </c>
    </row>
    <row r="73" spans="1:87">
      <c r="A73" s="188"/>
      <c r="B73" s="105">
        <f>COUNTIF(D17:D18,"Skema 2")</f>
        <v>0</v>
      </c>
      <c r="F73" s="109"/>
      <c r="G73" s="109"/>
      <c r="H73" s="109"/>
      <c r="I73" s="105">
        <f>COUNTIF(K14:K15,"Skema 2")</f>
        <v>0</v>
      </c>
      <c r="M73" s="109"/>
      <c r="N73" s="109"/>
      <c r="O73" s="109"/>
      <c r="P73" s="105">
        <f>COUNTIF(R12:R13,"Skema 2")</f>
        <v>0</v>
      </c>
      <c r="T73" s="109"/>
      <c r="U73" s="109"/>
      <c r="V73" s="109"/>
      <c r="W73" s="105">
        <f>COUNTIF(Y16:Y17,"Skema 2")</f>
        <v>0</v>
      </c>
      <c r="AA73" s="109"/>
      <c r="AB73" s="109"/>
      <c r="AC73" s="109"/>
      <c r="AD73" s="105">
        <f>COUNTIF(AF14:AF15,"Skema 2")</f>
        <v>0</v>
      </c>
      <c r="AH73" s="109"/>
      <c r="AI73" s="109"/>
      <c r="AJ73" s="109"/>
      <c r="AK73" s="105">
        <f>COUNTIF(AM11:AM12,"Skema 2")</f>
        <v>0</v>
      </c>
      <c r="AO73" s="109"/>
      <c r="AP73" s="109"/>
      <c r="AQ73" s="109"/>
      <c r="AR73" s="105">
        <f>COUNTIF(AT15:AT16,"Skema 2")</f>
        <v>0</v>
      </c>
      <c r="AV73" s="109"/>
      <c r="AW73" s="109"/>
      <c r="AX73" s="109"/>
      <c r="AY73" s="105">
        <f>COUNTIF(BA15:BA16,"Skema 2")</f>
        <v>0</v>
      </c>
      <c r="BC73" s="109"/>
      <c r="BD73" s="109"/>
      <c r="BE73" s="109"/>
      <c r="BF73" s="105">
        <f>COUNTIF(BH12:BH13,"Skema 2")</f>
        <v>0</v>
      </c>
      <c r="BJ73" s="109"/>
      <c r="BK73" s="109"/>
      <c r="BL73" s="109"/>
      <c r="BM73" s="105">
        <f>COUNTIF(BO17:BO18,"Skema 2")</f>
        <v>0</v>
      </c>
      <c r="BQ73" s="109"/>
      <c r="BR73" s="109"/>
      <c r="BS73" s="109"/>
      <c r="BT73" s="105">
        <f>COUNTIF(BV14:BV15,"Skema 2")</f>
        <v>0</v>
      </c>
      <c r="BX73" s="109"/>
      <c r="BY73" s="109"/>
      <c r="BZ73" s="109"/>
      <c r="CA73" s="105">
        <f>COUNTIF(CC12:CC13,"Skema 2")</f>
        <v>0</v>
      </c>
      <c r="CI73" s="105">
        <f t="shared" si="40"/>
        <v>0</v>
      </c>
    </row>
    <row r="74" spans="1:87">
      <c r="A74" s="188"/>
      <c r="B74" s="105">
        <f>COUNTIF(D24:D25,"Skema 2")</f>
        <v>0</v>
      </c>
      <c r="F74" s="109"/>
      <c r="G74" s="109"/>
      <c r="H74" s="109"/>
      <c r="I74" s="105">
        <f>COUNTIF(K21:K22,"Skema 2")</f>
        <v>0</v>
      </c>
      <c r="M74" s="109"/>
      <c r="N74" s="109"/>
      <c r="O74" s="109"/>
      <c r="P74" s="105">
        <f>COUNTIF(R19:R20,"Skema 2")</f>
        <v>0</v>
      </c>
      <c r="T74" s="109"/>
      <c r="U74" s="109"/>
      <c r="V74" s="109"/>
      <c r="W74" s="105">
        <f>COUNTIF(Y23:Y24,"Skema 2")</f>
        <v>0</v>
      </c>
      <c r="AA74" s="109"/>
      <c r="AB74" s="109"/>
      <c r="AC74" s="109"/>
      <c r="AD74" s="105">
        <f>COUNTIF(AF21:AF22,"Skema 2")</f>
        <v>0</v>
      </c>
      <c r="AH74" s="109"/>
      <c r="AI74" s="109"/>
      <c r="AJ74" s="109"/>
      <c r="AK74" s="105">
        <f>COUNTIF(AM18:AM19,"Skema 2")</f>
        <v>0</v>
      </c>
      <c r="AO74" s="109"/>
      <c r="AP74" s="109"/>
      <c r="AQ74" s="109"/>
      <c r="AR74" s="105">
        <f>COUNTIF(AT22:AT23,"Skema 2")</f>
        <v>0</v>
      </c>
      <c r="AV74" s="109"/>
      <c r="AW74" s="109"/>
      <c r="AX74" s="109"/>
      <c r="AY74" s="105">
        <f>COUNTIF(BA22:BA23,"Skema 2")</f>
        <v>0</v>
      </c>
      <c r="BC74" s="109"/>
      <c r="BD74" s="109"/>
      <c r="BE74" s="109"/>
      <c r="BF74" s="105">
        <f>COUNTIF(BH19:BH20,"Skema 2")</f>
        <v>0</v>
      </c>
      <c r="BJ74" s="109"/>
      <c r="BK74" s="109"/>
      <c r="BL74" s="109"/>
      <c r="BM74" s="105">
        <f>COUNTIF(BO24:BO25,"Skema 2")</f>
        <v>0</v>
      </c>
      <c r="BQ74" s="109"/>
      <c r="BR74" s="109"/>
      <c r="BS74" s="109"/>
      <c r="BT74" s="105">
        <f>COUNTIF(BV21:BV22,"Skema 2")</f>
        <v>0</v>
      </c>
      <c r="BX74" s="109"/>
      <c r="BY74" s="109"/>
      <c r="BZ74" s="109"/>
      <c r="CA74" s="105">
        <f>COUNTIF(CC19:CC20,"Skema 2")</f>
        <v>0</v>
      </c>
      <c r="CI74" s="105">
        <f t="shared" si="40"/>
        <v>0</v>
      </c>
    </row>
    <row r="75" spans="1:87">
      <c r="A75" s="188"/>
      <c r="B75" s="105">
        <f>COUNTIF(D31:D32,"Skema 2")</f>
        <v>0</v>
      </c>
      <c r="F75" s="109"/>
      <c r="G75" s="109"/>
      <c r="H75" s="109"/>
      <c r="I75" s="105">
        <f>COUNTIF(K28:K29,"Skema 2")</f>
        <v>0</v>
      </c>
      <c r="M75" s="109"/>
      <c r="P75" s="105">
        <f>COUNTIF(R26:R27,"Skema 2")</f>
        <v>0</v>
      </c>
      <c r="T75" s="109"/>
      <c r="W75" s="105">
        <f>COUNTIF(Y30:Y31,"Skema 2")</f>
        <v>0</v>
      </c>
      <c r="AA75" s="109"/>
      <c r="AD75" s="105">
        <f>COUNTIF(AF28:AF29,"Skema 2")</f>
        <v>0</v>
      </c>
      <c r="AH75" s="109"/>
      <c r="AK75" s="105">
        <f>COUNTIF(AM25:AM26,"Skema 2")</f>
        <v>0</v>
      </c>
      <c r="AO75" s="109"/>
      <c r="AR75" s="105">
        <f>COUNTIF(AT29:AT30,"Skema 2")</f>
        <v>0</v>
      </c>
      <c r="AV75" s="109"/>
      <c r="AY75" s="105">
        <f>COUNTIF(BA29:BA30,"Skema 2")</f>
        <v>0</v>
      </c>
      <c r="BC75" s="109"/>
      <c r="BF75" s="105">
        <f>COUNTIF(BH26:BH27,"Skema 2")</f>
        <v>0</v>
      </c>
      <c r="BJ75" s="109"/>
      <c r="BM75" s="105">
        <f>COUNTIF(BO31:BO32,"Skema 2")</f>
        <v>0</v>
      </c>
      <c r="BQ75" s="109"/>
      <c r="BT75" s="105">
        <f>COUNTIF(BV28:BV29,"Skema 2")</f>
        <v>0</v>
      </c>
      <c r="BX75" s="109"/>
      <c r="CA75" s="105">
        <f>COUNTIF(CC26:CC27,"Skema 2")</f>
        <v>0</v>
      </c>
      <c r="CI75" s="105">
        <f t="shared" si="40"/>
        <v>0</v>
      </c>
    </row>
    <row r="76" spans="1:87">
      <c r="A76" s="188"/>
      <c r="F76" s="109"/>
      <c r="G76" s="109"/>
      <c r="H76" s="109"/>
      <c r="M76" s="109"/>
      <c r="T76" s="109"/>
      <c r="AA76" s="109"/>
      <c r="AD76" s="105">
        <f>COUNTIF(AF35,"Skema 2")</f>
        <v>0</v>
      </c>
      <c r="AH76" s="109"/>
      <c r="AK76" s="105">
        <f>COUNTIF(AM32:AM33,"Skema 2")</f>
        <v>0</v>
      </c>
      <c r="AO76" s="109"/>
      <c r="AV76" s="109"/>
      <c r="BC76" s="109"/>
      <c r="BF76" s="105">
        <f>COUNTIF(BH33:BH34,"Skema 2")</f>
        <v>0</v>
      </c>
      <c r="BJ76" s="109"/>
      <c r="BQ76" s="109"/>
      <c r="BX76" s="109"/>
      <c r="CA76" s="105">
        <f>COUNTIF(CC33:CC34,"Skema 2")</f>
        <v>0</v>
      </c>
      <c r="CI76" s="105">
        <f t="shared" si="40"/>
        <v>0</v>
      </c>
    </row>
    <row r="77" spans="1:87">
      <c r="A77" s="188"/>
      <c r="B77" s="105" t="s">
        <v>243</v>
      </c>
      <c r="F77" s="109"/>
      <c r="I77" s="105" t="s">
        <v>243</v>
      </c>
      <c r="P77" s="105" t="s">
        <v>243</v>
      </c>
      <c r="W77" s="105" t="s">
        <v>243</v>
      </c>
      <c r="AD77" s="105" t="s">
        <v>243</v>
      </c>
      <c r="AK77" s="105" t="s">
        <v>243</v>
      </c>
      <c r="AR77" s="105" t="s">
        <v>243</v>
      </c>
      <c r="AY77" s="105" t="s">
        <v>243</v>
      </c>
      <c r="BF77" s="105" t="s">
        <v>243</v>
      </c>
      <c r="BM77" s="105" t="s">
        <v>243</v>
      </c>
      <c r="BT77" s="105" t="s">
        <v>243</v>
      </c>
      <c r="CA77" s="105" t="s">
        <v>243</v>
      </c>
      <c r="CI77" s="105">
        <f t="shared" si="40"/>
        <v>0</v>
      </c>
    </row>
    <row r="78" spans="1:87">
      <c r="A78" s="188"/>
      <c r="B78" s="105">
        <f>COUNTIF(D10:D11,"Skema 3")</f>
        <v>0</v>
      </c>
      <c r="F78" s="109"/>
      <c r="I78" s="105">
        <f>COUNTIF(K7:K8,"Skema 3")</f>
        <v>0</v>
      </c>
      <c r="P78" s="105">
        <f>COUNTIF(R5:R6,"Skema 3")</f>
        <v>0</v>
      </c>
      <c r="W78" s="105">
        <f>COUNTIF(Y9:Y10,"Skema 3")</f>
        <v>0</v>
      </c>
      <c r="AD78" s="105">
        <f>COUNTIF(AF7:AF8,"Skema 3")</f>
        <v>0</v>
      </c>
      <c r="AK78" s="105">
        <f>COUNTIF(AM5,"Skema 3")</f>
        <v>0</v>
      </c>
      <c r="AR78" s="105">
        <f>COUNTIF(AT8:AT9,"Skema 3")</f>
        <v>0</v>
      </c>
      <c r="AY78" s="105">
        <f>COUNTIF(BA8:BA9,"Skema 3")</f>
        <v>0</v>
      </c>
      <c r="BF78" s="105">
        <f>COUNTIF(BH5:BH6,"Skema 3")</f>
        <v>0</v>
      </c>
      <c r="BM78" s="105">
        <f>COUNTIF(BO10:BO11,"Skema 3")</f>
        <v>0</v>
      </c>
      <c r="BT78" s="105">
        <f>COUNTIF(BV7:BV8,"Skema 3")</f>
        <v>0</v>
      </c>
      <c r="CA78" s="105">
        <f>COUNTIF(CC5:CC6,"Skema 3")</f>
        <v>0</v>
      </c>
      <c r="CI78" s="105">
        <f t="shared" si="40"/>
        <v>0</v>
      </c>
    </row>
    <row r="79" spans="1:87">
      <c r="A79" s="188"/>
      <c r="B79" s="105">
        <f>COUNTIF(D17:D18,"Skema 3")</f>
        <v>0</v>
      </c>
      <c r="F79" s="109"/>
      <c r="I79" s="105">
        <f>COUNTIF(K14:K15,"Skema 3")</f>
        <v>0</v>
      </c>
      <c r="P79" s="105">
        <f>COUNTIF(R12:R13,"Skema 3")</f>
        <v>0</v>
      </c>
      <c r="W79" s="105">
        <f>COUNTIF(Y16:Y17,"Skema 3")</f>
        <v>0</v>
      </c>
      <c r="AD79" s="105">
        <f>COUNTIF(AF14:AF15,"Skema 3")</f>
        <v>0</v>
      </c>
      <c r="AK79" s="105">
        <f>COUNTIF(AM11:AM12,"Skema 3")</f>
        <v>0</v>
      </c>
      <c r="AR79" s="105">
        <f>COUNTIF(AT15:AT16,"Skema 3")</f>
        <v>0</v>
      </c>
      <c r="AY79" s="105">
        <f>COUNTIF(BA15:BA16,"Skema 3")</f>
        <v>0</v>
      </c>
      <c r="BF79" s="105">
        <f>COUNTIF(BH12:BH13,"Skema 3")</f>
        <v>0</v>
      </c>
      <c r="BM79" s="105">
        <f>COUNTIF(BO17:BO18,"Skema 3")</f>
        <v>0</v>
      </c>
      <c r="BT79" s="105">
        <f>COUNTIF(BV14:BV15,"Skema 3")</f>
        <v>0</v>
      </c>
      <c r="CA79" s="105">
        <f>COUNTIF(CC12:CC13,"Skema 3")</f>
        <v>0</v>
      </c>
      <c r="CI79" s="105">
        <f t="shared" si="40"/>
        <v>0</v>
      </c>
    </row>
    <row r="80" spans="1:87">
      <c r="A80" s="188"/>
      <c r="B80" s="105">
        <f>COUNTIF(D24:D25,"Skema 3")</f>
        <v>0</v>
      </c>
      <c r="F80" s="109"/>
      <c r="I80" s="105">
        <f>COUNTIF(K21:K22,"Skema 3")</f>
        <v>0</v>
      </c>
      <c r="P80" s="105">
        <f>COUNTIF(R19:R20,"Skema 3")</f>
        <v>0</v>
      </c>
      <c r="W80" s="105">
        <f>COUNTIF(Y23:Y24,"Skema 3")</f>
        <v>0</v>
      </c>
      <c r="AD80" s="105">
        <f>COUNTIF(AF21:AF22,"Skema 3")</f>
        <v>0</v>
      </c>
      <c r="AK80" s="105">
        <f>COUNTIF(AM18:AM19,"Skema 3")</f>
        <v>0</v>
      </c>
      <c r="AR80" s="105">
        <f>COUNTIF(AT22:AT23,"Skema 3")</f>
        <v>0</v>
      </c>
      <c r="AY80" s="105">
        <f>COUNTIF(BA22:BA23,"Skema 3")</f>
        <v>0</v>
      </c>
      <c r="BF80" s="105">
        <f>COUNTIF(BH19:BH20,"Skema 3")</f>
        <v>0</v>
      </c>
      <c r="BM80" s="105">
        <f>COUNTIF(BO24:BO25,"Skema 3")</f>
        <v>0</v>
      </c>
      <c r="BT80" s="105">
        <f>COUNTIF(BV21:BV22,"Skema 3")</f>
        <v>0</v>
      </c>
      <c r="CA80" s="105">
        <f>COUNTIF(CC19:CC20,"Skema 3")</f>
        <v>0</v>
      </c>
      <c r="CI80" s="105">
        <f t="shared" si="40"/>
        <v>0</v>
      </c>
    </row>
    <row r="81" spans="1:87">
      <c r="A81" s="188"/>
      <c r="B81" s="105">
        <f>COUNTIF(D31:D32,"Skema 3")</f>
        <v>0</v>
      </c>
      <c r="I81" s="105">
        <f>COUNTIF(K28:K29,"Skema 3")</f>
        <v>0</v>
      </c>
      <c r="P81" s="105">
        <f>COUNTIF(R26:R27,"Skema 3")</f>
        <v>0</v>
      </c>
      <c r="W81" s="105">
        <f>COUNTIF(Y30:Y31,"Skema 3")</f>
        <v>0</v>
      </c>
      <c r="AD81" s="105">
        <f>COUNTIF(AF28:AF29,"Skema 3")</f>
        <v>0</v>
      </c>
      <c r="AK81" s="105">
        <f>COUNTIF(AM25:AM26,"Skema 3")</f>
        <v>0</v>
      </c>
      <c r="AR81" s="105">
        <f>COUNTIF(AT29:AT30,"Skema 3")</f>
        <v>0</v>
      </c>
      <c r="AY81" s="105">
        <f>COUNTIF(BA29:BA30,"Skema 3")</f>
        <v>0</v>
      </c>
      <c r="BF81" s="105">
        <f>COUNTIF(BH26:BH27,"Skema 3")</f>
        <v>0</v>
      </c>
      <c r="BM81" s="105">
        <f>COUNTIF(BO31:BO32,"Skema 3")</f>
        <v>0</v>
      </c>
      <c r="BT81" s="105">
        <f>COUNTIF(BV28:BV29,"Skema 3")</f>
        <v>0</v>
      </c>
      <c r="CA81" s="105">
        <f>COUNTIF(CC26:CC27,"Skema 3")</f>
        <v>0</v>
      </c>
      <c r="CI81" s="105">
        <f t="shared" si="40"/>
        <v>0</v>
      </c>
    </row>
    <row r="82" spans="1:87">
      <c r="A82" s="188"/>
      <c r="AD82" s="105">
        <f>COUNTIF(AF35,"Skema 3")</f>
        <v>0</v>
      </c>
      <c r="AK82" s="105">
        <f>COUNTIF(AM32:AM33,"Skema 3")</f>
        <v>0</v>
      </c>
      <c r="BF82" s="105">
        <f>COUNTIF(BH33:BH34,"Skema 3")</f>
        <v>0</v>
      </c>
      <c r="CA82" s="105">
        <f>COUNTIF(CC33:CC34,"Skema 3")</f>
        <v>0</v>
      </c>
      <c r="CI82" s="105">
        <f t="shared" si="40"/>
        <v>0</v>
      </c>
    </row>
    <row r="83" spans="1:87">
      <c r="A83" s="188"/>
      <c r="B83" s="109" t="s">
        <v>244</v>
      </c>
      <c r="I83" s="109" t="s">
        <v>244</v>
      </c>
      <c r="P83" s="109" t="s">
        <v>244</v>
      </c>
      <c r="W83" s="109" t="s">
        <v>244</v>
      </c>
      <c r="AD83" s="109" t="s">
        <v>244</v>
      </c>
      <c r="AK83" s="109" t="s">
        <v>244</v>
      </c>
      <c r="AR83" s="109" t="s">
        <v>244</v>
      </c>
      <c r="AY83" s="109" t="s">
        <v>244</v>
      </c>
      <c r="BF83" s="109" t="s">
        <v>244</v>
      </c>
      <c r="BM83" s="109" t="s">
        <v>244</v>
      </c>
      <c r="BT83" s="109" t="s">
        <v>244</v>
      </c>
      <c r="CA83" s="109" t="s">
        <v>244</v>
      </c>
      <c r="CI83" s="105">
        <f t="shared" si="40"/>
        <v>0</v>
      </c>
    </row>
    <row r="84" spans="1:87">
      <c r="A84" s="188"/>
      <c r="B84" s="105">
        <f>COUNTIF(D10:D11,"Skema 4")</f>
        <v>0</v>
      </c>
      <c r="I84" s="105">
        <f>COUNTIF(K7:K8,"Skema 4")</f>
        <v>0</v>
      </c>
      <c r="P84" s="105">
        <f>COUNTIF(R5:R6,"Skema 4")</f>
        <v>0</v>
      </c>
      <c r="W84" s="105">
        <f>COUNTIF(Y9:Y10,"Skema 4")</f>
        <v>0</v>
      </c>
      <c r="AD84" s="105">
        <f>COUNTIF(AF7:AF8,"Skema 4")</f>
        <v>0</v>
      </c>
      <c r="AK84" s="105">
        <f>COUNTIF(AM5,"Skema 4")</f>
        <v>0</v>
      </c>
      <c r="AR84" s="105">
        <f>COUNTIF(AT8:AT9,"Skema 4")</f>
        <v>0</v>
      </c>
      <c r="AY84" s="105">
        <f>COUNTIF(BA8:BA9,"Skema 4")</f>
        <v>0</v>
      </c>
      <c r="BF84" s="105">
        <f>COUNTIF(BH5:BH6,"Skema 4")</f>
        <v>0</v>
      </c>
      <c r="BM84" s="105">
        <f>COUNTIF(BO10:BO11,"Skema 4")</f>
        <v>0</v>
      </c>
      <c r="BT84" s="105">
        <f>COUNTIF(BV7:BV8,"Skema 4")</f>
        <v>0</v>
      </c>
      <c r="CA84" s="105">
        <f>COUNTIF(CC5:CC6,"Skema 4")</f>
        <v>0</v>
      </c>
      <c r="CI84" s="105">
        <f t="shared" si="40"/>
        <v>0</v>
      </c>
    </row>
    <row r="85" spans="1:87">
      <c r="A85" s="188"/>
      <c r="B85" s="105">
        <f>COUNTIF(D17:D18,"Skema 4")</f>
        <v>0</v>
      </c>
      <c r="I85" s="105">
        <f>COUNTIF(K14:K15,"Skema 4")</f>
        <v>0</v>
      </c>
      <c r="P85" s="105">
        <f>COUNTIF(R12:R13,"Skema 4")</f>
        <v>0</v>
      </c>
      <c r="W85" s="105">
        <f>COUNTIF(Y16:Y17,"Skema 4")</f>
        <v>0</v>
      </c>
      <c r="AD85" s="105">
        <f>COUNTIF(AF14:AF15,"Skema 4")</f>
        <v>0</v>
      </c>
      <c r="AK85" s="105">
        <f>COUNTIF(AM11:AM12,"Skema 4")</f>
        <v>0</v>
      </c>
      <c r="AR85" s="105">
        <f>COUNTIF(AT15:AT16,"Skema 4")</f>
        <v>0</v>
      </c>
      <c r="AY85" s="105">
        <f>COUNTIF(BA15:BA16,"Skema 4")</f>
        <v>0</v>
      </c>
      <c r="BF85" s="105">
        <f>COUNTIF(BH12:BH13,"Skema 4")</f>
        <v>0</v>
      </c>
      <c r="BM85" s="105">
        <f>COUNTIF(BO17:BO18,"Skema 4")</f>
        <v>0</v>
      </c>
      <c r="BT85" s="105">
        <f>COUNTIF(BV14:BV15,"Skema 4")</f>
        <v>0</v>
      </c>
      <c r="CA85" s="105">
        <f>COUNTIF(CC12:CC13,"Skema 4")</f>
        <v>0</v>
      </c>
      <c r="CI85" s="105">
        <f t="shared" si="40"/>
        <v>0</v>
      </c>
    </row>
    <row r="86" spans="1:87">
      <c r="A86" s="188"/>
      <c r="B86" s="105">
        <f>COUNTIF(D24:D25,"Skema 4")</f>
        <v>0</v>
      </c>
      <c r="I86" s="105">
        <f>COUNTIF(K21:K22,"Skema 4")</f>
        <v>0</v>
      </c>
      <c r="P86" s="105">
        <f>COUNTIF(R19:R20,"Skema 4")</f>
        <v>0</v>
      </c>
      <c r="W86" s="105">
        <f>COUNTIF(Y23:Y24,"Skema 4")</f>
        <v>0</v>
      </c>
      <c r="AD86" s="105">
        <f>COUNTIF(AF21:AF22,"Skema 4")</f>
        <v>0</v>
      </c>
      <c r="AK86" s="105">
        <f>COUNTIF(AM18:AM19,"Skema 4")</f>
        <v>0</v>
      </c>
      <c r="AR86" s="105">
        <f>COUNTIF(AT22:AT23,"Skema 4")</f>
        <v>0</v>
      </c>
      <c r="AY86" s="105">
        <f>COUNTIF(BA22:BA23,"Skema 4")</f>
        <v>0</v>
      </c>
      <c r="BF86" s="105">
        <f>COUNTIF(BH19:BH20,"Skema 4")</f>
        <v>0</v>
      </c>
      <c r="BM86" s="105">
        <f>COUNTIF(BO24:BO25,"Skema 4")</f>
        <v>0</v>
      </c>
      <c r="BT86" s="105">
        <f>COUNTIF(BV21:BV22,"Skema 4")</f>
        <v>0</v>
      </c>
      <c r="CA86" s="105">
        <f>COUNTIF(CC19:CC20,"Skema 4")</f>
        <v>0</v>
      </c>
      <c r="CI86" s="105">
        <f t="shared" si="40"/>
        <v>0</v>
      </c>
    </row>
    <row r="87" spans="1:87">
      <c r="A87" s="188"/>
      <c r="B87" s="105">
        <f>COUNTIF(D31:D32,"Skema 4")</f>
        <v>0</v>
      </c>
      <c r="I87" s="105">
        <f>COUNTIF(K28:K29,"Skema 4")</f>
        <v>0</v>
      </c>
      <c r="P87" s="105">
        <f>COUNTIF(R26:R27,"Skema 4")</f>
        <v>0</v>
      </c>
      <c r="W87" s="105">
        <f>COUNTIF(Y30:Y31,"Skema 4")</f>
        <v>0</v>
      </c>
      <c r="AD87" s="105">
        <f>COUNTIF(AF28:AF29,"Skema 4")</f>
        <v>0</v>
      </c>
      <c r="AK87" s="105">
        <f>COUNTIF(AM25:AM26,"Skema 4")</f>
        <v>0</v>
      </c>
      <c r="AR87" s="105">
        <f>COUNTIF(AT29:AT30,"Skema 4")</f>
        <v>0</v>
      </c>
      <c r="AY87" s="105">
        <f>COUNTIF(BA29:BA30,"Skema 4")</f>
        <v>0</v>
      </c>
      <c r="BF87" s="105">
        <f>COUNTIF(BH26:BH27,"Skema 4")</f>
        <v>0</v>
      </c>
      <c r="BM87" s="105">
        <f>COUNTIF(BO31:BO32,"Skema 4")</f>
        <v>0</v>
      </c>
      <c r="BT87" s="105">
        <f>COUNTIF(BV28:BV29,"Skema 4")</f>
        <v>0</v>
      </c>
      <c r="CA87" s="105">
        <f>COUNTIF(CC26:CC27,"Skema 4")</f>
        <v>0</v>
      </c>
      <c r="CI87" s="105">
        <f t="shared" si="40"/>
        <v>0</v>
      </c>
    </row>
    <row r="88" spans="1:87">
      <c r="A88" s="188"/>
      <c r="AD88" s="105">
        <f>COUNTIF(AF35,"Skema 4")</f>
        <v>0</v>
      </c>
      <c r="AK88" s="105">
        <f>COUNTIF(AM32:AM33,"Skema 4")</f>
        <v>0</v>
      </c>
      <c r="BF88" s="105">
        <f>COUNTIF(BH33:BH34,"Skema 4")</f>
        <v>0</v>
      </c>
      <c r="CA88" s="105">
        <f>COUNTIF(CC33:CC34,"Skema 4")</f>
        <v>0</v>
      </c>
      <c r="CI88" s="105">
        <f t="shared" si="40"/>
        <v>0</v>
      </c>
    </row>
    <row r="89" spans="1:87">
      <c r="A89" s="188"/>
      <c r="B89" s="109" t="s">
        <v>155</v>
      </c>
      <c r="I89" s="109" t="s">
        <v>155</v>
      </c>
      <c r="P89" s="109" t="s">
        <v>155</v>
      </c>
      <c r="W89" s="109" t="s">
        <v>155</v>
      </c>
      <c r="AD89" s="109" t="s">
        <v>155</v>
      </c>
      <c r="AK89" s="109" t="s">
        <v>155</v>
      </c>
      <c r="AR89" s="109" t="s">
        <v>155</v>
      </c>
      <c r="AY89" s="109" t="s">
        <v>155</v>
      </c>
      <c r="BF89" s="109" t="s">
        <v>155</v>
      </c>
      <c r="BM89" s="109" t="s">
        <v>155</v>
      </c>
      <c r="BT89" s="109" t="s">
        <v>155</v>
      </c>
      <c r="CA89" s="109" t="s">
        <v>155</v>
      </c>
      <c r="CI89" s="105">
        <f t="shared" si="40"/>
        <v>0</v>
      </c>
    </row>
    <row r="90" spans="1:87">
      <c r="A90" s="188"/>
      <c r="B90" s="105">
        <f>COUNTIF(D10:D11,"Fagdag")</f>
        <v>0</v>
      </c>
      <c r="I90" s="105">
        <f>COUNTIF(K7:K8,"Fagdag")</f>
        <v>0</v>
      </c>
      <c r="P90" s="105">
        <f>COUNTIF(R5:R6,"Fagdag")</f>
        <v>0</v>
      </c>
      <c r="W90" s="105">
        <f>COUNTIF(Y9:Y10,"Fagdag")</f>
        <v>0</v>
      </c>
      <c r="AD90" s="105">
        <f>COUNTIF(AF7:AF8,"Fagdag")</f>
        <v>0</v>
      </c>
      <c r="AK90" s="105">
        <f>COUNTIF(AM5,"Fagdag")</f>
        <v>0</v>
      </c>
      <c r="AR90" s="105">
        <f>COUNTIF(AT8:AT9,"Fagdag")</f>
        <v>0</v>
      </c>
      <c r="AY90" s="105">
        <f>COUNTIF(BA8:BA9,"Fagdag")</f>
        <v>0</v>
      </c>
      <c r="BF90" s="105">
        <f>COUNTIF(BH5:BH6,"Fagdag")</f>
        <v>0</v>
      </c>
      <c r="BM90" s="105">
        <f>COUNTIF(BO10:BO11,"Fagdag")</f>
        <v>0</v>
      </c>
      <c r="BT90" s="105">
        <f>COUNTIF(BV7:BV8,"Fagdag")</f>
        <v>0</v>
      </c>
      <c r="CA90" s="105">
        <f>COUNTIF(CC5:CC6,"Fagdag")</f>
        <v>0</v>
      </c>
      <c r="CI90" s="105">
        <f t="shared" si="40"/>
        <v>0</v>
      </c>
    </row>
    <row r="91" spans="1:87">
      <c r="A91" s="188"/>
      <c r="B91" s="105">
        <f>COUNTIF(D17:D18,"Fagdag")</f>
        <v>0</v>
      </c>
      <c r="I91" s="105">
        <f>COUNTIF(K14:K15,"Fagdag")</f>
        <v>0</v>
      </c>
      <c r="P91" s="105">
        <f>COUNTIF(R12:R13,"Fagdag")</f>
        <v>0</v>
      </c>
      <c r="W91" s="105">
        <f>COUNTIF(Y16:Y17,"Fagdag")</f>
        <v>0</v>
      </c>
      <c r="AD91" s="105">
        <f>COUNTIF(AF14:AF15,"Fagdag")</f>
        <v>0</v>
      </c>
      <c r="AK91" s="105">
        <f>COUNTIF(AM11:AM12,"Fagdag")</f>
        <v>0</v>
      </c>
      <c r="AR91" s="105">
        <f>COUNTIF(AT15:AT16,"Fagdag")</f>
        <v>0</v>
      </c>
      <c r="AY91" s="105">
        <f>COUNTIF(BA15:BA16,"Fagdag")</f>
        <v>0</v>
      </c>
      <c r="BF91" s="105">
        <f>COUNTIF(BH12:BH13,"Fagdag")</f>
        <v>0</v>
      </c>
      <c r="BM91" s="105">
        <f>COUNTIF(BO17:BO18,"Fagdag")</f>
        <v>0</v>
      </c>
      <c r="BT91" s="105">
        <f>COUNTIF(BV14:BV15,"Fagdag")</f>
        <v>0</v>
      </c>
      <c r="CA91" s="105">
        <f>COUNTIF(CC12:CC13,"Fagdag")</f>
        <v>0</v>
      </c>
      <c r="CI91" s="105">
        <f t="shared" si="40"/>
        <v>0</v>
      </c>
    </row>
    <row r="92" spans="1:87">
      <c r="A92" s="188"/>
      <c r="B92" s="105">
        <f>COUNTIF(D24:D25,"Fagdag")</f>
        <v>0</v>
      </c>
      <c r="I92" s="105">
        <f>COUNTIF(K21:K22,"Fagdag")</f>
        <v>0</v>
      </c>
      <c r="P92" s="105">
        <f>COUNTIF(R19:R20,"Fagdag")</f>
        <v>0</v>
      </c>
      <c r="W92" s="105">
        <f>COUNTIF(Y23:Y24,"Fagdag")</f>
        <v>0</v>
      </c>
      <c r="AD92" s="105">
        <f>COUNTIF(AF21:AF22,"Fagdag")</f>
        <v>0</v>
      </c>
      <c r="AK92" s="105">
        <f>COUNTIF(AM18:AM19,"Fagdag")</f>
        <v>0</v>
      </c>
      <c r="AR92" s="105">
        <f>COUNTIF(AT22:AT23,"Fagdag")</f>
        <v>0</v>
      </c>
      <c r="AY92" s="105">
        <f>COUNTIF(BA22:BA23,"Fagdag")</f>
        <v>0</v>
      </c>
      <c r="BF92" s="105">
        <f>COUNTIF(BH19:BH20,"Fagdag")</f>
        <v>0</v>
      </c>
      <c r="BM92" s="105">
        <f>COUNTIF(BO24:BO25,"Fagdag")</f>
        <v>0</v>
      </c>
      <c r="BT92" s="105">
        <f>COUNTIF(BV21:BV22,"Fagdag")</f>
        <v>0</v>
      </c>
      <c r="CA92" s="105">
        <f>COUNTIF(CC19:CC20,"Fagdag")</f>
        <v>0</v>
      </c>
      <c r="CI92" s="105">
        <f t="shared" si="40"/>
        <v>0</v>
      </c>
    </row>
    <row r="93" spans="1:87">
      <c r="A93" s="188"/>
      <c r="B93" s="105">
        <f>COUNTIF(D31:D32,"Fagdag")</f>
        <v>0</v>
      </c>
      <c r="I93" s="105">
        <f>COUNTIF(K28:K29,"Fagdag")</f>
        <v>0</v>
      </c>
      <c r="P93" s="105">
        <f>COUNTIF(R26:R27,"Fagdag")</f>
        <v>0</v>
      </c>
      <c r="W93" s="105">
        <f>COUNTIF(Y30:Y31,"Fagdag")</f>
        <v>0</v>
      </c>
      <c r="AD93" s="105">
        <f>COUNTIF(AF28:AF29,"Fagdag")</f>
        <v>0</v>
      </c>
      <c r="AK93" s="105">
        <f>COUNTIF(AM25:AM26,"Fagdag")</f>
        <v>0</v>
      </c>
      <c r="AR93" s="105">
        <f>COUNTIF(AT29:AT30,"Fagdag")</f>
        <v>0</v>
      </c>
      <c r="AY93" s="105">
        <f>COUNTIF(BA29:BA30,"Fagdag")</f>
        <v>0</v>
      </c>
      <c r="BF93" s="105">
        <f>COUNTIF(BH26:BH27,"Fagdag")</f>
        <v>0</v>
      </c>
      <c r="BM93" s="105">
        <f>COUNTIF(BO31:BO32,"Fagdag")</f>
        <v>0</v>
      </c>
      <c r="BT93" s="105">
        <f>COUNTIF(BV28:BV29,"Fagdag")</f>
        <v>0</v>
      </c>
      <c r="CA93" s="105">
        <f>COUNTIF(CC26:CC27,"Fagdag")</f>
        <v>0</v>
      </c>
      <c r="CI93" s="105">
        <f t="shared" si="40"/>
        <v>0</v>
      </c>
    </row>
    <row r="94" spans="1:87">
      <c r="A94" s="188"/>
      <c r="AD94" s="105">
        <f>COUNTIF(AF35,"Fagdag")</f>
        <v>0</v>
      </c>
      <c r="AK94" s="105">
        <f>COUNTIF(AM32:AM33,"Fagdag")</f>
        <v>0</v>
      </c>
      <c r="BF94" s="105">
        <f>COUNTIF(BH33:BH34,"Fagdag")</f>
        <v>0</v>
      </c>
      <c r="CA94" s="105">
        <f>COUNTIF(CC33:CC34,"Fagdag")</f>
        <v>0</v>
      </c>
      <c r="CI94" s="105">
        <f t="shared" si="40"/>
        <v>0</v>
      </c>
    </row>
    <row r="95" spans="1:87">
      <c r="A95" s="188"/>
      <c r="B95" s="109" t="s">
        <v>246</v>
      </c>
      <c r="I95" s="109" t="s">
        <v>246</v>
      </c>
      <c r="P95" s="109" t="s">
        <v>246</v>
      </c>
      <c r="W95" s="109" t="s">
        <v>246</v>
      </c>
      <c r="AD95" s="109" t="s">
        <v>246</v>
      </c>
      <c r="AK95" s="109" t="s">
        <v>246</v>
      </c>
      <c r="AR95" s="109" t="s">
        <v>246</v>
      </c>
      <c r="AY95" s="109" t="s">
        <v>246</v>
      </c>
      <c r="BF95" s="109" t="s">
        <v>246</v>
      </c>
      <c r="BM95" s="109" t="s">
        <v>246</v>
      </c>
      <c r="BT95" s="109" t="s">
        <v>246</v>
      </c>
      <c r="CA95" s="109" t="s">
        <v>246</v>
      </c>
      <c r="CI95" s="105">
        <f t="shared" si="40"/>
        <v>0</v>
      </c>
    </row>
    <row r="96" spans="1:87">
      <c r="A96" s="188"/>
      <c r="B96" s="105">
        <f>COUNTIF(D10:D11,"Emnedag")</f>
        <v>0</v>
      </c>
      <c r="I96" s="105">
        <f>COUNTIF(K7:K8,"Emnedag")</f>
        <v>0</v>
      </c>
      <c r="P96" s="105">
        <f>COUNTIF(R5:R6,"Emnedag")</f>
        <v>0</v>
      </c>
      <c r="W96" s="105">
        <f>COUNTIF(Y9:Y10,"Emnedag")</f>
        <v>0</v>
      </c>
      <c r="AD96" s="105">
        <f>COUNTIF(AF7:AF8,"Emnedag")</f>
        <v>0</v>
      </c>
      <c r="AK96" s="105">
        <f>COUNTIF(AM5,"Emnedag")</f>
        <v>0</v>
      </c>
      <c r="AR96" s="105">
        <f>COUNTIF(AT8:AT9,"Emnedag")</f>
        <v>0</v>
      </c>
      <c r="AY96" s="105">
        <f>COUNTIF(BA8:BA9,"Emnedag")</f>
        <v>0</v>
      </c>
      <c r="BF96" s="105">
        <f>COUNTIF(BH5:BH6,"Emnedag")</f>
        <v>0</v>
      </c>
      <c r="BM96" s="105">
        <f>COUNTIF(BO10:BO11,"Emnedag")</f>
        <v>0</v>
      </c>
      <c r="BT96" s="105">
        <f>COUNTIF(BV7:BV8,"Emnedag")</f>
        <v>0</v>
      </c>
      <c r="CA96" s="105">
        <f>COUNTIF(CC5:CC6,"Emnedag")</f>
        <v>0</v>
      </c>
      <c r="CI96" s="105">
        <f t="shared" si="40"/>
        <v>0</v>
      </c>
    </row>
    <row r="97" spans="1:87">
      <c r="A97" s="188"/>
      <c r="B97" s="105">
        <f>COUNTIF(D17:D18,"Emnedag")</f>
        <v>0</v>
      </c>
      <c r="I97" s="105">
        <f>COUNTIF(K14:K15,"Emnedag")</f>
        <v>0</v>
      </c>
      <c r="P97" s="105">
        <f>COUNTIF(R12:R13,"Emnedag")</f>
        <v>0</v>
      </c>
      <c r="W97" s="105">
        <f>COUNTIF(Y16:Y17,"Emnedag")</f>
        <v>0</v>
      </c>
      <c r="AD97" s="105">
        <f>COUNTIF(AF14:AF15,"Emnedag")</f>
        <v>0</v>
      </c>
      <c r="AK97" s="105">
        <f>COUNTIF(AM11:AM12,"Emnedag")</f>
        <v>0</v>
      </c>
      <c r="AR97" s="105">
        <f>COUNTIF(AT15:AT16,"Emnedag")</f>
        <v>0</v>
      </c>
      <c r="AY97" s="105">
        <f>COUNTIF(BA15:BA16,"Emnedag")</f>
        <v>0</v>
      </c>
      <c r="BF97" s="105">
        <f>COUNTIF(BH12:BH13,"Emnedag")</f>
        <v>0</v>
      </c>
      <c r="BM97" s="105">
        <f>COUNTIF(BO17:BO18,"Emnedag")</f>
        <v>0</v>
      </c>
      <c r="BT97" s="105">
        <f>COUNTIF(BV14:BV15,"Emnedag")</f>
        <v>0</v>
      </c>
      <c r="CA97" s="105">
        <f>COUNTIF(CC12:CC13,"Emnedag")</f>
        <v>0</v>
      </c>
      <c r="CI97" s="105">
        <f t="shared" si="40"/>
        <v>0</v>
      </c>
    </row>
    <row r="98" spans="1:87">
      <c r="A98" s="188"/>
      <c r="B98" s="105">
        <f>COUNTIF(D24:D25,"Emnedag")</f>
        <v>0</v>
      </c>
      <c r="I98" s="105">
        <f>COUNTIF(K21:K22,"Emnedag")</f>
        <v>0</v>
      </c>
      <c r="P98" s="105">
        <f>COUNTIF(R19:R20,"Emnedag")</f>
        <v>0</v>
      </c>
      <c r="W98" s="105">
        <f>COUNTIF(Y23:Y24,"Emnedag")</f>
        <v>0</v>
      </c>
      <c r="AD98" s="105">
        <f>COUNTIF(AF21:AF22,"Emnedag")</f>
        <v>0</v>
      </c>
      <c r="AK98" s="105">
        <f>COUNTIF(AM18:AM19,"Emnedag")</f>
        <v>0</v>
      </c>
      <c r="AR98" s="105">
        <f>COUNTIF(AT22:AT23,"Emnedag")</f>
        <v>0</v>
      </c>
      <c r="AY98" s="105">
        <f>COUNTIF(BA22:BA23,"Emnedag")</f>
        <v>0</v>
      </c>
      <c r="BF98" s="105">
        <f>COUNTIF(BH19:BH20,"Emnedag")</f>
        <v>0</v>
      </c>
      <c r="BM98" s="105">
        <f>COUNTIF(BO24:BO25,"Emnedag")</f>
        <v>0</v>
      </c>
      <c r="BT98" s="105">
        <f>COUNTIF(BV21:BV22,"Emnedag")</f>
        <v>0</v>
      </c>
      <c r="CA98" s="105">
        <f>COUNTIF(CC19:CC20,"Emnedag")</f>
        <v>0</v>
      </c>
      <c r="CI98" s="105">
        <f t="shared" ref="CI98:CI116" si="41">SUM(A98:CH98)</f>
        <v>0</v>
      </c>
    </row>
    <row r="99" spans="1:87">
      <c r="A99" s="188"/>
      <c r="B99" s="105">
        <f>COUNTIF(D31:D32,"Emnedag")</f>
        <v>0</v>
      </c>
      <c r="I99" s="105">
        <f>COUNTIF(K28:K29,"Emnedag")</f>
        <v>0</v>
      </c>
      <c r="P99" s="105">
        <f>COUNTIF(R26:R27,"Emnedag")</f>
        <v>0</v>
      </c>
      <c r="W99" s="105">
        <f>COUNTIF(Y30:Y31,"Emnedag")</f>
        <v>0</v>
      </c>
      <c r="AD99" s="105">
        <f>COUNTIF(AF28:AF29,"Emnedag")</f>
        <v>0</v>
      </c>
      <c r="AK99" s="105">
        <f>COUNTIF(AM25:AM26,"Emnedag")</f>
        <v>0</v>
      </c>
      <c r="AR99" s="105">
        <f>COUNTIF(AT29:AT30,"Emnedag")</f>
        <v>0</v>
      </c>
      <c r="AY99" s="105">
        <f>COUNTIF(BA29:BA30,"Emnedag")</f>
        <v>0</v>
      </c>
      <c r="BF99" s="105">
        <f>COUNTIF(BH26:BH27,"Emnedag")</f>
        <v>0</v>
      </c>
      <c r="BM99" s="105">
        <f>COUNTIF(BO31:BO32,"Emnedag")</f>
        <v>0</v>
      </c>
      <c r="BT99" s="105">
        <f>COUNTIF(BV28:BV29,"Emnedag")</f>
        <v>0</v>
      </c>
      <c r="CA99" s="105">
        <f>COUNTIF(CC26:CC27,"Emnedag")</f>
        <v>0</v>
      </c>
      <c r="CI99" s="105">
        <f t="shared" si="41"/>
        <v>0</v>
      </c>
    </row>
    <row r="100" spans="1:87">
      <c r="A100" s="188"/>
      <c r="AD100" s="105">
        <f>COUNTIF(AF35,"Emnedag")</f>
        <v>0</v>
      </c>
      <c r="AK100" s="105">
        <f>COUNTIF(AM32:AM33,"Emnedag")</f>
        <v>0</v>
      </c>
      <c r="BF100" s="105">
        <f>COUNTIF(BH33:BH34,"Emnedag")</f>
        <v>0</v>
      </c>
      <c r="CA100" s="105">
        <f>COUNTIF(CC33:CC34,"Emnedag")</f>
        <v>0</v>
      </c>
      <c r="CI100" s="105">
        <f t="shared" si="41"/>
        <v>0</v>
      </c>
    </row>
    <row r="101" spans="1:87">
      <c r="A101" s="188"/>
      <c r="B101" s="109" t="s">
        <v>251</v>
      </c>
      <c r="I101" s="109" t="s">
        <v>251</v>
      </c>
      <c r="P101" s="109" t="s">
        <v>251</v>
      </c>
      <c r="W101" s="109" t="s">
        <v>251</v>
      </c>
      <c r="AD101" s="109" t="s">
        <v>251</v>
      </c>
      <c r="AK101" s="109" t="s">
        <v>251</v>
      </c>
      <c r="AR101" s="109" t="s">
        <v>251</v>
      </c>
      <c r="AY101" s="109" t="s">
        <v>251</v>
      </c>
      <c r="BF101" s="109" t="s">
        <v>251</v>
      </c>
      <c r="BM101" s="109" t="s">
        <v>251</v>
      </c>
      <c r="BT101" s="109" t="s">
        <v>251</v>
      </c>
      <c r="CA101" s="109" t="s">
        <v>251</v>
      </c>
      <c r="CI101" s="105">
        <f t="shared" si="41"/>
        <v>0</v>
      </c>
    </row>
    <row r="102" spans="1:87">
      <c r="A102" s="188"/>
      <c r="B102" s="105">
        <f>COUNTIF(D10:D11,"Lejrskole")</f>
        <v>0</v>
      </c>
      <c r="I102" s="105">
        <f>COUNTIF(K7:K8,"Lejrskole")</f>
        <v>0</v>
      </c>
      <c r="P102" s="105">
        <f>COUNTIF(R5:R6,"Lejrskole")</f>
        <v>0</v>
      </c>
      <c r="W102" s="105">
        <f>COUNTIF(Y9:Y10,"Lejrskole")</f>
        <v>0</v>
      </c>
      <c r="AD102" s="105">
        <f>COUNTIF(AF7:AF8,"Lejrskole")</f>
        <v>0</v>
      </c>
      <c r="AK102" s="105">
        <f>COUNTIF(AM5,"Lejrskole")</f>
        <v>0</v>
      </c>
      <c r="AR102" s="105">
        <f>COUNTIF(AT8:AT9,"Lejrskole")</f>
        <v>0</v>
      </c>
      <c r="AY102" s="105">
        <f>COUNTIF(BA8:BA9,"Lejrskole")</f>
        <v>0</v>
      </c>
      <c r="BF102" s="105">
        <f>COUNTIF(BH5:BH6,"Lejrskole")</f>
        <v>0</v>
      </c>
      <c r="BM102" s="105">
        <f>COUNTIF(BO10:BO11,"Lejrskole")</f>
        <v>0</v>
      </c>
      <c r="BT102" s="105">
        <f>COUNTIF(BV7:BV8,"Lejrskole")</f>
        <v>0</v>
      </c>
      <c r="CA102" s="105">
        <f>COUNTIF(CC5:CC6,"Lejrskole")</f>
        <v>0</v>
      </c>
      <c r="CI102" s="105">
        <f t="shared" si="41"/>
        <v>0</v>
      </c>
    </row>
    <row r="103" spans="1:87">
      <c r="A103" s="188"/>
      <c r="B103" s="105">
        <f>COUNTIF(D17:D18,"Lejrskole")</f>
        <v>0</v>
      </c>
      <c r="I103" s="105">
        <f>COUNTIF(K14:K15,"Lejrskole")</f>
        <v>0</v>
      </c>
      <c r="P103" s="105">
        <f>COUNTIF(R12:R13,"Lejrskole")</f>
        <v>0</v>
      </c>
      <c r="W103" s="105">
        <f>COUNTIF(Y16:Y17,"Lejrskole")</f>
        <v>0</v>
      </c>
      <c r="AD103" s="105">
        <f>COUNTIF(AF14:AF15,"Lejrskole")</f>
        <v>0</v>
      </c>
      <c r="AK103" s="105">
        <f>COUNTIF(AM11:AM12,"Lejrskole")</f>
        <v>0</v>
      </c>
      <c r="AR103" s="105">
        <f>COUNTIF(AT15:AT16,"Lejrskole")</f>
        <v>0</v>
      </c>
      <c r="AY103" s="105">
        <f>COUNTIF(BA15:BA16,"Lejrskole")</f>
        <v>0</v>
      </c>
      <c r="BF103" s="105">
        <f>COUNTIF(BH12:BH13,"Lejrskole")</f>
        <v>0</v>
      </c>
      <c r="BM103" s="105">
        <f>COUNTIF(BO17:BO18,"Lejrskole")</f>
        <v>0</v>
      </c>
      <c r="BT103" s="105">
        <f>COUNTIF(BV14:BV15,"Lejrskole")</f>
        <v>0</v>
      </c>
      <c r="CA103" s="105">
        <f>COUNTIF(CC12:CC13,"Lejrskole")</f>
        <v>0</v>
      </c>
      <c r="CI103" s="105">
        <f t="shared" si="41"/>
        <v>0</v>
      </c>
    </row>
    <row r="104" spans="1:87">
      <c r="A104" s="188"/>
      <c r="B104" s="105">
        <f>COUNTIF(D24:D25,"Lejrskole")</f>
        <v>0</v>
      </c>
      <c r="I104" s="105">
        <f>COUNTIF(K21:K22,"Lejrskole")</f>
        <v>0</v>
      </c>
      <c r="P104" s="105">
        <f>COUNTIF(R19:R20,"Lejrskole")</f>
        <v>0</v>
      </c>
      <c r="W104" s="105">
        <f>COUNTIF(Y23:Y24,"Lejrskole")</f>
        <v>0</v>
      </c>
      <c r="AD104" s="105">
        <f>COUNTIF(AF21:AF22,"Lejrskole")</f>
        <v>0</v>
      </c>
      <c r="AK104" s="105">
        <f>COUNTIF(AM18:AM19,"Lejrskole")</f>
        <v>0</v>
      </c>
      <c r="AR104" s="105">
        <f>COUNTIF(AT22:AT23,"Lejrskole")</f>
        <v>0</v>
      </c>
      <c r="AY104" s="105">
        <f>COUNTIF(BA22:BA23,"Lejrskole")</f>
        <v>0</v>
      </c>
      <c r="BF104" s="105">
        <f>COUNTIF(BH19:BH20,"Lejrskole")</f>
        <v>0</v>
      </c>
      <c r="BM104" s="105">
        <f>COUNTIF(BO24:BO25,"Lejrskole")</f>
        <v>0</v>
      </c>
      <c r="BT104" s="105">
        <f>COUNTIF(BV21:BV22,"Lejrskole")</f>
        <v>0</v>
      </c>
      <c r="CA104" s="105">
        <f>COUNTIF(CC19:CC20,"Lejrskole")</f>
        <v>0</v>
      </c>
      <c r="CI104" s="105">
        <f t="shared" si="41"/>
        <v>0</v>
      </c>
    </row>
    <row r="105" spans="1:87">
      <c r="A105" s="188"/>
      <c r="B105" s="105">
        <f>COUNTIF(D31:D32,"Lejrskole")</f>
        <v>0</v>
      </c>
      <c r="I105" s="105">
        <f>COUNTIF(K28:K29,"Lejrskole")</f>
        <v>0</v>
      </c>
      <c r="P105" s="105">
        <f>COUNTIF(R26:R27,"Lejrskole")</f>
        <v>0</v>
      </c>
      <c r="W105" s="105">
        <f>COUNTIF(Y30:Y31,"Lejrskole")</f>
        <v>0</v>
      </c>
      <c r="AD105" s="105">
        <f>COUNTIF(AF28:AF29,"Lejrskole")</f>
        <v>0</v>
      </c>
      <c r="AK105" s="105">
        <f>COUNTIF(AM25:AM26,"Lejrskole")</f>
        <v>0</v>
      </c>
      <c r="AR105" s="105">
        <f>COUNTIF(AT29:AT30,"Lejrskole")</f>
        <v>0</v>
      </c>
      <c r="AY105" s="105">
        <f>COUNTIF(BA29:BA30,"Lejrskole")</f>
        <v>0</v>
      </c>
      <c r="BF105" s="105">
        <f>COUNTIF(BH26:BH27,"Lejrskole")</f>
        <v>0</v>
      </c>
      <c r="BM105" s="105">
        <f>COUNTIF(BO31:BO32,"Lejrskole")</f>
        <v>0</v>
      </c>
      <c r="BT105" s="105">
        <f>COUNTIF(BV28:BV29,"Lejrskole")</f>
        <v>0</v>
      </c>
      <c r="CA105" s="105">
        <f>COUNTIF(CC26:CC27,"Lejrskole")</f>
        <v>0</v>
      </c>
      <c r="CI105" s="105">
        <f t="shared" si="41"/>
        <v>0</v>
      </c>
    </row>
    <row r="106" spans="1:87">
      <c r="A106" s="188"/>
      <c r="AD106" s="105">
        <f>COUNTIF(AF35,"Lejrskole")</f>
        <v>0</v>
      </c>
      <c r="AK106" s="105">
        <f>COUNTIF(AM32:AM33,"Lejrskole")</f>
        <v>0</v>
      </c>
      <c r="BF106" s="105">
        <f>COUNTIF(BH33:BH34,"Lejrskole")</f>
        <v>0</v>
      </c>
      <c r="CA106" s="105">
        <f>COUNTIF(CC33:CC34,"Lejrskole")</f>
        <v>0</v>
      </c>
      <c r="CI106" s="105">
        <f t="shared" si="41"/>
        <v>0</v>
      </c>
    </row>
    <row r="107" spans="1:87">
      <c r="A107" s="188"/>
      <c r="B107" s="109" t="s">
        <v>157</v>
      </c>
      <c r="I107" s="109" t="s">
        <v>157</v>
      </c>
      <c r="P107" s="109" t="s">
        <v>157</v>
      </c>
      <c r="W107" s="109" t="s">
        <v>157</v>
      </c>
      <c r="AD107" s="109" t="s">
        <v>157</v>
      </c>
      <c r="AK107" s="109" t="s">
        <v>157</v>
      </c>
      <c r="AR107" s="109" t="s">
        <v>157</v>
      </c>
      <c r="AY107" s="109" t="s">
        <v>157</v>
      </c>
      <c r="BF107" s="109" t="s">
        <v>157</v>
      </c>
      <c r="BM107" s="109" t="s">
        <v>157</v>
      </c>
      <c r="BT107" s="109" t="s">
        <v>157</v>
      </c>
      <c r="CA107" s="109" t="s">
        <v>157</v>
      </c>
      <c r="CI107" s="105">
        <f t="shared" si="41"/>
        <v>0</v>
      </c>
    </row>
    <row r="108" spans="1:87">
      <c r="B108" s="105">
        <f>COUNTIF(D10:D11,"Ekskursion")</f>
        <v>0</v>
      </c>
      <c r="I108" s="105">
        <f>COUNTIF(K7:K8,"Ekskursion")</f>
        <v>0</v>
      </c>
      <c r="P108" s="105">
        <f>COUNTIF(R5:R6,"Ekskursion")</f>
        <v>0</v>
      </c>
      <c r="W108" s="105">
        <f>COUNTIF(Y9:Y10,"Ekskursion")</f>
        <v>0</v>
      </c>
      <c r="AD108" s="105">
        <f>COUNTIF(AF7:AF8,"Ekskursion")</f>
        <v>0</v>
      </c>
      <c r="AK108" s="105">
        <f>COUNTIF(AM5,"Ekskursion")</f>
        <v>0</v>
      </c>
      <c r="AR108" s="105">
        <f>COUNTIF(AT8:AT9,"Ekskursion")</f>
        <v>0</v>
      </c>
      <c r="AY108" s="105">
        <f>COUNTIF(BA8:BA9,"Ekskursion")</f>
        <v>0</v>
      </c>
      <c r="BF108" s="105">
        <f>COUNTIF(BH5:BH6,"Ekskursion")</f>
        <v>0</v>
      </c>
      <c r="BM108" s="105">
        <f>COUNTIF(BO10:BO11,"Ekskursion")</f>
        <v>0</v>
      </c>
      <c r="BT108" s="105">
        <f>COUNTIF(BV7:BV8,"Ekskursion")</f>
        <v>0</v>
      </c>
      <c r="CA108" s="105">
        <f>COUNTIF(CC5:CC6,"Ekskursion")</f>
        <v>0</v>
      </c>
      <c r="CI108" s="105">
        <f t="shared" si="41"/>
        <v>0</v>
      </c>
    </row>
    <row r="109" spans="1:87">
      <c r="B109" s="105">
        <f>COUNTIF(D17:D18,"Ekskursion")</f>
        <v>0</v>
      </c>
      <c r="I109" s="105">
        <f>COUNTIF(K14:K15,"Ekskursion")</f>
        <v>0</v>
      </c>
      <c r="P109" s="105">
        <f>COUNTIF(R12:R13,"Ekskursion")</f>
        <v>0</v>
      </c>
      <c r="W109" s="105">
        <f>COUNTIF(Y16:Y17,"Ekskursion")</f>
        <v>0</v>
      </c>
      <c r="AD109" s="105">
        <f>COUNTIF(AF14:AF15,"Ekskursion")</f>
        <v>0</v>
      </c>
      <c r="AK109" s="105">
        <f>COUNTIF(AM11:AM12,"Ekskursion")</f>
        <v>0</v>
      </c>
      <c r="AR109" s="105">
        <f>COUNTIF(AT15:AT16,"Ekskursion")</f>
        <v>0</v>
      </c>
      <c r="AY109" s="105">
        <f>COUNTIF(BA15:BA16,"Ekskursion")</f>
        <v>0</v>
      </c>
      <c r="BF109" s="105">
        <f>COUNTIF(BH12:BH13,"Ekskursion")</f>
        <v>0</v>
      </c>
      <c r="BM109" s="105">
        <f>COUNTIF(BO17:BO18,"Ekskursion")</f>
        <v>0</v>
      </c>
      <c r="BT109" s="105">
        <f>COUNTIF(BV14:BV15,"Ekskursion")</f>
        <v>0</v>
      </c>
      <c r="CA109" s="105">
        <f>COUNTIF(CC12:CC13,"Ekskursion")</f>
        <v>0</v>
      </c>
      <c r="CI109" s="105">
        <f t="shared" si="41"/>
        <v>0</v>
      </c>
    </row>
    <row r="110" spans="1:87">
      <c r="B110" s="105">
        <f>COUNTIF(D24:D25,"Ekskursion")</f>
        <v>0</v>
      </c>
      <c r="I110" s="105">
        <f>COUNTIF(K21:K22,"Ekskursion")</f>
        <v>0</v>
      </c>
      <c r="P110" s="105">
        <f>COUNTIF(R19:R20,"Ekskursion")</f>
        <v>0</v>
      </c>
      <c r="W110" s="105">
        <f>COUNTIF(Y23:Y24,"Ekskursion")</f>
        <v>0</v>
      </c>
      <c r="AD110" s="105">
        <f>COUNTIF(AF21:AF22,"Ekskursion")</f>
        <v>0</v>
      </c>
      <c r="AK110" s="105">
        <f>COUNTIF(AM18:AM19,"Ekskursion")</f>
        <v>0</v>
      </c>
      <c r="AR110" s="105">
        <f>COUNTIF(AT22:AT23,"Ekskursion")</f>
        <v>0</v>
      </c>
      <c r="AY110" s="105">
        <f>COUNTIF(BA22:BA23,"Ekskursion")</f>
        <v>0</v>
      </c>
      <c r="BF110" s="105">
        <f>COUNTIF(BH19:BH20,"Ekskursion")</f>
        <v>0</v>
      </c>
      <c r="BM110" s="105">
        <f>COUNTIF(BO24:BO25,"Ekskursion")</f>
        <v>0</v>
      </c>
      <c r="BT110" s="105">
        <f>COUNTIF(BV21:BV22,"Ekskursion")</f>
        <v>0</v>
      </c>
      <c r="CA110" s="105">
        <f>COUNTIF(CC19:CC20,"Ekskursion")</f>
        <v>0</v>
      </c>
      <c r="CI110" s="105">
        <f t="shared" si="41"/>
        <v>0</v>
      </c>
    </row>
    <row r="111" spans="1:87">
      <c r="B111" s="105">
        <f>COUNTIF(D31:D32,"Ekskursion")</f>
        <v>0</v>
      </c>
      <c r="I111" s="105">
        <f>COUNTIF(K28:K29,"Ekskursion")</f>
        <v>0</v>
      </c>
      <c r="P111" s="105">
        <f>COUNTIF(R26:R27,"Ekskursion")</f>
        <v>0</v>
      </c>
      <c r="W111" s="105">
        <f>COUNTIF(Y30:Y31,"Ekskursion")</f>
        <v>0</v>
      </c>
      <c r="AD111" s="105">
        <f>COUNTIF(AF28:AF29,"Ekskursion")</f>
        <v>0</v>
      </c>
      <c r="AK111" s="105">
        <f>COUNTIF(AM25:AM26,"Ekskursion")</f>
        <v>0</v>
      </c>
      <c r="AR111" s="105">
        <f>COUNTIF(AT29:AT30,"Ekskursion")</f>
        <v>0</v>
      </c>
      <c r="AY111" s="105">
        <f>COUNTIF(BA29:BA30,"Ekskursion")</f>
        <v>0</v>
      </c>
      <c r="BF111" s="105">
        <f>COUNTIF(BH26:BH27,"Ekskursion")</f>
        <v>0</v>
      </c>
      <c r="BM111" s="105">
        <f>COUNTIF(BO31:BO32,"Ekskursion")</f>
        <v>0</v>
      </c>
      <c r="BT111" s="105">
        <f>COUNTIF(BV28:BV29,"Ekskursion")</f>
        <v>0</v>
      </c>
      <c r="CA111" s="105">
        <f>COUNTIF(CC26:CC27,"Ekskursion")</f>
        <v>0</v>
      </c>
      <c r="CI111" s="105">
        <f t="shared" si="41"/>
        <v>0</v>
      </c>
    </row>
    <row r="112" spans="1:87">
      <c r="AD112" s="105">
        <f>COUNTIF(AF35,"Ekskursion")</f>
        <v>0</v>
      </c>
      <c r="AK112" s="105">
        <f>COUNTIF(AM32:AM33,"Ekskursion")</f>
        <v>0</v>
      </c>
      <c r="BF112" s="105">
        <f>COUNTIF(BH33:BH34,"Ekskursion")</f>
        <v>0</v>
      </c>
      <c r="CA112" s="105">
        <f>COUNTIF(CC33:CC34,"Ekskursion")</f>
        <v>0</v>
      </c>
      <c r="CI112" s="105">
        <f t="shared" si="41"/>
        <v>0</v>
      </c>
    </row>
    <row r="113" spans="2:89">
      <c r="B113" s="109" t="s">
        <v>252</v>
      </c>
      <c r="I113" s="109" t="s">
        <v>252</v>
      </c>
      <c r="P113" s="109" t="s">
        <v>252</v>
      </c>
      <c r="W113" s="109" t="s">
        <v>252</v>
      </c>
      <c r="AD113" s="109" t="s">
        <v>252</v>
      </c>
      <c r="AK113" s="109" t="s">
        <v>252</v>
      </c>
      <c r="AR113" s="109" t="s">
        <v>252</v>
      </c>
      <c r="AY113" s="109" t="s">
        <v>252</v>
      </c>
      <c r="BF113" s="109" t="s">
        <v>252</v>
      </c>
      <c r="BM113" s="109" t="s">
        <v>252</v>
      </c>
      <c r="BT113" s="109" t="s">
        <v>252</v>
      </c>
      <c r="CA113" s="109" t="s">
        <v>252</v>
      </c>
      <c r="CI113" s="105">
        <f t="shared" si="41"/>
        <v>0</v>
      </c>
    </row>
    <row r="114" spans="2:89">
      <c r="B114" s="105">
        <f>COUNTIF(D10:D11,"Pæd.dag")</f>
        <v>0</v>
      </c>
      <c r="I114" s="105">
        <f>COUNTIF(K7:K8,"Pæd.dag")</f>
        <v>0</v>
      </c>
      <c r="P114" s="105">
        <f>COUNTIF(R5:R6,"Pæd.dag")</f>
        <v>0</v>
      </c>
      <c r="W114" s="105">
        <f>COUNTIF(Y9:Y10,"Pæd.dag")</f>
        <v>0</v>
      </c>
      <c r="AD114" s="105">
        <f>COUNTIF(AF7:AF8,"Pæd.dag")</f>
        <v>0</v>
      </c>
      <c r="AK114" s="105">
        <f>COUNTIF(AM5,"Pæd.dag")</f>
        <v>0</v>
      </c>
      <c r="AR114" s="105">
        <f>COUNTIF(AT8:AT9,"Pæd.dag")</f>
        <v>0</v>
      </c>
      <c r="AY114" s="105">
        <f>COUNTIF(BA8:BA9,"Pæd.dag")</f>
        <v>0</v>
      </c>
      <c r="BF114" s="105">
        <f>COUNTIF(BH5:BH6,"Pæd.dag")</f>
        <v>0</v>
      </c>
      <c r="BM114" s="105">
        <f>COUNTIF(BO10:BO11,"Pæd.dag")</f>
        <v>0</v>
      </c>
      <c r="BT114" s="105">
        <f>COUNTIF(BV7:BV8,"Pæd.dag")</f>
        <v>0</v>
      </c>
      <c r="CA114" s="105">
        <f>COUNTIF(CC5:CC6,"Pæd.dag")</f>
        <v>0</v>
      </c>
      <c r="CI114" s="105">
        <f t="shared" si="41"/>
        <v>0</v>
      </c>
    </row>
    <row r="115" spans="2:89">
      <c r="B115" s="105">
        <f>COUNTIF(D17:D18,"Pæd.dag")</f>
        <v>0</v>
      </c>
      <c r="I115" s="105">
        <f>COUNTIF(K14:K15,"Pæd.dag")</f>
        <v>0</v>
      </c>
      <c r="P115" s="105">
        <f>COUNTIF(R12:R13,"Pæd.dag")</f>
        <v>0</v>
      </c>
      <c r="W115" s="105">
        <f>COUNTIF(Y16:Y17,"Pæd.dag")</f>
        <v>0</v>
      </c>
      <c r="AD115" s="105">
        <f>COUNTIF(AF14:AF15,"Pæd.dag")</f>
        <v>0</v>
      </c>
      <c r="AK115" s="105">
        <f>COUNTIF(AM11:AM12,"Pæd.dag")</f>
        <v>0</v>
      </c>
      <c r="AR115" s="105">
        <f>COUNTIF(AT15:AT16,"Pæd.dag")</f>
        <v>0</v>
      </c>
      <c r="AY115" s="105">
        <f>COUNTIF(BA15:BA16,"Pæd.dag")</f>
        <v>0</v>
      </c>
      <c r="BF115" s="105">
        <f>COUNTIF(BH12:BH13,"Pæd.dag")</f>
        <v>0</v>
      </c>
      <c r="BM115" s="105">
        <f>COUNTIF(BO17:BO18,"Pæd.dag")</f>
        <v>0</v>
      </c>
      <c r="BT115" s="105">
        <f>COUNTIF(BV14:BV15,"Pæd.dag")</f>
        <v>0</v>
      </c>
      <c r="CA115" s="105">
        <f>COUNTIF(CC12:CC13,"Pæd.dag")</f>
        <v>0</v>
      </c>
      <c r="CI115" s="105">
        <f t="shared" si="41"/>
        <v>0</v>
      </c>
    </row>
    <row r="116" spans="2:89">
      <c r="B116" s="105">
        <f>COUNTIF(D24:D25,"Pæd.dag")</f>
        <v>0</v>
      </c>
      <c r="I116" s="105">
        <f>COUNTIF(K21:K22,"Pæd.dag")</f>
        <v>0</v>
      </c>
      <c r="P116" s="105">
        <f>COUNTIF(R19:R20,"Pæd.dag")</f>
        <v>0</v>
      </c>
      <c r="W116" s="105">
        <f>COUNTIF(Y23:Y24,"Pæd.dag")</f>
        <v>0</v>
      </c>
      <c r="AD116" s="105">
        <f>COUNTIF(AF21:AF22,"Pæd.dag")</f>
        <v>0</v>
      </c>
      <c r="AK116" s="105">
        <f>COUNTIF(AM18:AM19,"Pæd.dag")</f>
        <v>0</v>
      </c>
      <c r="AR116" s="105">
        <f>COUNTIF(AT22:AT23,"Pæd.dag")</f>
        <v>0</v>
      </c>
      <c r="AY116" s="105">
        <f>COUNTIF(BA22:BA23,"Pæd.dag")</f>
        <v>0</v>
      </c>
      <c r="BF116" s="105">
        <f>COUNTIF(BH19:BH20,"Pæd.dag")</f>
        <v>0</v>
      </c>
      <c r="BM116" s="105">
        <f>COUNTIF(BO24:BO25,"Pæd.dag")</f>
        <v>0</v>
      </c>
      <c r="BT116" s="105">
        <f>COUNTIF(BV21:BV22,"Pæd.dag")</f>
        <v>0</v>
      </c>
      <c r="CA116" s="105">
        <f>COUNTIF(CC19:CC20,"Pæd.dag")</f>
        <v>0</v>
      </c>
      <c r="CI116" s="105">
        <f t="shared" si="41"/>
        <v>0</v>
      </c>
    </row>
    <row r="117" spans="2:89">
      <c r="B117" s="105">
        <f>COUNTIF(D31:D32,"Pæd.dag")</f>
        <v>0</v>
      </c>
      <c r="I117" s="105">
        <f>COUNTIF(K28:K29,"Pæd.dag")</f>
        <v>0</v>
      </c>
      <c r="P117" s="105">
        <f>COUNTIF(R26:R27,"Pæd.dag")</f>
        <v>0</v>
      </c>
      <c r="W117" s="105">
        <f>COUNTIF(Y30:Y31,"Pæd.dag")</f>
        <v>0</v>
      </c>
      <c r="AD117" s="105">
        <f>COUNTIF(AF28:AF29,"Pæd.dag")</f>
        <v>0</v>
      </c>
      <c r="AK117" s="105">
        <f>COUNTIF(AM25:AM26,"Pæd.dag")</f>
        <v>0</v>
      </c>
      <c r="AR117" s="105">
        <f>COUNTIF(AT29:AT30,"Pæd.dag")</f>
        <v>0</v>
      </c>
      <c r="AY117" s="105">
        <f>COUNTIF(BA29:BA30,"Pæd.dag")</f>
        <v>0</v>
      </c>
      <c r="BF117" s="105">
        <f>COUNTIF(BH26:BH27,"Pæd.dag")</f>
        <v>0</v>
      </c>
      <c r="BM117" s="105">
        <f>COUNTIF(BO31:BO32,"Pæd.dag")</f>
        <v>0</v>
      </c>
      <c r="BT117" s="105">
        <f>COUNTIF(BV28:BV29,"Pæd.dag")</f>
        <v>0</v>
      </c>
      <c r="CA117" s="105">
        <f>COUNTIF(CC26:CC27,"Pæd.dag")</f>
        <v>0</v>
      </c>
      <c r="CI117" s="105">
        <f t="shared" ref="CI117:CI118" si="42">SUM(A117:CH117)</f>
        <v>0</v>
      </c>
    </row>
    <row r="118" spans="2:89">
      <c r="AD118" s="105">
        <f>COUNTIF(AF35,"Pæd.dag")</f>
        <v>0</v>
      </c>
      <c r="AK118" s="105">
        <f>COUNTIF(AM32:AM33,"Pæd.dag")</f>
        <v>0</v>
      </c>
      <c r="BF118" s="105">
        <f>COUNTIF(BH33:BH34,"Pæd.dag")</f>
        <v>0</v>
      </c>
      <c r="BT118" s="428"/>
      <c r="CA118" s="105">
        <f>COUNTIF(CC33:CC34,"Pæd.dag")</f>
        <v>0</v>
      </c>
      <c r="CI118" s="105">
        <f t="shared" si="42"/>
        <v>0</v>
      </c>
    </row>
    <row r="119" spans="2:89" ht="14" thickBot="1">
      <c r="P119" s="394">
        <f>SUM(P66:P118)</f>
        <v>0</v>
      </c>
      <c r="W119" s="394">
        <f>SUM(W66:W117)</f>
        <v>0</v>
      </c>
      <c r="AD119" s="394">
        <f>SUM(AD67:AD118)</f>
        <v>0</v>
      </c>
      <c r="AK119" s="394">
        <f>SUM(AK67:AK118)</f>
        <v>0</v>
      </c>
      <c r="AR119" s="394">
        <f>SUM(AR66:AR118)</f>
        <v>0</v>
      </c>
      <c r="AY119" s="394">
        <f>SUM(AY66:AY118)</f>
        <v>0</v>
      </c>
      <c r="BF119" s="394">
        <f>SUM(BF67:BF118)</f>
        <v>0</v>
      </c>
      <c r="BM119" s="394">
        <f>SUM(BM66:BM118)</f>
        <v>0</v>
      </c>
      <c r="BT119" s="427">
        <f>SUM(BT67:BT118)</f>
        <v>0</v>
      </c>
      <c r="CA119" s="427">
        <f>SUM(CA67:CA118)</f>
        <v>0</v>
      </c>
      <c r="CI119" s="394">
        <f>SUM(CI66:CI118)</f>
        <v>0</v>
      </c>
      <c r="CK119" s="105" t="s">
        <v>317</v>
      </c>
    </row>
    <row r="120" spans="2:89" ht="15" thickTop="1" thickBot="1">
      <c r="B120" s="394">
        <f>SUM(B66:B119)</f>
        <v>0</v>
      </c>
      <c r="I120" s="394">
        <f>SUM(I66:I119)</f>
        <v>0</v>
      </c>
      <c r="CK120" s="105">
        <f>SUM(CI66:CI101)</f>
        <v>0</v>
      </c>
    </row>
    <row r="121" spans="2:89" ht="14" thickTop="1"/>
  </sheetData>
  <sheetProtection formatCells="0" formatColumns="0" formatRows="0"/>
  <dataConsolidate/>
  <mergeCells count="413">
    <mergeCell ref="AR38:AT38"/>
    <mergeCell ref="AR39:AT39"/>
    <mergeCell ref="AR40:AT40"/>
    <mergeCell ref="AY38:BA38"/>
    <mergeCell ref="AY39:BA39"/>
    <mergeCell ref="AY40:BA40"/>
    <mergeCell ref="CA38:CC38"/>
    <mergeCell ref="CA39:CC39"/>
    <mergeCell ref="CA40:CC40"/>
    <mergeCell ref="BF38:BH38"/>
    <mergeCell ref="BF39:BH39"/>
    <mergeCell ref="BF40:BH40"/>
    <mergeCell ref="BM38:BO38"/>
    <mergeCell ref="BM39:BO39"/>
    <mergeCell ref="BM40:BO40"/>
    <mergeCell ref="BT38:BV38"/>
    <mergeCell ref="BT39:BV39"/>
    <mergeCell ref="BT40:BV40"/>
    <mergeCell ref="P40:R40"/>
    <mergeCell ref="W38:Y38"/>
    <mergeCell ref="W39:Y39"/>
    <mergeCell ref="W40:Y40"/>
    <mergeCell ref="AD38:AF38"/>
    <mergeCell ref="AD39:AF39"/>
    <mergeCell ref="AD40:AF40"/>
    <mergeCell ref="AK38:AM38"/>
    <mergeCell ref="AK39:AM39"/>
    <mergeCell ref="AK40:AM40"/>
    <mergeCell ref="A6:A15"/>
    <mergeCell ref="A16:A18"/>
    <mergeCell ref="A19:A25"/>
    <mergeCell ref="F23:H23"/>
    <mergeCell ref="F14:H14"/>
    <mergeCell ref="F24:H24"/>
    <mergeCell ref="F25:H25"/>
    <mergeCell ref="P38:R38"/>
    <mergeCell ref="P39:R39"/>
    <mergeCell ref="F17:H17"/>
    <mergeCell ref="F18:H18"/>
    <mergeCell ref="F19:H19"/>
    <mergeCell ref="B38:D38"/>
    <mergeCell ref="B39:D39"/>
    <mergeCell ref="F20:H20"/>
    <mergeCell ref="F21:H21"/>
    <mergeCell ref="F22:H22"/>
    <mergeCell ref="F16:H16"/>
    <mergeCell ref="B40:D40"/>
    <mergeCell ref="I38:K38"/>
    <mergeCell ref="I39:K39"/>
    <mergeCell ref="I40:K40"/>
    <mergeCell ref="M14:O14"/>
    <mergeCell ref="M15:O15"/>
    <mergeCell ref="M16:O16"/>
    <mergeCell ref="A26:A27"/>
    <mergeCell ref="A46:A49"/>
    <mergeCell ref="F30:H30"/>
    <mergeCell ref="F31:H31"/>
    <mergeCell ref="F32:H32"/>
    <mergeCell ref="F33:H33"/>
    <mergeCell ref="F34:H34"/>
    <mergeCell ref="F35:H35"/>
    <mergeCell ref="A28:A29"/>
    <mergeCell ref="F26:H26"/>
    <mergeCell ref="F27:H27"/>
    <mergeCell ref="F28:H28"/>
    <mergeCell ref="F29:H29"/>
    <mergeCell ref="M17:O17"/>
    <mergeCell ref="M18:O18"/>
    <mergeCell ref="M19:O19"/>
    <mergeCell ref="F15:H15"/>
    <mergeCell ref="M3:O4"/>
    <mergeCell ref="F3:H4"/>
    <mergeCell ref="T3:V4"/>
    <mergeCell ref="T5:V5"/>
    <mergeCell ref="T6:V6"/>
    <mergeCell ref="T7:V7"/>
    <mergeCell ref="M11:O11"/>
    <mergeCell ref="M12:O12"/>
    <mergeCell ref="M13:O13"/>
    <mergeCell ref="M5:O5"/>
    <mergeCell ref="M6:O6"/>
    <mergeCell ref="M7:O7"/>
    <mergeCell ref="M8:O8"/>
    <mergeCell ref="M9:O9"/>
    <mergeCell ref="M10:O10"/>
    <mergeCell ref="F5:H5"/>
    <mergeCell ref="F6:H6"/>
    <mergeCell ref="F7:H7"/>
    <mergeCell ref="F8:H8"/>
    <mergeCell ref="F9:H9"/>
    <mergeCell ref="F10:H10"/>
    <mergeCell ref="F11:H11"/>
    <mergeCell ref="F12:H12"/>
    <mergeCell ref="F13:H13"/>
    <mergeCell ref="T32:V32"/>
    <mergeCell ref="T33:V33"/>
    <mergeCell ref="T34:V34"/>
    <mergeCell ref="M29:O29"/>
    <mergeCell ref="M30:O30"/>
    <mergeCell ref="M31:O31"/>
    <mergeCell ref="M20:O20"/>
    <mergeCell ref="M21:O21"/>
    <mergeCell ref="M22:O22"/>
    <mergeCell ref="M23:O23"/>
    <mergeCell ref="M24:O24"/>
    <mergeCell ref="M25:O25"/>
    <mergeCell ref="M26:O26"/>
    <mergeCell ref="M27:O27"/>
    <mergeCell ref="M28:O28"/>
    <mergeCell ref="T25:V25"/>
    <mergeCell ref="M32:O32"/>
    <mergeCell ref="M33:O33"/>
    <mergeCell ref="M34:O34"/>
    <mergeCell ref="AA17:AC17"/>
    <mergeCell ref="AA18:AC18"/>
    <mergeCell ref="AA19:AC19"/>
    <mergeCell ref="T8:V8"/>
    <mergeCell ref="T9:V9"/>
    <mergeCell ref="T10:V10"/>
    <mergeCell ref="T11:V11"/>
    <mergeCell ref="T12:V12"/>
    <mergeCell ref="T13:V13"/>
    <mergeCell ref="T19:V19"/>
    <mergeCell ref="T14:V14"/>
    <mergeCell ref="T15:V15"/>
    <mergeCell ref="T16:V16"/>
    <mergeCell ref="T17:V17"/>
    <mergeCell ref="T18:V18"/>
    <mergeCell ref="AA33:AC33"/>
    <mergeCell ref="AA34:AC34"/>
    <mergeCell ref="AA28:AC28"/>
    <mergeCell ref="AA29:AC29"/>
    <mergeCell ref="AA30:AC30"/>
    <mergeCell ref="AA31:AC31"/>
    <mergeCell ref="AA32:AC32"/>
    <mergeCell ref="T35:V35"/>
    <mergeCell ref="AA3:AC4"/>
    <mergeCell ref="AA5:AC5"/>
    <mergeCell ref="AA6:AC6"/>
    <mergeCell ref="AA7:AC7"/>
    <mergeCell ref="AA8:AC8"/>
    <mergeCell ref="T26:V26"/>
    <mergeCell ref="T27:V27"/>
    <mergeCell ref="T28:V28"/>
    <mergeCell ref="T29:V29"/>
    <mergeCell ref="T30:V30"/>
    <mergeCell ref="T31:V31"/>
    <mergeCell ref="T20:V20"/>
    <mergeCell ref="T21:V21"/>
    <mergeCell ref="T22:V22"/>
    <mergeCell ref="T23:V23"/>
    <mergeCell ref="T24:V24"/>
    <mergeCell ref="AH3:AJ4"/>
    <mergeCell ref="AH5:AJ5"/>
    <mergeCell ref="AH6:AJ6"/>
    <mergeCell ref="AH7:AJ7"/>
    <mergeCell ref="AH8:AJ8"/>
    <mergeCell ref="AH9:AJ9"/>
    <mergeCell ref="AH10:AJ10"/>
    <mergeCell ref="AH11:AJ11"/>
    <mergeCell ref="AA27:AC27"/>
    <mergeCell ref="AA21:AC21"/>
    <mergeCell ref="AA22:AC22"/>
    <mergeCell ref="AA23:AC23"/>
    <mergeCell ref="AA24:AC24"/>
    <mergeCell ref="AA25:AC25"/>
    <mergeCell ref="AA26:AC26"/>
    <mergeCell ref="AA15:AC15"/>
    <mergeCell ref="AA16:AC16"/>
    <mergeCell ref="AA20:AC20"/>
    <mergeCell ref="AA9:AC9"/>
    <mergeCell ref="AA10:AC10"/>
    <mergeCell ref="AA11:AC11"/>
    <mergeCell ref="AA12:AC12"/>
    <mergeCell ref="AA13:AC13"/>
    <mergeCell ref="AA14:AC14"/>
    <mergeCell ref="AH33:AJ33"/>
    <mergeCell ref="AH34:AJ34"/>
    <mergeCell ref="AH35:AJ35"/>
    <mergeCell ref="AH24:AJ24"/>
    <mergeCell ref="AH25:AJ25"/>
    <mergeCell ref="AH26:AJ26"/>
    <mergeCell ref="AH27:AJ27"/>
    <mergeCell ref="AH28:AJ28"/>
    <mergeCell ref="AH29:AJ29"/>
    <mergeCell ref="AH30:AJ30"/>
    <mergeCell ref="AH31:AJ31"/>
    <mergeCell ref="AH32:AJ32"/>
    <mergeCell ref="AH14:AJ14"/>
    <mergeCell ref="AH15:AJ15"/>
    <mergeCell ref="AH16:AJ16"/>
    <mergeCell ref="AH17:AJ17"/>
    <mergeCell ref="AO20:AQ20"/>
    <mergeCell ref="AO21:AQ21"/>
    <mergeCell ref="AO22:AQ22"/>
    <mergeCell ref="AH18:AJ18"/>
    <mergeCell ref="AH19:AJ19"/>
    <mergeCell ref="AH20:AJ20"/>
    <mergeCell ref="AH21:AJ21"/>
    <mergeCell ref="AH22:AJ22"/>
    <mergeCell ref="AH23:AJ23"/>
    <mergeCell ref="AO11:AQ11"/>
    <mergeCell ref="AO12:AQ12"/>
    <mergeCell ref="AO13:AQ13"/>
    <mergeCell ref="AO14:AQ14"/>
    <mergeCell ref="AO15:AQ15"/>
    <mergeCell ref="AO16:AQ16"/>
    <mergeCell ref="AV5:AX5"/>
    <mergeCell ref="AV6:AX6"/>
    <mergeCell ref="AV7:AX7"/>
    <mergeCell ref="AV8:AX8"/>
    <mergeCell ref="AV9:AX9"/>
    <mergeCell ref="AV10:AX10"/>
    <mergeCell ref="AV11:AX11"/>
    <mergeCell ref="AV12:AX12"/>
    <mergeCell ref="AV13:AX13"/>
    <mergeCell ref="AO5:AQ5"/>
    <mergeCell ref="AO6:AQ6"/>
    <mergeCell ref="AO7:AQ7"/>
    <mergeCell ref="AO8:AQ8"/>
    <mergeCell ref="AO9:AQ9"/>
    <mergeCell ref="AO10:AQ10"/>
    <mergeCell ref="AH12:AJ12"/>
    <mergeCell ref="AH13:AJ13"/>
    <mergeCell ref="AV24:AX24"/>
    <mergeCell ref="AV25:AX25"/>
    <mergeCell ref="AV14:AX14"/>
    <mergeCell ref="AV15:AX15"/>
    <mergeCell ref="AV16:AX16"/>
    <mergeCell ref="AV17:AX17"/>
    <mergeCell ref="AV18:AX18"/>
    <mergeCell ref="AV19:AX19"/>
    <mergeCell ref="AO35:AQ35"/>
    <mergeCell ref="AO29:AQ29"/>
    <mergeCell ref="AO30:AQ30"/>
    <mergeCell ref="AO31:AQ31"/>
    <mergeCell ref="AO32:AQ32"/>
    <mergeCell ref="AO33:AQ33"/>
    <mergeCell ref="AO34:AQ34"/>
    <mergeCell ref="AO23:AQ23"/>
    <mergeCell ref="AO24:AQ24"/>
    <mergeCell ref="AO25:AQ25"/>
    <mergeCell ref="AO26:AQ26"/>
    <mergeCell ref="AO27:AQ27"/>
    <mergeCell ref="AO28:AQ28"/>
    <mergeCell ref="AO17:AQ17"/>
    <mergeCell ref="AO18:AQ18"/>
    <mergeCell ref="AO19:AQ19"/>
    <mergeCell ref="BC16:BE16"/>
    <mergeCell ref="BC17:BE17"/>
    <mergeCell ref="BC18:BE18"/>
    <mergeCell ref="BC19:BE19"/>
    <mergeCell ref="AV32:AX32"/>
    <mergeCell ref="BC5:BE5"/>
    <mergeCell ref="BC6:BE6"/>
    <mergeCell ref="BC7:BE7"/>
    <mergeCell ref="BC8:BE8"/>
    <mergeCell ref="BC9:BE9"/>
    <mergeCell ref="BC10:BE10"/>
    <mergeCell ref="BC11:BE11"/>
    <mergeCell ref="BC12:BE12"/>
    <mergeCell ref="BC13:BE13"/>
    <mergeCell ref="AV26:AX26"/>
    <mergeCell ref="AV27:AX27"/>
    <mergeCell ref="AV28:AX28"/>
    <mergeCell ref="AV29:AX29"/>
    <mergeCell ref="AV30:AX30"/>
    <mergeCell ref="AV31:AX31"/>
    <mergeCell ref="AV20:AX20"/>
    <mergeCell ref="AV21:AX21"/>
    <mergeCell ref="AV22:AX22"/>
    <mergeCell ref="AV23:AX23"/>
    <mergeCell ref="BC32:BE32"/>
    <mergeCell ref="BC33:BE33"/>
    <mergeCell ref="BC34:BE34"/>
    <mergeCell ref="BC35:BE35"/>
    <mergeCell ref="BJ5:BL5"/>
    <mergeCell ref="BJ6:BL6"/>
    <mergeCell ref="BJ7:BL7"/>
    <mergeCell ref="BJ8:BL8"/>
    <mergeCell ref="BJ9:BL9"/>
    <mergeCell ref="BJ10:BL10"/>
    <mergeCell ref="BC26:BE26"/>
    <mergeCell ref="BC27:BE27"/>
    <mergeCell ref="BC28:BE28"/>
    <mergeCell ref="BC29:BE29"/>
    <mergeCell ref="BC30:BE30"/>
    <mergeCell ref="BC31:BE31"/>
    <mergeCell ref="BC20:BE20"/>
    <mergeCell ref="BC21:BE21"/>
    <mergeCell ref="BC22:BE22"/>
    <mergeCell ref="BC23:BE23"/>
    <mergeCell ref="BC24:BE24"/>
    <mergeCell ref="BC25:BE25"/>
    <mergeCell ref="BC14:BE14"/>
    <mergeCell ref="BC15:BE15"/>
    <mergeCell ref="BJ32:BL32"/>
    <mergeCell ref="BJ33:BL33"/>
    <mergeCell ref="BJ34:BL34"/>
    <mergeCell ref="BJ23:BL23"/>
    <mergeCell ref="BJ24:BL24"/>
    <mergeCell ref="BJ25:BL25"/>
    <mergeCell ref="BJ26:BL26"/>
    <mergeCell ref="BJ27:BL27"/>
    <mergeCell ref="BJ28:BL28"/>
    <mergeCell ref="BQ5:BS5"/>
    <mergeCell ref="BQ6:BS6"/>
    <mergeCell ref="BQ7:BS7"/>
    <mergeCell ref="BQ8:BS8"/>
    <mergeCell ref="BQ9:BS9"/>
    <mergeCell ref="BQ10:BS10"/>
    <mergeCell ref="BJ29:BL29"/>
    <mergeCell ref="BJ30:BL30"/>
    <mergeCell ref="BJ31:BL31"/>
    <mergeCell ref="BJ17:BL17"/>
    <mergeCell ref="BJ18:BL18"/>
    <mergeCell ref="BJ19:BL19"/>
    <mergeCell ref="BJ20:BL20"/>
    <mergeCell ref="BJ21:BL21"/>
    <mergeCell ref="BJ22:BL22"/>
    <mergeCell ref="BJ11:BL11"/>
    <mergeCell ref="BJ12:BL12"/>
    <mergeCell ref="BJ13:BL13"/>
    <mergeCell ref="BJ14:BL14"/>
    <mergeCell ref="BJ15:BL15"/>
    <mergeCell ref="BJ16:BL16"/>
    <mergeCell ref="BQ27:BS27"/>
    <mergeCell ref="BQ28:BS28"/>
    <mergeCell ref="BQ17:BS17"/>
    <mergeCell ref="BX8:BZ8"/>
    <mergeCell ref="BX9:BZ9"/>
    <mergeCell ref="BX10:BZ10"/>
    <mergeCell ref="BX11:BZ11"/>
    <mergeCell ref="BX12:BZ12"/>
    <mergeCell ref="BX13:BZ13"/>
    <mergeCell ref="BQ29:BS29"/>
    <mergeCell ref="BQ30:BS30"/>
    <mergeCell ref="BQ31:BS31"/>
    <mergeCell ref="BQ11:BS11"/>
    <mergeCell ref="BQ12:BS12"/>
    <mergeCell ref="BQ13:BS13"/>
    <mergeCell ref="BQ14:BS14"/>
    <mergeCell ref="BQ16:BS16"/>
    <mergeCell ref="BQ18:BS18"/>
    <mergeCell ref="BQ19:BS19"/>
    <mergeCell ref="BQ20:BS20"/>
    <mergeCell ref="CE3:CG4"/>
    <mergeCell ref="CE5:CG5"/>
    <mergeCell ref="CE6:CG6"/>
    <mergeCell ref="CE7:CG7"/>
    <mergeCell ref="CE8:CG8"/>
    <mergeCell ref="CE9:CG9"/>
    <mergeCell ref="CE10:CG10"/>
    <mergeCell ref="BX26:BZ26"/>
    <mergeCell ref="BX27:BZ27"/>
    <mergeCell ref="BX20:BZ20"/>
    <mergeCell ref="BX21:BZ21"/>
    <mergeCell ref="BX22:BZ22"/>
    <mergeCell ref="BX23:BZ23"/>
    <mergeCell ref="BX24:BZ24"/>
    <mergeCell ref="BX25:BZ25"/>
    <mergeCell ref="BX14:BZ14"/>
    <mergeCell ref="BX15:BZ15"/>
    <mergeCell ref="BX16:BZ16"/>
    <mergeCell ref="BX17:BZ17"/>
    <mergeCell ref="BX18:BZ18"/>
    <mergeCell ref="BX19:BZ19"/>
    <mergeCell ref="BX5:BZ5"/>
    <mergeCell ref="BX6:BZ6"/>
    <mergeCell ref="BX7:BZ7"/>
    <mergeCell ref="CE11:CG11"/>
    <mergeCell ref="CE12:CG12"/>
    <mergeCell ref="CE13:CG13"/>
    <mergeCell ref="CE14:CG14"/>
    <mergeCell ref="CE15:CG15"/>
    <mergeCell ref="CE16:CG16"/>
    <mergeCell ref="BQ15:BS15"/>
    <mergeCell ref="BX32:BZ32"/>
    <mergeCell ref="BX33:BZ33"/>
    <mergeCell ref="BQ23:BS23"/>
    <mergeCell ref="BQ24:BS24"/>
    <mergeCell ref="BQ25:BS25"/>
    <mergeCell ref="BQ26:BS26"/>
    <mergeCell ref="BQ21:BS21"/>
    <mergeCell ref="BQ22:BS22"/>
    <mergeCell ref="CE23:CG23"/>
    <mergeCell ref="CE24:CG24"/>
    <mergeCell ref="CE25:CG25"/>
    <mergeCell ref="CE26:CG26"/>
    <mergeCell ref="CE27:CG27"/>
    <mergeCell ref="CE28:CG28"/>
    <mergeCell ref="BQ33:BS33"/>
    <mergeCell ref="CE17:CG17"/>
    <mergeCell ref="CE18:CG18"/>
    <mergeCell ref="CE19:CG19"/>
    <mergeCell ref="CE20:CG20"/>
    <mergeCell ref="CE21:CG21"/>
    <mergeCell ref="CE22:CG22"/>
    <mergeCell ref="BX34:BZ34"/>
    <mergeCell ref="BX28:BZ28"/>
    <mergeCell ref="BX29:BZ29"/>
    <mergeCell ref="BX30:BZ30"/>
    <mergeCell ref="BX31:BZ31"/>
    <mergeCell ref="BQ35:BS35"/>
    <mergeCell ref="BQ32:BS32"/>
    <mergeCell ref="CE35:CG35"/>
    <mergeCell ref="CE29:CG29"/>
    <mergeCell ref="CE30:CG30"/>
    <mergeCell ref="CE31:CG31"/>
    <mergeCell ref="CE32:CG32"/>
    <mergeCell ref="CE33:CG33"/>
    <mergeCell ref="CE34:CG34"/>
    <mergeCell ref="BQ34:BS34"/>
  </mergeCells>
  <phoneticPr fontId="5" type="noConversion"/>
  <conditionalFormatting sqref="I5:M34">
    <cfRule type="expression" dxfId="1072" priority="31">
      <formula>OR($K5="Skema 2")</formula>
    </cfRule>
    <cfRule type="expression" dxfId="1071" priority="32">
      <formula>OR($K5="Skema 3")</formula>
    </cfRule>
    <cfRule type="expression" dxfId="1070" priority="33">
      <formula>OR($K5="Skema 4")</formula>
    </cfRule>
    <cfRule type="expression" dxfId="1069" priority="47">
      <formula>OR($K5="Ikke relevant")</formula>
    </cfRule>
    <cfRule type="expression" dxfId="1068" priority="189">
      <formula>OR($K5="pæd.dag")</formula>
    </cfRule>
    <cfRule type="expression" dxfId="1067" priority="190">
      <formula>OR($K5="nul-dag")</formula>
    </cfRule>
    <cfRule type="expression" dxfId="1066" priority="191">
      <formula>OR($K5="SH-dag")</formula>
    </cfRule>
    <cfRule type="expression" dxfId="1065" priority="192">
      <formula>OR($K5="ekskursion")</formula>
    </cfRule>
    <cfRule type="expression" dxfId="1064" priority="193">
      <formula>OR($K5="lejrskole")</formula>
    </cfRule>
    <cfRule type="expression" dxfId="1063" priority="194">
      <formula>OR($K5="emnedag")</formula>
    </cfRule>
    <cfRule type="expression" dxfId="1062" priority="195">
      <formula>OR($K5="fagdag")</formula>
    </cfRule>
    <cfRule type="expression" dxfId="1061" priority="196">
      <formula>OR($K5="feriedag")</formula>
    </cfRule>
    <cfRule type="expression" dxfId="1060" priority="197">
      <formula>OR($K5="weekend")</formula>
    </cfRule>
    <cfRule type="expression" dxfId="1059" priority="198" stopIfTrue="1">
      <formula>OR($K5="Skema 1")</formula>
    </cfRule>
  </conditionalFormatting>
  <conditionalFormatting sqref="P5:T35">
    <cfRule type="expression" dxfId="1058" priority="28" stopIfTrue="1">
      <formula>OR($R5="Skema 2")</formula>
    </cfRule>
    <cfRule type="expression" dxfId="1057" priority="29" stopIfTrue="1">
      <formula>OR($R5="Skema 3")</formula>
    </cfRule>
    <cfRule type="expression" dxfId="1056" priority="30" stopIfTrue="1">
      <formula>OR($R5="Skema 4")</formula>
    </cfRule>
    <cfRule type="expression" dxfId="1055" priority="46">
      <formula>OR($R5="Ikke relevant")</formula>
    </cfRule>
    <cfRule type="expression" dxfId="1054" priority="179">
      <formula>OR($R5="pæd.dag")</formula>
    </cfRule>
    <cfRule type="expression" dxfId="1053" priority="180">
      <formula>OR($R5="nul-dag")</formula>
    </cfRule>
    <cfRule type="expression" dxfId="1052" priority="181">
      <formula>OR($R5="SH-dag")</formula>
    </cfRule>
    <cfRule type="expression" dxfId="1051" priority="182">
      <formula>OR($R5="ekskursion")</formula>
    </cfRule>
    <cfRule type="expression" dxfId="1050" priority="183">
      <formula>OR($R5="lejrskole")</formula>
    </cfRule>
    <cfRule type="expression" dxfId="1049" priority="184">
      <formula>OR($R5="emnedag")</formula>
    </cfRule>
    <cfRule type="expression" dxfId="1048" priority="185">
      <formula>OR($R5="fagdag")</formula>
    </cfRule>
    <cfRule type="expression" dxfId="1047" priority="186">
      <formula>OR($R5="feriedag")</formula>
    </cfRule>
    <cfRule type="expression" dxfId="1046" priority="187">
      <formula>OR($R5="weekend")</formula>
    </cfRule>
    <cfRule type="expression" dxfId="1045" priority="188" stopIfTrue="1">
      <formula>OR($R5="Skema 1")</formula>
    </cfRule>
  </conditionalFormatting>
  <conditionalFormatting sqref="W5:AA34">
    <cfRule type="expression" dxfId="1044" priority="25">
      <formula>OR($Y5="Skema 2")</formula>
    </cfRule>
    <cfRule type="expression" dxfId="1043" priority="26">
      <formula>OR($Y5="Skema 3")</formula>
    </cfRule>
    <cfRule type="expression" dxfId="1042" priority="27">
      <formula>OR($Y5="Skema 4")</formula>
    </cfRule>
    <cfRule type="expression" dxfId="1041" priority="45">
      <formula>OR($Y5="Ikke relevant")</formula>
    </cfRule>
    <cfRule type="expression" dxfId="1040" priority="169">
      <formula>OR($Y5="pæd.dag")</formula>
    </cfRule>
    <cfRule type="expression" dxfId="1039" priority="170">
      <formula>OR($Y5="nul-dag")</formula>
    </cfRule>
    <cfRule type="expression" dxfId="1038" priority="171">
      <formula>OR($Y5="SH-dag")</formula>
    </cfRule>
    <cfRule type="expression" dxfId="1037" priority="172">
      <formula>OR($Y5="ekskursion")</formula>
    </cfRule>
    <cfRule type="expression" dxfId="1036" priority="173">
      <formula>OR($Y5="lejrskole")</formula>
    </cfRule>
    <cfRule type="expression" dxfId="1035" priority="174">
      <formula>OR($Y5="emnedag")</formula>
    </cfRule>
    <cfRule type="expression" dxfId="1034" priority="175">
      <formula>OR($Y5="fagdag")</formula>
    </cfRule>
    <cfRule type="expression" dxfId="1033" priority="176">
      <formula>OR($Y5="feriedag")</formula>
    </cfRule>
    <cfRule type="expression" dxfId="1032" priority="177">
      <formula>OR($Y5="weekend")</formula>
    </cfRule>
    <cfRule type="expression" dxfId="1031" priority="178" stopIfTrue="1">
      <formula>OR($Y5="skema 1")</formula>
    </cfRule>
  </conditionalFormatting>
  <conditionalFormatting sqref="BF5:BJ34">
    <cfRule type="expression" dxfId="1030" priority="10">
      <formula>OR($BH5="Skema 2")</formula>
    </cfRule>
    <cfRule type="expression" dxfId="1029" priority="11">
      <formula>OR($BH5="Skema 3")</formula>
    </cfRule>
    <cfRule type="expression" dxfId="1028" priority="12">
      <formula>OR($BH5="Skema 4")</formula>
    </cfRule>
    <cfRule type="expression" dxfId="1027" priority="40">
      <formula>OR($BH5="Ikke relevant")</formula>
    </cfRule>
    <cfRule type="expression" dxfId="1026" priority="159">
      <formula>OR($BH5="pæd.dag")</formula>
    </cfRule>
    <cfRule type="expression" dxfId="1025" priority="160">
      <formula>OR($BH5="nul-dag")</formula>
    </cfRule>
    <cfRule type="expression" dxfId="1024" priority="161">
      <formula>OR($BH5="SH-dag")</formula>
    </cfRule>
    <cfRule type="expression" dxfId="1023" priority="162">
      <formula>OR($BH5="ekskursion")</formula>
    </cfRule>
    <cfRule type="expression" dxfId="1022" priority="163">
      <formula>OR($BH5="lejrskole")</formula>
    </cfRule>
    <cfRule type="expression" dxfId="1021" priority="164">
      <formula>OR($BH5="emnedag")</formula>
    </cfRule>
    <cfRule type="expression" dxfId="1020" priority="165">
      <formula>OR($BH5="fagdag")</formula>
    </cfRule>
    <cfRule type="expression" dxfId="1019" priority="166">
      <formula>OR($BH5="feriedag")</formula>
    </cfRule>
    <cfRule type="expression" dxfId="1018" priority="167">
      <formula>OR($BH5="weekend")</formula>
    </cfRule>
    <cfRule type="expression" dxfId="1017" priority="168" stopIfTrue="1">
      <formula>OR($BH5="Skema 1")</formula>
    </cfRule>
  </conditionalFormatting>
  <conditionalFormatting sqref="AD5:AH35">
    <cfRule type="expression" dxfId="1016" priority="22">
      <formula>OR($AF5="Ikke relevant")</formula>
    </cfRule>
    <cfRule type="expression" dxfId="1015" priority="23">
      <formula>OR($AF5="Skema 2")</formula>
    </cfRule>
    <cfRule type="expression" dxfId="1014" priority="24">
      <formula>OR($AF5="Skema 3")</formula>
    </cfRule>
    <cfRule type="expression" dxfId="1013" priority="44">
      <formula>OR($AF5="Skema 4")</formula>
    </cfRule>
    <cfRule type="expression" dxfId="1012" priority="139">
      <formula>OR($AF5="pæd.dag")</formula>
    </cfRule>
    <cfRule type="expression" dxfId="1011" priority="140">
      <formula>OR($AF5="nul-dag")</formula>
    </cfRule>
    <cfRule type="expression" dxfId="1010" priority="141">
      <formula>OR($AF5="SH-dag")</formula>
    </cfRule>
    <cfRule type="expression" dxfId="1009" priority="142">
      <formula>OR($AF5="ekskursion")</formula>
    </cfRule>
    <cfRule type="expression" dxfId="1008" priority="143">
      <formula>OR($AF5="lejrskole")</formula>
    </cfRule>
    <cfRule type="expression" dxfId="1007" priority="144">
      <formula>OR($AF5="emnedag")</formula>
    </cfRule>
    <cfRule type="expression" dxfId="1006" priority="145">
      <formula>OR($AF5="fagdag")</formula>
    </cfRule>
    <cfRule type="expression" dxfId="1005" priority="146">
      <formula>OR($AF5="feriedag")</formula>
    </cfRule>
    <cfRule type="expression" dxfId="1004" priority="147">
      <formula>OR($AF5="weekend")</formula>
    </cfRule>
    <cfRule type="expression" dxfId="1003" priority="148" stopIfTrue="1">
      <formula>OR($AF5="Skema 1")</formula>
    </cfRule>
  </conditionalFormatting>
  <conditionalFormatting sqref="AK5:AO35">
    <cfRule type="expression" dxfId="1002" priority="129">
      <formula>OR($AM5="pæd.dag")</formula>
    </cfRule>
    <cfRule type="expression" dxfId="1001" priority="130">
      <formula>OR($AM5="nul-dag")</formula>
    </cfRule>
    <cfRule type="expression" dxfId="1000" priority="131">
      <formula>OR($AM5="SH-dag")</formula>
    </cfRule>
    <cfRule type="expression" dxfId="999" priority="132">
      <formula>OR($AM5="ekskursion")</formula>
    </cfRule>
    <cfRule type="expression" dxfId="998" priority="133">
      <formula>OR($AM5="lejrskole")</formula>
    </cfRule>
    <cfRule type="expression" dxfId="997" priority="134">
      <formula>OR($AM5="emnedag")</formula>
    </cfRule>
    <cfRule type="expression" dxfId="996" priority="135">
      <formula>OR($AM5="fagdag")</formula>
    </cfRule>
    <cfRule type="expression" dxfId="995" priority="136">
      <formula>OR($AM5="feriedag")</formula>
    </cfRule>
    <cfRule type="expression" dxfId="994" priority="137">
      <formula>OR($AM5="weekend")</formula>
    </cfRule>
    <cfRule type="expression" dxfId="993" priority="138" stopIfTrue="1">
      <formula>OR($AM5="Skema 1")</formula>
    </cfRule>
  </conditionalFormatting>
  <conditionalFormatting sqref="AY5:BC35">
    <cfRule type="expression" dxfId="992" priority="13">
      <formula>OR($BA5="Skema 2")</formula>
    </cfRule>
    <cfRule type="expression" dxfId="991" priority="14">
      <formula>OR($BA5="Skema 3")</formula>
    </cfRule>
    <cfRule type="expression" dxfId="990" priority="15">
      <formula>OR($BA5="Skema 4")</formula>
    </cfRule>
    <cfRule type="expression" dxfId="989" priority="41">
      <formula>OR($BA5="Ikke relevant")</formula>
    </cfRule>
    <cfRule type="expression" dxfId="988" priority="119">
      <formula>OR($BA5="pæd.dag")</formula>
    </cfRule>
    <cfRule type="expression" dxfId="987" priority="120">
      <formula>OR($BA5="nul-dag")</formula>
    </cfRule>
    <cfRule type="expression" dxfId="986" priority="121">
      <formula>OR($BA5="SH-dag")</formula>
    </cfRule>
    <cfRule type="expression" dxfId="985" priority="122">
      <formula>OR($BA5="ekskursion")</formula>
    </cfRule>
    <cfRule type="expression" dxfId="984" priority="123">
      <formula>OR($BA5="lejrskole")</formula>
    </cfRule>
    <cfRule type="expression" dxfId="983" priority="124">
      <formula>OR($BA5="emnedag")</formula>
    </cfRule>
    <cfRule type="expression" dxfId="982" priority="125">
      <formula>OR($BA5="fagdag")</formula>
    </cfRule>
    <cfRule type="expression" dxfId="981" priority="126">
      <formula>OR($BA5="feriedag")</formula>
    </cfRule>
    <cfRule type="expression" dxfId="980" priority="127">
      <formula>OR($BA5="weekend")</formula>
    </cfRule>
    <cfRule type="expression" dxfId="979" priority="128" stopIfTrue="1">
      <formula>OR($BA5="Skema 1")</formula>
    </cfRule>
  </conditionalFormatting>
  <conditionalFormatting sqref="BM5:BQ35">
    <cfRule type="expression" dxfId="978" priority="7">
      <formula>OR($BO5="Skema 2")</formula>
    </cfRule>
    <cfRule type="expression" dxfId="977" priority="8">
      <formula>OR($BO5="Skema 3")</formula>
    </cfRule>
    <cfRule type="expression" dxfId="976" priority="9">
      <formula>OR($BO5="Skema 4")</formula>
    </cfRule>
    <cfRule type="expression" dxfId="975" priority="39">
      <formula>OR($BO5="Ikke relevant")</formula>
    </cfRule>
    <cfRule type="expression" dxfId="974" priority="109">
      <formula>OR($BO5="pæd.dag")</formula>
    </cfRule>
    <cfRule type="expression" dxfId="973" priority="110">
      <formula>OR($BO5="nul-dag")</formula>
    </cfRule>
    <cfRule type="expression" dxfId="972" priority="111">
      <formula>OR($BO5="SH-dag")</formula>
    </cfRule>
    <cfRule type="expression" dxfId="971" priority="112">
      <formula>OR($BO5="ekskursion")</formula>
    </cfRule>
    <cfRule type="expression" dxfId="970" priority="113">
      <formula>OR($BO5="lejrskole")</formula>
    </cfRule>
    <cfRule type="expression" dxfId="969" priority="114">
      <formula>OR($BO5="emnedag")</formula>
    </cfRule>
    <cfRule type="expression" dxfId="968" priority="115">
      <formula>OR($BO5="fagdag")</formula>
    </cfRule>
    <cfRule type="expression" dxfId="967" priority="116">
      <formula>OR($BO5="feriedag")</formula>
    </cfRule>
    <cfRule type="expression" dxfId="966" priority="117">
      <formula>OR($BO5="weekend")</formula>
    </cfRule>
    <cfRule type="expression" dxfId="965" priority="118" stopIfTrue="1">
      <formula>OR($BO5="Skema 1")</formula>
    </cfRule>
  </conditionalFormatting>
  <conditionalFormatting sqref="CE33">
    <cfRule type="expression" dxfId="964" priority="79">
      <formula>OR($CC33="pæd.dag")</formula>
    </cfRule>
    <cfRule type="expression" dxfId="963" priority="80">
      <formula>OR($CC33="nul-dag")</formula>
    </cfRule>
    <cfRule type="expression" dxfId="962" priority="81">
      <formula>OR($CC33="SH-dag")</formula>
    </cfRule>
    <cfRule type="expression" dxfId="961" priority="82">
      <formula>OR($CC33="ekskursion")</formula>
    </cfRule>
    <cfRule type="expression" dxfId="960" priority="83">
      <formula>OR($CC33="lejrskole")</formula>
    </cfRule>
    <cfRule type="expression" dxfId="959" priority="84">
      <formula>OR($CC33="emnedag")</formula>
    </cfRule>
    <cfRule type="expression" dxfId="958" priority="85">
      <formula>OR($CC33="fagdag")</formula>
    </cfRule>
    <cfRule type="expression" dxfId="957" priority="86">
      <formula>OR($CC33="feriedag")</formula>
    </cfRule>
    <cfRule type="expression" dxfId="956" priority="87">
      <formula>OR($CC33="weekend")</formula>
    </cfRule>
    <cfRule type="expression" dxfId="955" priority="88" stopIfTrue="1">
      <formula>OR($CC33="skoledag")</formula>
    </cfRule>
  </conditionalFormatting>
  <conditionalFormatting sqref="CE26">
    <cfRule type="expression" dxfId="954" priority="69">
      <formula>OR($CC26="pæd.dag")</formula>
    </cfRule>
    <cfRule type="expression" dxfId="953" priority="70">
      <formula>OR($CC26="nul-dag")</formula>
    </cfRule>
    <cfRule type="expression" dxfId="952" priority="71">
      <formula>OR($CC26="SH-dag")</formula>
    </cfRule>
    <cfRule type="expression" dxfId="951" priority="72">
      <formula>OR($CC26="ekskursion")</formula>
    </cfRule>
    <cfRule type="expression" dxfId="950" priority="73">
      <formula>OR($CC26="lejrskole")</formula>
    </cfRule>
    <cfRule type="expression" dxfId="949" priority="74">
      <formula>OR($CC26="emnedag")</formula>
    </cfRule>
    <cfRule type="expression" dxfId="948" priority="75">
      <formula>OR($CC26="fagdag")</formula>
    </cfRule>
    <cfRule type="expression" dxfId="947" priority="76">
      <formula>OR($CC26="feriedag")</formula>
    </cfRule>
    <cfRule type="expression" dxfId="946" priority="77">
      <formula>OR($CC26="weekend")</formula>
    </cfRule>
    <cfRule type="expression" dxfId="945" priority="78" stopIfTrue="1">
      <formula>OR($CC26="skoledag")</formula>
    </cfRule>
  </conditionalFormatting>
  <conditionalFormatting sqref="CE12">
    <cfRule type="expression" dxfId="944" priority="49">
      <formula>OR($CC12="pæd.dag")</formula>
    </cfRule>
    <cfRule type="expression" dxfId="943" priority="50">
      <formula>OR($CC12="nul-dag")</formula>
    </cfRule>
    <cfRule type="expression" dxfId="942" priority="51">
      <formula>OR($CC12="SH-dag")</formula>
    </cfRule>
    <cfRule type="expression" dxfId="941" priority="52">
      <formula>OR($CC12="ekskursion")</formula>
    </cfRule>
    <cfRule type="expression" dxfId="940" priority="53">
      <formula>OR($CC12="lejrskole")</formula>
    </cfRule>
    <cfRule type="expression" dxfId="939" priority="54">
      <formula>OR($CC12="emnedag")</formula>
    </cfRule>
    <cfRule type="expression" dxfId="938" priority="55">
      <formula>OR($CC12="fagdag")</formula>
    </cfRule>
    <cfRule type="expression" dxfId="937" priority="56">
      <formula>OR($CC12="feriedag")</formula>
    </cfRule>
    <cfRule type="expression" dxfId="936" priority="57">
      <formula>OR($CC12="weekend")</formula>
    </cfRule>
    <cfRule type="expression" dxfId="935" priority="58" stopIfTrue="1">
      <formula>OR($CC12="skoledag")</formula>
    </cfRule>
  </conditionalFormatting>
  <conditionalFormatting sqref="B5:H35">
    <cfRule type="expression" dxfId="934" priority="34" stopIfTrue="1">
      <formula>OR($D5="Skema 1")</formula>
    </cfRule>
    <cfRule type="expression" dxfId="933" priority="35" stopIfTrue="1">
      <formula>OR($D5="Skema 2")</formula>
    </cfRule>
    <cfRule type="expression" dxfId="932" priority="36" stopIfTrue="1">
      <formula>OR($D5="Skema 3")</formula>
    </cfRule>
    <cfRule type="expression" dxfId="931" priority="48">
      <formula>OR($D5="Ikke relevant")</formula>
    </cfRule>
    <cfRule type="expression" dxfId="930" priority="269">
      <formula>OR($D5="pæd.dag")</formula>
    </cfRule>
    <cfRule type="expression" dxfId="929" priority="270">
      <formula>OR($D5="nul-dag")</formula>
    </cfRule>
    <cfRule type="expression" dxfId="928" priority="271">
      <formula>OR($D5="SH-dag")</formula>
    </cfRule>
    <cfRule type="expression" dxfId="927" priority="272">
      <formula>OR($D5="ekskursion")</formula>
    </cfRule>
    <cfRule type="expression" dxfId="926" priority="273">
      <formula>OR($D5="lejrskole")</formula>
    </cfRule>
    <cfRule type="expression" dxfId="925" priority="274">
      <formula>OR($D5="emnedag")</formula>
    </cfRule>
    <cfRule type="expression" dxfId="924" priority="275">
      <formula>OR($D5="fagdag")</formula>
    </cfRule>
    <cfRule type="expression" dxfId="923" priority="276">
      <formula>OR($D5="feriedag")</formula>
    </cfRule>
    <cfRule type="expression" dxfId="922" priority="277">
      <formula>OR($D5="weekend")</formula>
    </cfRule>
    <cfRule type="expression" dxfId="921" priority="278" stopIfTrue="1">
      <formula>OR($D5="Skema 4")</formula>
    </cfRule>
  </conditionalFormatting>
  <conditionalFormatting sqref="AK5:AQ35">
    <cfRule type="expression" dxfId="920" priority="19">
      <formula>OR($AM5="Skema 2")</formula>
    </cfRule>
    <cfRule type="expression" dxfId="919" priority="20">
      <formula>OR($AM5="Skema 3")</formula>
    </cfRule>
    <cfRule type="expression" dxfId="918" priority="21">
      <formula>OR($AM5="Skema 4")</formula>
    </cfRule>
    <cfRule type="expression" dxfId="917" priority="43">
      <formula>OR($AM5="Ikke relevant")</formula>
    </cfRule>
  </conditionalFormatting>
  <conditionalFormatting sqref="AR5:AX32">
    <cfRule type="expression" dxfId="916" priority="16">
      <formula>OR($AT5="Skema 2")</formula>
    </cfRule>
    <cfRule type="expression" dxfId="915" priority="17">
      <formula>OR($AT5="Skema 3")</formula>
    </cfRule>
    <cfRule type="expression" dxfId="914" priority="18">
      <formula>OR($AT5="Skema 4")</formula>
    </cfRule>
    <cfRule type="expression" dxfId="913" priority="42">
      <formula>OR($AT5="Ikke relevant")</formula>
    </cfRule>
    <cfRule type="expression" dxfId="912" priority="99">
      <formula>OR($AT5="pæd.dag")</formula>
    </cfRule>
    <cfRule type="expression" dxfId="911" priority="100">
      <formula>OR($AT5="nul-dag")</formula>
    </cfRule>
    <cfRule type="expression" dxfId="910" priority="101">
      <formula>OR($AT5="SH-dag")</formula>
    </cfRule>
    <cfRule type="expression" dxfId="909" priority="102">
      <formula>OR($AT5="ekskursion")</formula>
    </cfRule>
    <cfRule type="expression" dxfId="908" priority="103">
      <formula>OR($AT5="lejrskole")</formula>
    </cfRule>
    <cfRule type="expression" dxfId="907" priority="104">
      <formula>OR($AT5="emnedag")</formula>
    </cfRule>
    <cfRule type="expression" dxfId="906" priority="105">
      <formula>OR($AT5="fagdag")</formula>
    </cfRule>
    <cfRule type="expression" dxfId="905" priority="106">
      <formula>OR($AT5="feriedag")</formula>
    </cfRule>
    <cfRule type="expression" dxfId="904" priority="107">
      <formula>OR($AT5="weekend")</formula>
    </cfRule>
    <cfRule type="expression" dxfId="903" priority="108" stopIfTrue="1">
      <formula>OR($AT5="Skema 1")</formula>
    </cfRule>
  </conditionalFormatting>
  <conditionalFormatting sqref="CA5:CG35">
    <cfRule type="expression" dxfId="902" priority="1">
      <formula>OR($CC5="Skema 2")</formula>
    </cfRule>
    <cfRule type="expression" dxfId="901" priority="2">
      <formula>OR($CC5="Skema 3")</formula>
    </cfRule>
    <cfRule type="expression" dxfId="900" priority="3">
      <formula>OR($CC5="Skema 4")</formula>
    </cfRule>
    <cfRule type="expression" dxfId="899" priority="37">
      <formula>OR($CC5="Ikke relevant")</formula>
    </cfRule>
    <cfRule type="expression" dxfId="898" priority="89">
      <formula>OR($CC5="pæd.dag")</formula>
    </cfRule>
    <cfRule type="expression" dxfId="897" priority="90">
      <formula>OR($CC5="nul-dag")</formula>
    </cfRule>
    <cfRule type="expression" dxfId="896" priority="91">
      <formula>OR($CC5="SH-dag")</formula>
    </cfRule>
    <cfRule type="expression" dxfId="895" priority="92">
      <formula>OR($CC5="ekskursion")</formula>
    </cfRule>
    <cfRule type="expression" dxfId="894" priority="93">
      <formula>OR($CC5="lejrskole")</formula>
    </cfRule>
    <cfRule type="expression" dxfId="893" priority="94">
      <formula>OR($CC5="emnedag")</formula>
    </cfRule>
    <cfRule type="expression" dxfId="892" priority="95">
      <formula>OR($CC5="fagdag")</formula>
    </cfRule>
    <cfRule type="expression" dxfId="891" priority="96">
      <formula>OR($CC5="feriedag")</formula>
    </cfRule>
    <cfRule type="expression" dxfId="890" priority="97">
      <formula>OR($CC5="weekend")</formula>
    </cfRule>
    <cfRule type="expression" dxfId="889" priority="98" stopIfTrue="1">
      <formula>OR($CC5="Skema 1")</formula>
    </cfRule>
  </conditionalFormatting>
  <conditionalFormatting sqref="F16">
    <cfRule type="expression" dxfId="888" priority="539">
      <formula>OR($D15="pæd.dag")</formula>
    </cfRule>
    <cfRule type="expression" dxfId="887" priority="540">
      <formula>OR($D15="nul-dag")</formula>
    </cfRule>
    <cfRule type="expression" dxfId="886" priority="541">
      <formula>OR($D15="SH-dag")</formula>
    </cfRule>
    <cfRule type="expression" dxfId="885" priority="542">
      <formula>OR($D15="ekskursion")</formula>
    </cfRule>
    <cfRule type="expression" dxfId="884" priority="543">
      <formula>OR($D15="lejrskole")</formula>
    </cfRule>
    <cfRule type="expression" dxfId="883" priority="544">
      <formula>OR($D15="emnedag")</formula>
    </cfRule>
    <cfRule type="expression" dxfId="882" priority="545">
      <formula>OR($D15="fagdag")</formula>
    </cfRule>
    <cfRule type="expression" dxfId="881" priority="546">
      <formula>OR($D15="feriedag")</formula>
    </cfRule>
    <cfRule type="expression" dxfId="880" priority="547">
      <formula>OR($D15="weekend")</formula>
    </cfRule>
    <cfRule type="expression" dxfId="879" priority="548" stopIfTrue="1">
      <formula>OR($D15="skoledag")</formula>
    </cfRule>
  </conditionalFormatting>
  <conditionalFormatting sqref="F16">
    <cfRule type="expression" dxfId="878" priority="550">
      <formula>OR($D15="Ikke relevant")</formula>
    </cfRule>
  </conditionalFormatting>
  <conditionalFormatting sqref="BT5:BZ34">
    <cfRule type="expression" dxfId="877" priority="4">
      <formula>OR($BV5="Skema 2")</formula>
    </cfRule>
    <cfRule type="expression" dxfId="876" priority="5">
      <formula>OR($BV5="Skema 3")</formula>
    </cfRule>
    <cfRule type="expression" dxfId="875" priority="6">
      <formula>OR($BV5="Skema 4")</formula>
    </cfRule>
    <cfRule type="expression" dxfId="874" priority="38">
      <formula>OR($BV5="Ikke relevant")</formula>
    </cfRule>
    <cfRule type="expression" dxfId="873" priority="149">
      <formula>OR($BV5="pæd.dag")</formula>
    </cfRule>
    <cfRule type="expression" dxfId="872" priority="150">
      <formula>OR($BV5="nul-dag")</formula>
    </cfRule>
    <cfRule type="expression" dxfId="871" priority="151">
      <formula>OR($BV5="SH-dag")</formula>
    </cfRule>
    <cfRule type="expression" dxfId="870" priority="152">
      <formula>OR($BV5="ekskursion")</formula>
    </cfRule>
    <cfRule type="expression" dxfId="869" priority="153">
      <formula>OR($BV5="lejrskole")</formula>
    </cfRule>
    <cfRule type="expression" dxfId="868" priority="154">
      <formula>OR($BV5="emnedag")</formula>
    </cfRule>
    <cfRule type="expression" dxfId="867" priority="155">
      <formula>OR($BV5="fagdag")</formula>
    </cfRule>
    <cfRule type="expression" dxfId="866" priority="156">
      <formula>OR($BV5="feriedag")</formula>
    </cfRule>
    <cfRule type="expression" dxfId="865" priority="157">
      <formula>OR($BV5="weekend")</formula>
    </cfRule>
    <cfRule type="expression" dxfId="864" priority="158" stopIfTrue="1">
      <formula>OR($BV5="Skema 1")</formula>
    </cfRule>
  </conditionalFormatting>
  <dataValidations count="3">
    <dataValidation type="list" allowBlank="1" showInputMessage="1" sqref="CC6:CC35" xr:uid="{00000000-0002-0000-0100-000000000000}">
      <formula1>$A$51:$A$61</formula1>
    </dataValidation>
    <dataValidation allowBlank="1" showInputMessage="1" sqref="AT33" xr:uid="{05FF9E09-759A-EE45-8976-34E836E18893}"/>
    <dataValidation type="list" allowBlank="1" showInputMessage="1" sqref="CC5 D5:D35 BV5:BV34 BO5:BO35 BH5:BH34 BA5:BA35 AT5:AT32 AM5:AM35 AF5:AF35 Y5:Y34 R5:R35 K5:K34" xr:uid="{60D1731E-BAE1-0641-BD7F-07095EA44A17}">
      <formula1>$A$30:$A$44</formula1>
    </dataValidation>
  </dataValidations>
  <printOptions horizontalCentered="1" verticalCentered="1"/>
  <pageMargins left="0" right="0" top="0" bottom="0" header="0" footer="0"/>
  <pageSetup paperSize="9" orientation="portrait" horizontalDpi="4294967292" verticalDpi="4294967292"/>
  <colBreaks count="12" manualBreakCount="12">
    <brk id="8" max="1048575" man="1"/>
    <brk id="15" max="1048575" man="1"/>
    <brk id="22" max="1048575" man="1"/>
    <brk id="29" max="1048575" man="1"/>
    <brk id="36" max="1048575" man="1"/>
    <brk id="43" max="1048575" man="1"/>
    <brk id="50" max="1048575" man="1"/>
    <brk id="57" max="1048575" man="1"/>
    <brk id="64" max="1048575" man="1"/>
    <brk id="71" max="1048575" man="1"/>
    <brk id="78" max="1048575" man="1"/>
    <brk id="8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269" t="e">
        <f>_xlfn.SINGLE(Arbejdstidsoversigt!#REF!)</f>
        <v>#REF!</v>
      </c>
      <c r="D2" s="1270"/>
      <c r="E2" s="1032"/>
    </row>
    <row r="3" spans="2:8">
      <c r="B3" s="2" t="s">
        <v>2</v>
      </c>
      <c r="C3" s="1434" t="e">
        <f>_xlfn.SINGLE(Arbejdstidsoversigt!#REF!)</f>
        <v>#REF!</v>
      </c>
      <c r="D3" s="1434"/>
      <c r="E3" s="1434"/>
    </row>
    <row r="4" spans="2:8">
      <c r="B4" s="2" t="s">
        <v>3</v>
      </c>
      <c r="C4" s="1434" t="e">
        <f>Arbejdstidsoversigt!#REF!</f>
        <v>#REF!</v>
      </c>
      <c r="D4" s="1434"/>
      <c r="E4" s="1434"/>
    </row>
    <row r="5" spans="2:8" ht="34" customHeight="1">
      <c r="B5" s="1435" t="s">
        <v>23</v>
      </c>
      <c r="C5" s="1435"/>
      <c r="D5" s="1435"/>
      <c r="E5" s="1435"/>
    </row>
    <row r="6" spans="2:8" ht="15" customHeight="1">
      <c r="B6" s="3"/>
      <c r="C6" s="3"/>
      <c r="D6" s="3"/>
      <c r="E6" s="3"/>
    </row>
    <row r="7" spans="2:8" ht="21">
      <c r="B7" s="5" t="s">
        <v>0</v>
      </c>
    </row>
    <row r="8" spans="2:8" ht="31">
      <c r="B8" s="1438" t="s">
        <v>48</v>
      </c>
      <c r="C8" s="1439"/>
      <c r="D8" s="1439"/>
      <c r="E8" s="1439"/>
      <c r="F8" s="1439"/>
      <c r="G8" s="1439"/>
      <c r="H8" s="1440"/>
    </row>
    <row r="9" spans="2:8" ht="15" customHeight="1">
      <c r="B9" s="1441" t="s">
        <v>52</v>
      </c>
      <c r="C9" s="1442"/>
      <c r="D9" s="1442"/>
      <c r="E9" s="1442"/>
      <c r="F9" s="1442"/>
      <c r="G9" s="1442"/>
      <c r="H9" s="1443"/>
    </row>
    <row r="10" spans="2:8" ht="34">
      <c r="B10" s="27" t="s">
        <v>32</v>
      </c>
      <c r="C10" s="28" t="s">
        <v>33</v>
      </c>
      <c r="D10" s="29" t="s">
        <v>34</v>
      </c>
      <c r="E10" s="29" t="s">
        <v>35</v>
      </c>
      <c r="F10" s="29" t="s">
        <v>36</v>
      </c>
      <c r="G10" s="29" t="s">
        <v>37</v>
      </c>
      <c r="H10" s="29" t="s">
        <v>38</v>
      </c>
    </row>
    <row r="11" spans="2:8" ht="15" customHeight="1">
      <c r="B11" s="25">
        <v>1</v>
      </c>
      <c r="C11" s="30">
        <v>15</v>
      </c>
      <c r="D11" s="30" t="s">
        <v>43</v>
      </c>
      <c r="E11" s="32"/>
      <c r="F11" s="32" t="s">
        <v>43</v>
      </c>
      <c r="G11" s="32"/>
      <c r="H11" s="30" t="s">
        <v>43</v>
      </c>
    </row>
    <row r="12" spans="2:8" ht="15" customHeight="1">
      <c r="B12" s="25">
        <v>2</v>
      </c>
      <c r="C12" s="30">
        <v>60</v>
      </c>
      <c r="D12" s="30" t="s">
        <v>6</v>
      </c>
      <c r="E12" s="32" t="s">
        <v>5</v>
      </c>
      <c r="F12" s="32" t="s">
        <v>8</v>
      </c>
      <c r="G12" s="32" t="s">
        <v>41</v>
      </c>
      <c r="H12" s="32" t="s">
        <v>45</v>
      </c>
    </row>
    <row r="13" spans="2:8" ht="15" customHeight="1">
      <c r="B13" s="25">
        <v>3</v>
      </c>
      <c r="C13" s="30">
        <v>60</v>
      </c>
      <c r="D13" s="30" t="s">
        <v>39</v>
      </c>
      <c r="E13" s="32" t="s">
        <v>6</v>
      </c>
      <c r="F13" s="32" t="s">
        <v>5</v>
      </c>
      <c r="G13" s="32" t="s">
        <v>41</v>
      </c>
      <c r="H13" s="32" t="s">
        <v>7</v>
      </c>
    </row>
    <row r="14" spans="2:8" ht="15" customHeight="1">
      <c r="B14" s="25">
        <v>4</v>
      </c>
      <c r="C14" s="30">
        <v>60</v>
      </c>
      <c r="D14" s="30" t="s">
        <v>8</v>
      </c>
      <c r="E14" s="32" t="s">
        <v>6</v>
      </c>
      <c r="F14" s="32" t="s">
        <v>5</v>
      </c>
      <c r="G14" s="32" t="s">
        <v>5</v>
      </c>
      <c r="H14" s="32" t="s">
        <v>7</v>
      </c>
    </row>
    <row r="15" spans="2:8" ht="15" customHeight="1">
      <c r="B15" s="25">
        <v>5</v>
      </c>
      <c r="C15" s="30">
        <v>45</v>
      </c>
      <c r="D15" s="30"/>
      <c r="E15" s="32" t="s">
        <v>42</v>
      </c>
      <c r="F15" s="32" t="s">
        <v>44</v>
      </c>
      <c r="G15" s="32"/>
      <c r="H15" s="32" t="s">
        <v>5</v>
      </c>
    </row>
    <row r="16" spans="2:8" ht="15" customHeight="1">
      <c r="B16" s="33">
        <v>6</v>
      </c>
      <c r="C16" s="30">
        <v>45</v>
      </c>
      <c r="D16" s="32" t="s">
        <v>40</v>
      </c>
      <c r="E16" s="32" t="s">
        <v>42</v>
      </c>
      <c r="F16" s="32" t="s">
        <v>44</v>
      </c>
      <c r="G16" s="32"/>
      <c r="H16" s="30"/>
    </row>
    <row r="17" spans="1:8" ht="15" customHeight="1">
      <c r="B17" s="33">
        <v>7</v>
      </c>
      <c r="C17" s="30">
        <v>45</v>
      </c>
      <c r="D17" s="32" t="s">
        <v>40</v>
      </c>
      <c r="E17" s="32"/>
      <c r="F17" s="32"/>
      <c r="G17" s="32"/>
      <c r="H17" s="30"/>
    </row>
    <row r="18" spans="1:8" ht="15" customHeight="1">
      <c r="B18" s="33">
        <v>8</v>
      </c>
      <c r="C18" s="30">
        <v>45</v>
      </c>
      <c r="D18" s="32"/>
      <c r="E18" s="32"/>
      <c r="F18" s="32"/>
      <c r="G18" s="32"/>
      <c r="H18" s="31"/>
    </row>
    <row r="19" spans="1:8" ht="15" customHeight="1">
      <c r="B19" s="1444" t="s">
        <v>55</v>
      </c>
      <c r="C19" s="1445"/>
      <c r="D19" s="32">
        <v>38</v>
      </c>
      <c r="E19" s="32">
        <v>40</v>
      </c>
      <c r="F19" s="32">
        <v>39</v>
      </c>
      <c r="G19" s="32">
        <v>39</v>
      </c>
      <c r="H19" s="32">
        <v>38</v>
      </c>
    </row>
    <row r="20" spans="1:8" ht="15" customHeight="1">
      <c r="B20" s="1446" t="s">
        <v>57</v>
      </c>
      <c r="C20" s="1447"/>
      <c r="D20" s="29" t="e">
        <f>(IF(D11&lt;&gt;0,D19*$C$24)+IF(D12&lt;&gt;0,$C$25*D19)+IF(D13&lt;&gt;0,D19*$C$26)+IF(D14&lt;&gt;0,D19*$C$27)+IF(D15&lt;&gt;0,D19*$C$28)+IF(D16&lt;&gt;0,D19*$C$29)+IF(D17&lt;&gt;0,D19*$C$30)+IF(D18&lt;&gt;0,D19*$C$31))/60</f>
        <v>#VALUE!</v>
      </c>
      <c r="E20" s="29" t="e">
        <f>(IF(E11&lt;&gt;0,E19*$C$24)+IF(E12&lt;&gt;0,$C$25*E19)+IF(E13&lt;&gt;0,E19*$C$26)+IF(E14&lt;&gt;0,E19*$C$27)+IF(E15&lt;&gt;0,E19*$C$28)+IF(E16&lt;&gt;0,E19*$C$29)+IF(E17&lt;&gt;0,E19*$C$30)+IF(E18&lt;&gt;0,E19*$C$31))/60</f>
        <v>#VALUE!</v>
      </c>
      <c r="F20" s="29" t="e">
        <f>(IF(F11&lt;&gt;0,F19*$C$24)+IF(F12&lt;&gt;0,$C$25*F19)+IF(F13&lt;&gt;0,F19*$C$26)+IF(F14&lt;&gt;0,F19*$C$27)+IF(F15&lt;&gt;0,F19*$C$28)+IF(F16&lt;&gt;0,F19*$C$29)+IF(F17&lt;&gt;0,F19*$C$30)+IF(F18&lt;&gt;0,F19*$C$31))/60</f>
        <v>#VALUE!</v>
      </c>
      <c r="G20" s="29" t="e">
        <f>(IF(G11&lt;&gt;0,G19*$C$24)+IF(G12&lt;&gt;0,$C$25*G19)+IF(G13&lt;&gt;0,G19*$C$26)+IF(G14&lt;&gt;0,G19*$C$27)+IF(G15&lt;&gt;0,G19*$C$28)+IF(G16&lt;&gt;0,G19*$C$29)+IF(G17&lt;&gt;0,G19*$C$30)+IF(G18&lt;&gt;0,G19*$C$31))/60</f>
        <v>#VALUE!</v>
      </c>
      <c r="H20" s="29" t="e">
        <f>(IF(H11&lt;&gt;0,H19*$C$24)+IF(H12&lt;&gt;0,$C$25*H19)+IF(H13&lt;&gt;0,H19*$C$26)+IF(H14&lt;&gt;0,H19*$C$27)+IF(H15&lt;&gt;0,H19*$C$28)+IF(H16&lt;&gt;0,H19*$C$29)+IF(H17&lt;&gt;0,H19*$C$30)+IF(H18&lt;&gt;0,H19*$C$31))/60</f>
        <v>#VALUE!</v>
      </c>
    </row>
    <row r="21" spans="1:8" ht="15" customHeight="1">
      <c r="B21" s="1448" t="s">
        <v>54</v>
      </c>
      <c r="C21" s="1424" t="s">
        <v>46</v>
      </c>
      <c r="D21" s="1425"/>
      <c r="E21" s="1425"/>
      <c r="F21" s="1425"/>
      <c r="G21" s="1426"/>
      <c r="H21" s="29" t="e">
        <f>SUM(D20:H20)</f>
        <v>#VALUE!</v>
      </c>
    </row>
    <row r="22" spans="1:8" ht="15" customHeight="1">
      <c r="B22" s="1449"/>
      <c r="C22" s="1421" t="s">
        <v>49</v>
      </c>
      <c r="D22" s="1422"/>
      <c r="E22" s="1422"/>
      <c r="F22" s="1422"/>
      <c r="G22" s="1423"/>
      <c r="H22" s="32">
        <v>32</v>
      </c>
    </row>
    <row r="23" spans="1:8" ht="15" customHeight="1">
      <c r="B23" s="1449"/>
      <c r="C23" s="1421" t="s">
        <v>50</v>
      </c>
      <c r="D23" s="1422"/>
      <c r="E23" s="1422"/>
      <c r="F23" s="1422"/>
      <c r="G23" s="1423"/>
      <c r="H23" s="32">
        <v>12</v>
      </c>
    </row>
    <row r="24" spans="1:8" ht="15" customHeight="1">
      <c r="A24" s="1433"/>
      <c r="B24" s="1449"/>
      <c r="C24" s="1421" t="s">
        <v>51</v>
      </c>
      <c r="D24" s="1422"/>
      <c r="E24" s="1422"/>
      <c r="F24" s="1422"/>
      <c r="G24" s="1423"/>
      <c r="H24" s="32">
        <v>65</v>
      </c>
    </row>
    <row r="25" spans="1:8" ht="15" customHeight="1">
      <c r="A25" s="1433"/>
      <c r="B25" s="1450"/>
      <c r="C25" s="1424" t="s">
        <v>47</v>
      </c>
      <c r="D25" s="1425"/>
      <c r="E25" s="1425"/>
      <c r="F25" s="1425"/>
      <c r="G25" s="1426"/>
      <c r="H25" s="29" t="e">
        <f>SUM(H21:H24)</f>
        <v>#VALUE!</v>
      </c>
    </row>
    <row r="26" spans="1:8">
      <c r="A26" s="1433"/>
      <c r="B26" s="14" t="s">
        <v>12</v>
      </c>
      <c r="C26" s="15">
        <v>5</v>
      </c>
      <c r="D26" s="15">
        <v>8</v>
      </c>
      <c r="E26" s="18">
        <f>D26*C26</f>
        <v>40</v>
      </c>
    </row>
    <row r="27" spans="1:8" ht="17" thickBot="1">
      <c r="A27" s="1433"/>
      <c r="B27" s="20"/>
      <c r="C27" s="21"/>
      <c r="D27" s="21"/>
      <c r="E27" s="22"/>
    </row>
    <row r="28" spans="1:8" ht="17" thickBot="1">
      <c r="A28" s="1433"/>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433"/>
      <c r="B35" s="6" t="s">
        <v>15</v>
      </c>
    </row>
    <row r="36" spans="1:5" ht="17" thickBot="1">
      <c r="A36" s="1433"/>
      <c r="B36" s="1431" t="s">
        <v>15</v>
      </c>
      <c r="C36" s="1432"/>
      <c r="D36" s="12" t="s">
        <v>19</v>
      </c>
    </row>
    <row r="37" spans="1:5">
      <c r="A37" s="1433"/>
      <c r="B37" s="1436" t="s">
        <v>16</v>
      </c>
      <c r="C37" s="1437"/>
      <c r="D37" s="18"/>
      <c r="E37" s="4"/>
    </row>
    <row r="38" spans="1:5">
      <c r="A38" s="1433"/>
      <c r="B38" s="1427" t="s">
        <v>18</v>
      </c>
      <c r="C38" s="1428"/>
      <c r="D38" s="19"/>
      <c r="E38" s="4"/>
    </row>
    <row r="39" spans="1:5">
      <c r="B39" s="1427" t="s">
        <v>21</v>
      </c>
      <c r="C39" s="1428"/>
      <c r="D39" s="19"/>
      <c r="E39" s="4"/>
    </row>
    <row r="40" spans="1:5">
      <c r="B40" s="1427"/>
      <c r="C40" s="1428"/>
      <c r="D40" s="19"/>
      <c r="E40" s="4"/>
    </row>
    <row r="41" spans="1:5">
      <c r="B41" s="1427"/>
      <c r="C41" s="1428"/>
      <c r="D41" s="19"/>
      <c r="E41" s="4"/>
    </row>
    <row r="42" spans="1:5">
      <c r="B42" s="1427"/>
      <c r="C42" s="1428"/>
      <c r="D42" s="19"/>
      <c r="E42" s="4"/>
    </row>
    <row r="43" spans="1:5">
      <c r="B43" s="1427"/>
      <c r="C43" s="1428"/>
      <c r="D43" s="19"/>
      <c r="E43" s="4"/>
    </row>
    <row r="44" spans="1:5">
      <c r="B44" s="1427"/>
      <c r="C44" s="1428"/>
      <c r="D44" s="19"/>
      <c r="E44" s="4"/>
    </row>
    <row r="45" spans="1:5">
      <c r="B45" s="1427"/>
      <c r="C45" s="1428"/>
      <c r="D45" s="19"/>
      <c r="E45" s="4"/>
    </row>
    <row r="46" spans="1:5">
      <c r="B46" s="1427"/>
      <c r="C46" s="1428"/>
      <c r="D46" s="19"/>
      <c r="E46" s="4"/>
    </row>
    <row r="47" spans="1:5">
      <c r="B47" s="1427"/>
      <c r="C47" s="1428"/>
      <c r="D47" s="19"/>
      <c r="E47" s="4"/>
    </row>
    <row r="48" spans="1:5">
      <c r="B48" s="1427"/>
      <c r="C48" s="1428"/>
      <c r="D48" s="19"/>
      <c r="E48" s="4"/>
    </row>
    <row r="49" spans="2:5">
      <c r="B49" s="1427"/>
      <c r="C49" s="1428"/>
      <c r="D49" s="19"/>
      <c r="E49" s="4"/>
    </row>
    <row r="50" spans="2:5">
      <c r="B50" s="1427"/>
      <c r="C50" s="1428"/>
      <c r="D50" s="19"/>
      <c r="E50" s="4"/>
    </row>
    <row r="51" spans="2:5" ht="17" thickBot="1">
      <c r="B51" s="1429"/>
      <c r="C51" s="1430"/>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V33"/>
  <sheetViews>
    <sheetView workbookViewId="0"/>
  </sheetViews>
  <sheetFormatPr baseColWidth="10" defaultRowHeight="16"/>
  <cols>
    <col min="1" max="2" width="2.83203125" customWidth="1"/>
    <col min="3" max="3" width="11.83203125" customWidth="1"/>
    <col min="4" max="4" width="2.83203125" style="308"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532" t="s">
        <v>377</v>
      </c>
      <c r="B1" s="533"/>
      <c r="C1" s="534"/>
      <c r="D1" s="535"/>
      <c r="E1" s="536"/>
      <c r="F1" s="533"/>
      <c r="G1" s="534"/>
      <c r="H1" s="535"/>
      <c r="I1" s="536"/>
      <c r="J1" s="533"/>
      <c r="K1" s="534"/>
      <c r="L1" s="535"/>
      <c r="M1" s="536"/>
      <c r="N1" s="533"/>
      <c r="O1" s="534"/>
      <c r="P1" s="535"/>
      <c r="Q1" s="536"/>
      <c r="R1" s="533"/>
      <c r="S1" s="534"/>
      <c r="T1" s="535"/>
      <c r="U1" s="536"/>
      <c r="V1" s="533"/>
      <c r="W1" s="534"/>
      <c r="X1" s="535"/>
      <c r="Y1" s="536"/>
      <c r="Z1" s="533"/>
      <c r="AA1" s="534"/>
      <c r="AB1" s="535"/>
      <c r="AC1" s="536"/>
      <c r="AD1" s="533"/>
      <c r="AE1" s="534"/>
      <c r="AF1" s="535"/>
      <c r="AG1" s="536"/>
      <c r="AH1" s="533"/>
      <c r="AI1" s="534"/>
      <c r="AJ1" s="535"/>
      <c r="AK1" s="536"/>
      <c r="AL1" s="533"/>
      <c r="AM1" s="534"/>
      <c r="AN1" s="535"/>
      <c r="AO1" s="536"/>
      <c r="AP1" s="533"/>
      <c r="AQ1" s="534"/>
      <c r="AR1" s="535"/>
      <c r="AS1" s="536"/>
      <c r="AT1" s="533"/>
      <c r="AU1" s="534"/>
      <c r="AV1" s="537"/>
    </row>
    <row r="2" spans="1:48" ht="18">
      <c r="A2" s="538" t="s">
        <v>95</v>
      </c>
      <c r="B2" s="539"/>
      <c r="C2" s="540"/>
      <c r="D2" s="541"/>
      <c r="E2" s="538" t="s">
        <v>96</v>
      </c>
      <c r="F2" s="539"/>
      <c r="G2" s="540"/>
      <c r="H2" s="541"/>
      <c r="I2" s="542" t="s">
        <v>97</v>
      </c>
      <c r="J2" s="539"/>
      <c r="K2" s="540"/>
      <c r="L2" s="541"/>
      <c r="M2" s="538" t="s">
        <v>98</v>
      </c>
      <c r="N2" s="539"/>
      <c r="O2" s="540"/>
      <c r="P2" s="541"/>
      <c r="Q2" s="538" t="s">
        <v>99</v>
      </c>
      <c r="R2" s="539"/>
      <c r="S2" s="540"/>
      <c r="T2" s="541"/>
      <c r="U2" s="538" t="s">
        <v>100</v>
      </c>
      <c r="V2" s="539"/>
      <c r="W2" s="540"/>
      <c r="X2" s="541"/>
      <c r="Y2" s="542" t="s">
        <v>104</v>
      </c>
      <c r="Z2" s="539"/>
      <c r="AA2" s="540"/>
      <c r="AB2" s="541"/>
      <c r="AC2" s="538" t="s">
        <v>105</v>
      </c>
      <c r="AD2" s="539"/>
      <c r="AE2" s="540"/>
      <c r="AF2" s="541"/>
      <c r="AG2" s="538" t="s">
        <v>106</v>
      </c>
      <c r="AH2" s="539"/>
      <c r="AI2" s="540"/>
      <c r="AJ2" s="541"/>
      <c r="AK2" s="538" t="s">
        <v>107</v>
      </c>
      <c r="AL2" s="539"/>
      <c r="AM2" s="540"/>
      <c r="AN2" s="541"/>
      <c r="AO2" s="538" t="s">
        <v>108</v>
      </c>
      <c r="AP2" s="539"/>
      <c r="AQ2" s="540"/>
      <c r="AR2" s="541"/>
      <c r="AS2" s="538" t="s">
        <v>109</v>
      </c>
      <c r="AT2" s="539"/>
      <c r="AU2" s="540"/>
      <c r="AV2" s="541"/>
    </row>
    <row r="3" spans="1:48">
      <c r="A3" s="348">
        <v>1</v>
      </c>
      <c r="B3" s="349" t="s">
        <v>180</v>
      </c>
      <c r="C3" s="329"/>
      <c r="D3" s="545">
        <v>31.285714285714285</v>
      </c>
      <c r="E3" s="334">
        <v>1</v>
      </c>
      <c r="F3" s="335" t="s">
        <v>181</v>
      </c>
      <c r="G3" s="344"/>
      <c r="H3" s="345" t="s">
        <v>165</v>
      </c>
      <c r="I3" s="543">
        <v>1</v>
      </c>
      <c r="J3" s="544" t="s">
        <v>179</v>
      </c>
      <c r="K3" s="342"/>
      <c r="L3" s="365" t="s">
        <v>165</v>
      </c>
      <c r="M3" s="334">
        <v>1</v>
      </c>
      <c r="N3" s="335" t="s">
        <v>182</v>
      </c>
      <c r="O3" s="344"/>
      <c r="P3" s="345" t="s">
        <v>165</v>
      </c>
      <c r="Q3" s="348">
        <v>1</v>
      </c>
      <c r="R3" s="349" t="s">
        <v>181</v>
      </c>
      <c r="S3" s="344"/>
      <c r="T3" s="330" t="s">
        <v>165</v>
      </c>
      <c r="U3" s="543">
        <v>1</v>
      </c>
      <c r="V3" s="544" t="s">
        <v>184</v>
      </c>
      <c r="W3" s="342" t="s">
        <v>164</v>
      </c>
      <c r="X3" s="365" t="s">
        <v>165</v>
      </c>
      <c r="Y3" s="334">
        <v>1</v>
      </c>
      <c r="Z3" s="335" t="s">
        <v>178</v>
      </c>
      <c r="AA3" s="344"/>
      <c r="AB3" s="345" t="s">
        <v>165</v>
      </c>
      <c r="AC3" s="348">
        <v>1</v>
      </c>
      <c r="AD3" s="349" t="s">
        <v>178</v>
      </c>
      <c r="AE3" s="344"/>
      <c r="AF3" s="330" t="s">
        <v>165</v>
      </c>
      <c r="AG3" s="337">
        <v>1</v>
      </c>
      <c r="AH3" s="338" t="s">
        <v>179</v>
      </c>
      <c r="AI3" s="342"/>
      <c r="AJ3" s="341" t="s">
        <v>165</v>
      </c>
      <c r="AK3" s="348">
        <v>1</v>
      </c>
      <c r="AL3" s="349" t="s">
        <v>180</v>
      </c>
      <c r="AM3" s="344"/>
      <c r="AN3" s="330">
        <v>18.142857142857142</v>
      </c>
      <c r="AO3" s="334">
        <v>1</v>
      </c>
      <c r="AP3" s="335" t="s">
        <v>181</v>
      </c>
      <c r="AQ3" s="344"/>
      <c r="AR3" s="345" t="s">
        <v>165</v>
      </c>
      <c r="AS3" s="543">
        <v>1</v>
      </c>
      <c r="AT3" s="544" t="s">
        <v>179</v>
      </c>
      <c r="AU3" s="342"/>
      <c r="AV3" s="365" t="s">
        <v>165</v>
      </c>
    </row>
    <row r="4" spans="1:48">
      <c r="A4" s="334">
        <v>2</v>
      </c>
      <c r="B4" s="335" t="s">
        <v>182</v>
      </c>
      <c r="C4" s="336"/>
      <c r="D4" s="546" t="s">
        <v>165</v>
      </c>
      <c r="E4" s="334">
        <v>2</v>
      </c>
      <c r="F4" s="335" t="s">
        <v>183</v>
      </c>
      <c r="G4" s="346"/>
      <c r="H4" s="345" t="s">
        <v>165</v>
      </c>
      <c r="I4" s="337">
        <v>2</v>
      </c>
      <c r="J4" s="338" t="s">
        <v>184</v>
      </c>
      <c r="K4" s="340"/>
      <c r="L4" s="343" t="s">
        <v>165</v>
      </c>
      <c r="M4" s="334">
        <v>2</v>
      </c>
      <c r="N4" s="335" t="s">
        <v>178</v>
      </c>
      <c r="O4" s="346"/>
      <c r="P4" s="345" t="s">
        <v>165</v>
      </c>
      <c r="Q4" s="334">
        <v>2</v>
      </c>
      <c r="R4" s="335" t="s">
        <v>183</v>
      </c>
      <c r="S4" s="346"/>
      <c r="T4" s="352" t="s">
        <v>165</v>
      </c>
      <c r="U4" s="334">
        <v>2</v>
      </c>
      <c r="V4" s="335" t="s">
        <v>180</v>
      </c>
      <c r="W4" s="346"/>
      <c r="X4" s="352">
        <v>1.1428571428571428</v>
      </c>
      <c r="Y4" s="334">
        <v>2</v>
      </c>
      <c r="Z4" s="335" t="s">
        <v>181</v>
      </c>
      <c r="AA4" s="346"/>
      <c r="AB4" s="345" t="s">
        <v>165</v>
      </c>
      <c r="AC4" s="334">
        <v>2</v>
      </c>
      <c r="AD4" s="335" t="s">
        <v>181</v>
      </c>
      <c r="AE4" s="346"/>
      <c r="AF4" s="352" t="s">
        <v>165</v>
      </c>
      <c r="AG4" s="337">
        <v>2</v>
      </c>
      <c r="AH4" s="338" t="s">
        <v>184</v>
      </c>
      <c r="AI4" s="340" t="s">
        <v>208</v>
      </c>
      <c r="AJ4" s="341" t="s">
        <v>165</v>
      </c>
      <c r="AK4" s="334">
        <v>2</v>
      </c>
      <c r="AL4" s="335" t="s">
        <v>182</v>
      </c>
      <c r="AM4" s="346"/>
      <c r="AN4" s="352" t="s">
        <v>165</v>
      </c>
      <c r="AO4" s="334">
        <v>2</v>
      </c>
      <c r="AP4" s="335" t="s">
        <v>183</v>
      </c>
      <c r="AQ4" s="346"/>
      <c r="AR4" s="345" t="s">
        <v>165</v>
      </c>
      <c r="AS4" s="337">
        <v>2</v>
      </c>
      <c r="AT4" s="338" t="s">
        <v>184</v>
      </c>
      <c r="AU4" s="340"/>
      <c r="AV4" s="343" t="s">
        <v>165</v>
      </c>
    </row>
    <row r="5" spans="1:48">
      <c r="A5" s="334">
        <v>3</v>
      </c>
      <c r="B5" s="335" t="s">
        <v>178</v>
      </c>
      <c r="C5" s="336"/>
      <c r="D5" s="546" t="s">
        <v>165</v>
      </c>
      <c r="E5" s="337">
        <v>3</v>
      </c>
      <c r="F5" s="338" t="s">
        <v>179</v>
      </c>
      <c r="G5" s="340"/>
      <c r="H5" s="341" t="s">
        <v>165</v>
      </c>
      <c r="I5" s="334">
        <v>3</v>
      </c>
      <c r="J5" s="335" t="s">
        <v>180</v>
      </c>
      <c r="K5" s="346"/>
      <c r="L5" s="352">
        <v>40.285714285714285</v>
      </c>
      <c r="M5" s="334">
        <v>3</v>
      </c>
      <c r="N5" s="335" t="s">
        <v>181</v>
      </c>
      <c r="O5" s="346"/>
      <c r="P5" s="345" t="s">
        <v>165</v>
      </c>
      <c r="Q5" s="337">
        <v>3</v>
      </c>
      <c r="R5" s="338" t="s">
        <v>179</v>
      </c>
      <c r="S5" s="340"/>
      <c r="T5" s="343" t="s">
        <v>165</v>
      </c>
      <c r="U5" s="334">
        <v>3</v>
      </c>
      <c r="V5" s="335" t="s">
        <v>182</v>
      </c>
      <c r="W5" s="346"/>
      <c r="X5" s="352" t="s">
        <v>165</v>
      </c>
      <c r="Y5" s="334">
        <v>3</v>
      </c>
      <c r="Z5" s="335" t="s">
        <v>183</v>
      </c>
      <c r="AA5" s="346"/>
      <c r="AB5" s="345" t="s">
        <v>165</v>
      </c>
      <c r="AC5" s="334">
        <v>3</v>
      </c>
      <c r="AD5" s="335" t="s">
        <v>183</v>
      </c>
      <c r="AE5" s="346"/>
      <c r="AF5" s="352" t="s">
        <v>165</v>
      </c>
      <c r="AG5" s="334">
        <v>3</v>
      </c>
      <c r="AH5" s="335" t="s">
        <v>180</v>
      </c>
      <c r="AI5" s="346"/>
      <c r="AJ5" s="345">
        <v>14.142857142857142</v>
      </c>
      <c r="AK5" s="334">
        <v>3</v>
      </c>
      <c r="AL5" s="335" t="s">
        <v>178</v>
      </c>
      <c r="AM5" s="346"/>
      <c r="AN5" s="352" t="s">
        <v>165</v>
      </c>
      <c r="AO5" s="337">
        <v>3</v>
      </c>
      <c r="AP5" s="338" t="s">
        <v>179</v>
      </c>
      <c r="AQ5" s="340"/>
      <c r="AR5" s="341" t="s">
        <v>165</v>
      </c>
      <c r="AS5" s="334">
        <v>3</v>
      </c>
      <c r="AT5" s="335" t="s">
        <v>180</v>
      </c>
      <c r="AU5" s="346"/>
      <c r="AV5" s="352">
        <v>27.142857142857142</v>
      </c>
    </row>
    <row r="6" spans="1:48">
      <c r="A6" s="334">
        <v>4</v>
      </c>
      <c r="B6" s="335" t="s">
        <v>181</v>
      </c>
      <c r="C6" s="336"/>
      <c r="D6" s="546" t="s">
        <v>165</v>
      </c>
      <c r="E6" s="337">
        <v>4</v>
      </c>
      <c r="F6" s="338" t="s">
        <v>184</v>
      </c>
      <c r="G6" s="340"/>
      <c r="H6" s="341" t="s">
        <v>165</v>
      </c>
      <c r="I6" s="334">
        <v>4</v>
      </c>
      <c r="J6" s="335" t="s">
        <v>182</v>
      </c>
      <c r="K6" s="346"/>
      <c r="L6" s="352" t="s">
        <v>165</v>
      </c>
      <c r="M6" s="334">
        <v>4</v>
      </c>
      <c r="N6" s="335" t="s">
        <v>183</v>
      </c>
      <c r="O6" s="346"/>
      <c r="P6" s="345" t="s">
        <v>165</v>
      </c>
      <c r="Q6" s="337">
        <v>4</v>
      </c>
      <c r="R6" s="338" t="s">
        <v>184</v>
      </c>
      <c r="S6" s="340"/>
      <c r="T6" s="343" t="s">
        <v>165</v>
      </c>
      <c r="U6" s="334">
        <v>4</v>
      </c>
      <c r="V6" s="335" t="s">
        <v>178</v>
      </c>
      <c r="W6" s="346"/>
      <c r="X6" s="352" t="s">
        <v>165</v>
      </c>
      <c r="Y6" s="337">
        <v>4</v>
      </c>
      <c r="Z6" s="338" t="s">
        <v>179</v>
      </c>
      <c r="AA6" s="340"/>
      <c r="AB6" s="341" t="s">
        <v>165</v>
      </c>
      <c r="AC6" s="337">
        <v>4</v>
      </c>
      <c r="AD6" s="338" t="s">
        <v>179</v>
      </c>
      <c r="AE6" s="340"/>
      <c r="AF6" s="343" t="s">
        <v>165</v>
      </c>
      <c r="AG6" s="334">
        <v>4</v>
      </c>
      <c r="AH6" s="335" t="s">
        <v>182</v>
      </c>
      <c r="AI6" s="346"/>
      <c r="AJ6" s="345" t="s">
        <v>165</v>
      </c>
      <c r="AK6" s="334">
        <v>4</v>
      </c>
      <c r="AL6" s="335" t="s">
        <v>181</v>
      </c>
      <c r="AM6" s="346"/>
      <c r="AN6" s="352" t="s">
        <v>165</v>
      </c>
      <c r="AO6" s="337">
        <v>4</v>
      </c>
      <c r="AP6" s="338" t="s">
        <v>184</v>
      </c>
      <c r="AQ6" s="340"/>
      <c r="AR6" s="341" t="s">
        <v>165</v>
      </c>
      <c r="AS6" s="334">
        <v>4</v>
      </c>
      <c r="AT6" s="335" t="s">
        <v>182</v>
      </c>
      <c r="AU6" s="346"/>
      <c r="AV6" s="352" t="s">
        <v>165</v>
      </c>
    </row>
    <row r="7" spans="1:48">
      <c r="A7" s="334">
        <v>5</v>
      </c>
      <c r="B7" s="335" t="s">
        <v>183</v>
      </c>
      <c r="C7" s="336"/>
      <c r="D7" s="547" t="s">
        <v>165</v>
      </c>
      <c r="E7" s="334">
        <v>5</v>
      </c>
      <c r="F7" s="335" t="s">
        <v>180</v>
      </c>
      <c r="G7" s="346"/>
      <c r="H7" s="345">
        <v>36.285714285714285</v>
      </c>
      <c r="I7" s="334">
        <v>5</v>
      </c>
      <c r="J7" s="335" t="s">
        <v>178</v>
      </c>
      <c r="K7" s="346"/>
      <c r="L7" s="352" t="s">
        <v>165</v>
      </c>
      <c r="M7" s="337">
        <v>5</v>
      </c>
      <c r="N7" s="338" t="s">
        <v>179</v>
      </c>
      <c r="O7" s="340"/>
      <c r="P7" s="341" t="s">
        <v>165</v>
      </c>
      <c r="Q7" s="334">
        <v>5</v>
      </c>
      <c r="R7" s="335" t="s">
        <v>180</v>
      </c>
      <c r="S7" s="346"/>
      <c r="T7" s="352">
        <v>49.285714285714285</v>
      </c>
      <c r="U7" s="334">
        <v>5</v>
      </c>
      <c r="V7" s="335" t="s">
        <v>181</v>
      </c>
      <c r="W7" s="346"/>
      <c r="X7" s="352" t="s">
        <v>165</v>
      </c>
      <c r="Y7" s="337">
        <v>5</v>
      </c>
      <c r="Z7" s="338" t="s">
        <v>184</v>
      </c>
      <c r="AA7" s="340"/>
      <c r="AB7" s="341" t="s">
        <v>165</v>
      </c>
      <c r="AC7" s="337">
        <v>5</v>
      </c>
      <c r="AD7" s="338" t="s">
        <v>184</v>
      </c>
      <c r="AE7" s="340"/>
      <c r="AF7" s="343" t="s">
        <v>165</v>
      </c>
      <c r="AG7" s="334">
        <v>5</v>
      </c>
      <c r="AH7" s="335" t="s">
        <v>178</v>
      </c>
      <c r="AI7" s="346"/>
      <c r="AJ7" s="345" t="s">
        <v>165</v>
      </c>
      <c r="AK7" s="334">
        <v>5</v>
      </c>
      <c r="AL7" s="335" t="s">
        <v>183</v>
      </c>
      <c r="AM7" s="346" t="s">
        <v>193</v>
      </c>
      <c r="AN7" s="352" t="s">
        <v>165</v>
      </c>
      <c r="AO7" s="334">
        <v>5</v>
      </c>
      <c r="AP7" s="335" t="s">
        <v>180</v>
      </c>
      <c r="AQ7" s="346" t="s">
        <v>255</v>
      </c>
      <c r="AR7" s="345">
        <v>23.142857142857142</v>
      </c>
      <c r="AS7" s="334">
        <v>5</v>
      </c>
      <c r="AT7" s="335" t="s">
        <v>178</v>
      </c>
      <c r="AU7" s="346"/>
      <c r="AV7" s="352" t="s">
        <v>165</v>
      </c>
    </row>
    <row r="8" spans="1:48">
      <c r="A8" s="337">
        <v>6</v>
      </c>
      <c r="B8" s="338" t="s">
        <v>179</v>
      </c>
      <c r="C8" s="339"/>
      <c r="D8" s="548" t="s">
        <v>165</v>
      </c>
      <c r="E8" s="334">
        <v>6</v>
      </c>
      <c r="F8" s="335" t="s">
        <v>182</v>
      </c>
      <c r="G8" s="346"/>
      <c r="H8" s="345" t="s">
        <v>165</v>
      </c>
      <c r="I8" s="334">
        <v>6</v>
      </c>
      <c r="J8" s="335" t="s">
        <v>181</v>
      </c>
      <c r="K8" s="346"/>
      <c r="L8" s="352" t="s">
        <v>165</v>
      </c>
      <c r="M8" s="337">
        <v>6</v>
      </c>
      <c r="N8" s="338" t="s">
        <v>184</v>
      </c>
      <c r="O8" s="340"/>
      <c r="P8" s="341" t="s">
        <v>165</v>
      </c>
      <c r="Q8" s="334">
        <v>6</v>
      </c>
      <c r="R8" s="335" t="s">
        <v>182</v>
      </c>
      <c r="S8" s="346"/>
      <c r="T8" s="352" t="s">
        <v>165</v>
      </c>
      <c r="U8" s="334">
        <v>6</v>
      </c>
      <c r="V8" s="335" t="s">
        <v>183</v>
      </c>
      <c r="W8" s="346"/>
      <c r="X8" s="352" t="s">
        <v>165</v>
      </c>
      <c r="Y8" s="334">
        <v>6</v>
      </c>
      <c r="Z8" s="335" t="s">
        <v>180</v>
      </c>
      <c r="AA8" s="346"/>
      <c r="AB8" s="345">
        <v>6.1428571428571432</v>
      </c>
      <c r="AC8" s="334">
        <v>6</v>
      </c>
      <c r="AD8" s="335" t="s">
        <v>180</v>
      </c>
      <c r="AE8" s="346"/>
      <c r="AF8" s="352">
        <v>10.142857142857142</v>
      </c>
      <c r="AG8" s="334">
        <v>6</v>
      </c>
      <c r="AH8" s="335" t="s">
        <v>181</v>
      </c>
      <c r="AI8" s="346" t="s">
        <v>110</v>
      </c>
      <c r="AJ8" s="345" t="s">
        <v>165</v>
      </c>
      <c r="AK8" s="337">
        <v>6</v>
      </c>
      <c r="AL8" s="338" t="s">
        <v>179</v>
      </c>
      <c r="AM8" s="340"/>
      <c r="AN8" s="343" t="s">
        <v>165</v>
      </c>
      <c r="AO8" s="334">
        <v>6</v>
      </c>
      <c r="AP8" s="335" t="s">
        <v>182</v>
      </c>
      <c r="AQ8" s="346"/>
      <c r="AR8" s="345" t="s">
        <v>165</v>
      </c>
      <c r="AS8" s="334">
        <v>6</v>
      </c>
      <c r="AT8" s="335" t="s">
        <v>181</v>
      </c>
      <c r="AU8" s="346"/>
      <c r="AV8" s="352" t="s">
        <v>165</v>
      </c>
    </row>
    <row r="9" spans="1:48">
      <c r="A9" s="337">
        <v>7</v>
      </c>
      <c r="B9" s="338" t="s">
        <v>184</v>
      </c>
      <c r="C9" s="339"/>
      <c r="D9" s="548" t="s">
        <v>165</v>
      </c>
      <c r="E9" s="334">
        <v>7</v>
      </c>
      <c r="F9" s="335" t="s">
        <v>178</v>
      </c>
      <c r="G9" s="346"/>
      <c r="H9" s="345" t="s">
        <v>165</v>
      </c>
      <c r="I9" s="334">
        <v>7</v>
      </c>
      <c r="J9" s="335" t="s">
        <v>183</v>
      </c>
      <c r="K9" s="346"/>
      <c r="L9" s="352" t="s">
        <v>165</v>
      </c>
      <c r="M9" s="334">
        <v>7</v>
      </c>
      <c r="N9" s="335" t="s">
        <v>180</v>
      </c>
      <c r="O9" s="346"/>
      <c r="P9" s="345">
        <v>45.285714285714285</v>
      </c>
      <c r="Q9" s="334">
        <v>7</v>
      </c>
      <c r="R9" s="335" t="s">
        <v>178</v>
      </c>
      <c r="S9" s="346"/>
      <c r="T9" s="352" t="s">
        <v>165</v>
      </c>
      <c r="U9" s="337">
        <v>7</v>
      </c>
      <c r="V9" s="338" t="s">
        <v>179</v>
      </c>
      <c r="W9" s="340"/>
      <c r="X9" s="343" t="s">
        <v>165</v>
      </c>
      <c r="Y9" s="334">
        <v>7</v>
      </c>
      <c r="Z9" s="335" t="s">
        <v>182</v>
      </c>
      <c r="AA9" s="346"/>
      <c r="AB9" s="345" t="s">
        <v>165</v>
      </c>
      <c r="AC9" s="334">
        <v>7</v>
      </c>
      <c r="AD9" s="335" t="s">
        <v>182</v>
      </c>
      <c r="AE9" s="346"/>
      <c r="AF9" s="352" t="s">
        <v>165</v>
      </c>
      <c r="AG9" s="334">
        <v>7</v>
      </c>
      <c r="AH9" s="335" t="s">
        <v>183</v>
      </c>
      <c r="AI9" s="346" t="s">
        <v>193</v>
      </c>
      <c r="AJ9" s="345" t="s">
        <v>165</v>
      </c>
      <c r="AK9" s="337">
        <v>7</v>
      </c>
      <c r="AL9" s="338" t="s">
        <v>184</v>
      </c>
      <c r="AM9" s="340"/>
      <c r="AN9" s="343" t="s">
        <v>165</v>
      </c>
      <c r="AO9" s="334">
        <v>7</v>
      </c>
      <c r="AP9" s="335" t="s">
        <v>178</v>
      </c>
      <c r="AQ9" s="346"/>
      <c r="AR9" s="345" t="s">
        <v>165</v>
      </c>
      <c r="AS9" s="334">
        <v>7</v>
      </c>
      <c r="AT9" s="335" t="s">
        <v>183</v>
      </c>
      <c r="AU9" s="346"/>
      <c r="AV9" s="352" t="s">
        <v>165</v>
      </c>
    </row>
    <row r="10" spans="1:48">
      <c r="A10" s="334">
        <v>8</v>
      </c>
      <c r="B10" s="335" t="s">
        <v>180</v>
      </c>
      <c r="C10" s="336"/>
      <c r="D10" s="546">
        <v>32.285714285714285</v>
      </c>
      <c r="E10" s="334">
        <v>8</v>
      </c>
      <c r="F10" s="335" t="s">
        <v>181</v>
      </c>
      <c r="G10" s="346"/>
      <c r="H10" s="345" t="s">
        <v>165</v>
      </c>
      <c r="I10" s="337">
        <v>8</v>
      </c>
      <c r="J10" s="338" t="s">
        <v>179</v>
      </c>
      <c r="K10" s="340"/>
      <c r="L10" s="343" t="s">
        <v>165</v>
      </c>
      <c r="M10" s="334">
        <v>8</v>
      </c>
      <c r="N10" s="335" t="s">
        <v>182</v>
      </c>
      <c r="O10" s="346"/>
      <c r="P10" s="345" t="s">
        <v>165</v>
      </c>
      <c r="Q10" s="334">
        <v>8</v>
      </c>
      <c r="R10" s="335" t="s">
        <v>181</v>
      </c>
      <c r="S10" s="346"/>
      <c r="T10" s="352" t="s">
        <v>165</v>
      </c>
      <c r="U10" s="337">
        <v>8</v>
      </c>
      <c r="V10" s="338" t="s">
        <v>184</v>
      </c>
      <c r="W10" s="340"/>
      <c r="X10" s="343" t="s">
        <v>165</v>
      </c>
      <c r="Y10" s="334">
        <v>8</v>
      </c>
      <c r="Z10" s="335" t="s">
        <v>178</v>
      </c>
      <c r="AA10" s="346"/>
      <c r="AB10" s="345" t="s">
        <v>165</v>
      </c>
      <c r="AC10" s="334">
        <v>8</v>
      </c>
      <c r="AD10" s="335" t="s">
        <v>178</v>
      </c>
      <c r="AE10" s="346"/>
      <c r="AF10" s="352" t="s">
        <v>165</v>
      </c>
      <c r="AG10" s="337">
        <v>8</v>
      </c>
      <c r="AH10" s="338" t="s">
        <v>179</v>
      </c>
      <c r="AI10" s="340"/>
      <c r="AJ10" s="341" t="s">
        <v>165</v>
      </c>
      <c r="AK10" s="334">
        <v>8</v>
      </c>
      <c r="AL10" s="335" t="s">
        <v>180</v>
      </c>
      <c r="AM10" s="346"/>
      <c r="AN10" s="352">
        <v>19.142857142857142</v>
      </c>
      <c r="AO10" s="334">
        <v>8</v>
      </c>
      <c r="AP10" s="335" t="s">
        <v>181</v>
      </c>
      <c r="AQ10" s="346"/>
      <c r="AR10" s="345" t="s">
        <v>165</v>
      </c>
      <c r="AS10" s="337">
        <v>8</v>
      </c>
      <c r="AT10" s="338" t="s">
        <v>179</v>
      </c>
      <c r="AU10" s="340"/>
      <c r="AV10" s="343" t="s">
        <v>165</v>
      </c>
    </row>
    <row r="11" spans="1:48">
      <c r="A11" s="334">
        <v>9</v>
      </c>
      <c r="B11" s="335" t="s">
        <v>182</v>
      </c>
      <c r="C11" s="336"/>
      <c r="D11" s="546" t="s">
        <v>165</v>
      </c>
      <c r="E11" s="334">
        <v>9</v>
      </c>
      <c r="F11" s="335" t="s">
        <v>183</v>
      </c>
      <c r="G11" s="346"/>
      <c r="H11" s="345" t="s">
        <v>165</v>
      </c>
      <c r="I11" s="337">
        <v>9</v>
      </c>
      <c r="J11" s="338" t="s">
        <v>184</v>
      </c>
      <c r="K11" s="340"/>
      <c r="L11" s="343" t="s">
        <v>165</v>
      </c>
      <c r="M11" s="334">
        <v>9</v>
      </c>
      <c r="N11" s="335" t="s">
        <v>178</v>
      </c>
      <c r="O11" s="346"/>
      <c r="P11" s="345" t="s">
        <v>165</v>
      </c>
      <c r="Q11" s="334">
        <v>9</v>
      </c>
      <c r="R11" s="335" t="s">
        <v>183</v>
      </c>
      <c r="S11" s="346"/>
      <c r="T11" s="352" t="s">
        <v>165</v>
      </c>
      <c r="U11" s="334">
        <v>9</v>
      </c>
      <c r="V11" s="335" t="s">
        <v>180</v>
      </c>
      <c r="W11" s="346"/>
      <c r="X11" s="352">
        <v>2.1428571428571428</v>
      </c>
      <c r="Y11" s="334">
        <v>9</v>
      </c>
      <c r="Z11" s="335" t="s">
        <v>181</v>
      </c>
      <c r="AA11" s="346"/>
      <c r="AB11" s="345" t="s">
        <v>165</v>
      </c>
      <c r="AC11" s="334">
        <v>9</v>
      </c>
      <c r="AD11" s="335" t="s">
        <v>181</v>
      </c>
      <c r="AE11" s="346"/>
      <c r="AF11" s="352" t="s">
        <v>165</v>
      </c>
      <c r="AG11" s="337">
        <v>9</v>
      </c>
      <c r="AH11" s="338" t="s">
        <v>184</v>
      </c>
      <c r="AI11" s="340" t="s">
        <v>129</v>
      </c>
      <c r="AJ11" s="341" t="s">
        <v>165</v>
      </c>
      <c r="AK11" s="334">
        <v>9</v>
      </c>
      <c r="AL11" s="335" t="s">
        <v>182</v>
      </c>
      <c r="AM11" s="346"/>
      <c r="AN11" s="352" t="s">
        <v>165</v>
      </c>
      <c r="AO11" s="334">
        <v>9</v>
      </c>
      <c r="AP11" s="335" t="s">
        <v>183</v>
      </c>
      <c r="AQ11" s="346"/>
      <c r="AR11" s="345" t="s">
        <v>165</v>
      </c>
      <c r="AS11" s="337">
        <v>9</v>
      </c>
      <c r="AT11" s="338" t="s">
        <v>184</v>
      </c>
      <c r="AU11" s="340"/>
      <c r="AV11" s="343" t="s">
        <v>165</v>
      </c>
    </row>
    <row r="12" spans="1:48">
      <c r="A12" s="334">
        <v>10</v>
      </c>
      <c r="B12" s="335" t="s">
        <v>178</v>
      </c>
      <c r="C12" s="336"/>
      <c r="D12" s="546" t="s">
        <v>165</v>
      </c>
      <c r="E12" s="337">
        <v>10</v>
      </c>
      <c r="F12" s="338" t="s">
        <v>179</v>
      </c>
      <c r="G12" s="340"/>
      <c r="H12" s="341" t="s">
        <v>165</v>
      </c>
      <c r="I12" s="334">
        <v>10</v>
      </c>
      <c r="J12" s="335" t="s">
        <v>180</v>
      </c>
      <c r="K12" s="346"/>
      <c r="L12" s="352">
        <v>41.285714285714285</v>
      </c>
      <c r="M12" s="334">
        <v>10</v>
      </c>
      <c r="N12" s="335" t="s">
        <v>181</v>
      </c>
      <c r="O12" s="346"/>
      <c r="P12" s="345" t="s">
        <v>165</v>
      </c>
      <c r="Q12" s="337">
        <v>10</v>
      </c>
      <c r="R12" s="338" t="s">
        <v>179</v>
      </c>
      <c r="S12" s="340"/>
      <c r="T12" s="343" t="s">
        <v>165</v>
      </c>
      <c r="U12" s="334">
        <v>10</v>
      </c>
      <c r="V12" s="335" t="s">
        <v>182</v>
      </c>
      <c r="W12" s="346"/>
      <c r="X12" s="352" t="s">
        <v>165</v>
      </c>
      <c r="Y12" s="334">
        <v>10</v>
      </c>
      <c r="Z12" s="335" t="s">
        <v>183</v>
      </c>
      <c r="AA12" s="346"/>
      <c r="AB12" s="345" t="s">
        <v>165</v>
      </c>
      <c r="AC12" s="334">
        <v>10</v>
      </c>
      <c r="AD12" s="335" t="s">
        <v>183</v>
      </c>
      <c r="AE12" s="346"/>
      <c r="AF12" s="352" t="s">
        <v>165</v>
      </c>
      <c r="AG12" s="334">
        <v>10</v>
      </c>
      <c r="AH12" s="335" t="s">
        <v>180</v>
      </c>
      <c r="AI12" s="346" t="s">
        <v>369</v>
      </c>
      <c r="AJ12" s="345">
        <v>15.142857142857142</v>
      </c>
      <c r="AK12" s="334">
        <v>10</v>
      </c>
      <c r="AL12" s="335" t="s">
        <v>178</v>
      </c>
      <c r="AM12" s="346"/>
      <c r="AN12" s="352" t="s">
        <v>165</v>
      </c>
      <c r="AO12" s="337">
        <v>10</v>
      </c>
      <c r="AP12" s="338" t="s">
        <v>179</v>
      </c>
      <c r="AQ12" s="340"/>
      <c r="AR12" s="341" t="s">
        <v>165</v>
      </c>
      <c r="AS12" s="334">
        <v>10</v>
      </c>
      <c r="AT12" s="335" t="s">
        <v>180</v>
      </c>
      <c r="AU12" s="346"/>
      <c r="AV12" s="352">
        <v>28.142857142857142</v>
      </c>
    </row>
    <row r="13" spans="1:48">
      <c r="A13" s="334">
        <v>11</v>
      </c>
      <c r="B13" s="335" t="s">
        <v>181</v>
      </c>
      <c r="C13" s="336"/>
      <c r="D13" s="546" t="s">
        <v>165</v>
      </c>
      <c r="E13" s="337">
        <v>11</v>
      </c>
      <c r="F13" s="338" t="s">
        <v>184</v>
      </c>
      <c r="G13" s="340"/>
      <c r="H13" s="341" t="s">
        <v>165</v>
      </c>
      <c r="I13" s="334">
        <v>11</v>
      </c>
      <c r="J13" s="335" t="s">
        <v>182</v>
      </c>
      <c r="K13" s="346"/>
      <c r="L13" s="352" t="s">
        <v>165</v>
      </c>
      <c r="M13" s="334">
        <v>11</v>
      </c>
      <c r="N13" s="335" t="s">
        <v>183</v>
      </c>
      <c r="O13" s="346"/>
      <c r="P13" s="345" t="s">
        <v>165</v>
      </c>
      <c r="Q13" s="337">
        <v>11</v>
      </c>
      <c r="R13" s="338" t="s">
        <v>184</v>
      </c>
      <c r="S13" s="340"/>
      <c r="T13" s="343" t="s">
        <v>165</v>
      </c>
      <c r="U13" s="334">
        <v>11</v>
      </c>
      <c r="V13" s="335" t="s">
        <v>178</v>
      </c>
      <c r="W13" s="346"/>
      <c r="X13" s="352" t="s">
        <v>165</v>
      </c>
      <c r="Y13" s="337">
        <v>11</v>
      </c>
      <c r="Z13" s="338" t="s">
        <v>179</v>
      </c>
      <c r="AA13" s="340"/>
      <c r="AB13" s="341" t="s">
        <v>165</v>
      </c>
      <c r="AC13" s="337">
        <v>11</v>
      </c>
      <c r="AD13" s="338" t="s">
        <v>179</v>
      </c>
      <c r="AE13" s="340"/>
      <c r="AF13" s="343" t="s">
        <v>165</v>
      </c>
      <c r="AG13" s="334">
        <v>11</v>
      </c>
      <c r="AH13" s="335" t="s">
        <v>182</v>
      </c>
      <c r="AI13" s="346"/>
      <c r="AJ13" s="345" t="s">
        <v>165</v>
      </c>
      <c r="AK13" s="334">
        <v>11</v>
      </c>
      <c r="AL13" s="335" t="s">
        <v>181</v>
      </c>
      <c r="AM13" s="346"/>
      <c r="AN13" s="352" t="s">
        <v>165</v>
      </c>
      <c r="AO13" s="337">
        <v>11</v>
      </c>
      <c r="AP13" s="338" t="s">
        <v>184</v>
      </c>
      <c r="AQ13" s="340"/>
      <c r="AR13" s="341" t="s">
        <v>165</v>
      </c>
      <c r="AS13" s="334">
        <v>11</v>
      </c>
      <c r="AT13" s="335" t="s">
        <v>182</v>
      </c>
      <c r="AU13" s="346"/>
      <c r="AV13" s="352" t="s">
        <v>165</v>
      </c>
    </row>
    <row r="14" spans="1:48">
      <c r="A14" s="334">
        <v>12</v>
      </c>
      <c r="B14" s="335" t="s">
        <v>183</v>
      </c>
      <c r="C14" s="336"/>
      <c r="D14" s="547" t="s">
        <v>165</v>
      </c>
      <c r="E14" s="334">
        <v>12</v>
      </c>
      <c r="F14" s="335" t="s">
        <v>180</v>
      </c>
      <c r="G14" s="346"/>
      <c r="H14" s="345">
        <v>37.285714285714285</v>
      </c>
      <c r="I14" s="334">
        <v>12</v>
      </c>
      <c r="J14" s="335" t="s">
        <v>178</v>
      </c>
      <c r="K14" s="346"/>
      <c r="L14" s="352" t="s">
        <v>165</v>
      </c>
      <c r="M14" s="337">
        <v>12</v>
      </c>
      <c r="N14" s="338" t="s">
        <v>179</v>
      </c>
      <c r="O14" s="340"/>
      <c r="P14" s="341" t="s">
        <v>165</v>
      </c>
      <c r="Q14" s="334">
        <v>12</v>
      </c>
      <c r="R14" s="335" t="s">
        <v>180</v>
      </c>
      <c r="S14" s="346"/>
      <c r="T14" s="352">
        <v>50.285714285714285</v>
      </c>
      <c r="U14" s="334">
        <v>12</v>
      </c>
      <c r="V14" s="335" t="s">
        <v>181</v>
      </c>
      <c r="W14" s="346"/>
      <c r="X14" s="352" t="s">
        <v>165</v>
      </c>
      <c r="Y14" s="337">
        <v>12</v>
      </c>
      <c r="Z14" s="338" t="s">
        <v>184</v>
      </c>
      <c r="AA14" s="340"/>
      <c r="AB14" s="341" t="s">
        <v>165</v>
      </c>
      <c r="AC14" s="337">
        <v>12</v>
      </c>
      <c r="AD14" s="338" t="s">
        <v>184</v>
      </c>
      <c r="AE14" s="340"/>
      <c r="AF14" s="343" t="s">
        <v>165</v>
      </c>
      <c r="AG14" s="334">
        <v>12</v>
      </c>
      <c r="AH14" s="335" t="s">
        <v>178</v>
      </c>
      <c r="AI14" s="346"/>
      <c r="AJ14" s="345" t="s">
        <v>165</v>
      </c>
      <c r="AK14" s="334">
        <v>12</v>
      </c>
      <c r="AL14" s="335" t="s">
        <v>183</v>
      </c>
      <c r="AM14" s="346"/>
      <c r="AN14" s="352" t="s">
        <v>165</v>
      </c>
      <c r="AO14" s="334">
        <v>12</v>
      </c>
      <c r="AP14" s="335" t="s">
        <v>180</v>
      </c>
      <c r="AQ14" s="346"/>
      <c r="AR14" s="345">
        <v>24.142857142857142</v>
      </c>
      <c r="AS14" s="334">
        <v>12</v>
      </c>
      <c r="AT14" s="335" t="s">
        <v>178</v>
      </c>
      <c r="AU14" s="346"/>
      <c r="AV14" s="352" t="s">
        <v>165</v>
      </c>
    </row>
    <row r="15" spans="1:48">
      <c r="A15" s="337">
        <v>13</v>
      </c>
      <c r="B15" s="338" t="s">
        <v>179</v>
      </c>
      <c r="C15" s="339"/>
      <c r="D15" s="548" t="s">
        <v>165</v>
      </c>
      <c r="E15" s="334">
        <v>13</v>
      </c>
      <c r="F15" s="335" t="s">
        <v>182</v>
      </c>
      <c r="G15" s="346"/>
      <c r="H15" s="345" t="s">
        <v>165</v>
      </c>
      <c r="I15" s="334">
        <v>13</v>
      </c>
      <c r="J15" s="335" t="s">
        <v>181</v>
      </c>
      <c r="K15" s="346"/>
      <c r="L15" s="352" t="s">
        <v>165</v>
      </c>
      <c r="M15" s="337">
        <v>13</v>
      </c>
      <c r="N15" s="338" t="s">
        <v>184</v>
      </c>
      <c r="O15" s="340"/>
      <c r="P15" s="341" t="s">
        <v>165</v>
      </c>
      <c r="Q15" s="334">
        <v>13</v>
      </c>
      <c r="R15" s="335" t="s">
        <v>182</v>
      </c>
      <c r="S15" s="346"/>
      <c r="T15" s="352" t="s">
        <v>165</v>
      </c>
      <c r="U15" s="334">
        <v>13</v>
      </c>
      <c r="V15" s="335" t="s">
        <v>183</v>
      </c>
      <c r="W15" s="346"/>
      <c r="X15" s="352" t="s">
        <v>165</v>
      </c>
      <c r="Y15" s="334">
        <v>13</v>
      </c>
      <c r="Z15" s="335" t="s">
        <v>180</v>
      </c>
      <c r="AA15" s="346"/>
      <c r="AB15" s="345">
        <v>7.1428571428571432</v>
      </c>
      <c r="AC15" s="334">
        <v>13</v>
      </c>
      <c r="AD15" s="335" t="s">
        <v>180</v>
      </c>
      <c r="AE15" s="346"/>
      <c r="AF15" s="352">
        <v>11.142857142857142</v>
      </c>
      <c r="AG15" s="334">
        <v>13</v>
      </c>
      <c r="AH15" s="335" t="s">
        <v>181</v>
      </c>
      <c r="AI15" s="346"/>
      <c r="AJ15" s="345" t="s">
        <v>165</v>
      </c>
      <c r="AK15" s="337">
        <v>13</v>
      </c>
      <c r="AL15" s="338" t="s">
        <v>179</v>
      </c>
      <c r="AM15" s="340"/>
      <c r="AN15" s="343" t="s">
        <v>165</v>
      </c>
      <c r="AO15" s="334">
        <v>13</v>
      </c>
      <c r="AP15" s="335" t="s">
        <v>182</v>
      </c>
      <c r="AQ15" s="346"/>
      <c r="AR15" s="345" t="s">
        <v>165</v>
      </c>
      <c r="AS15" s="334">
        <v>13</v>
      </c>
      <c r="AT15" s="335" t="s">
        <v>181</v>
      </c>
      <c r="AU15" s="346"/>
      <c r="AV15" s="352" t="s">
        <v>165</v>
      </c>
    </row>
    <row r="16" spans="1:48">
      <c r="A16" s="337">
        <v>14</v>
      </c>
      <c r="B16" s="338" t="s">
        <v>184</v>
      </c>
      <c r="C16" s="339"/>
      <c r="D16" s="548" t="s">
        <v>165</v>
      </c>
      <c r="E16" s="334">
        <v>14</v>
      </c>
      <c r="F16" s="335" t="s">
        <v>178</v>
      </c>
      <c r="G16" s="346"/>
      <c r="H16" s="345" t="s">
        <v>165</v>
      </c>
      <c r="I16" s="334">
        <v>14</v>
      </c>
      <c r="J16" s="335" t="s">
        <v>183</v>
      </c>
      <c r="K16" s="346"/>
      <c r="L16" s="352" t="s">
        <v>165</v>
      </c>
      <c r="M16" s="334">
        <v>14</v>
      </c>
      <c r="N16" s="335" t="s">
        <v>180</v>
      </c>
      <c r="O16" s="346"/>
      <c r="P16" s="345">
        <v>46.285714285714285</v>
      </c>
      <c r="Q16" s="334">
        <v>14</v>
      </c>
      <c r="R16" s="335" t="s">
        <v>178</v>
      </c>
      <c r="S16" s="346"/>
      <c r="T16" s="352" t="s">
        <v>165</v>
      </c>
      <c r="U16" s="337">
        <v>14</v>
      </c>
      <c r="V16" s="338" t="s">
        <v>179</v>
      </c>
      <c r="W16" s="340"/>
      <c r="X16" s="343" t="s">
        <v>165</v>
      </c>
      <c r="Y16" s="334">
        <v>14</v>
      </c>
      <c r="Z16" s="335" t="s">
        <v>182</v>
      </c>
      <c r="AA16" s="346"/>
      <c r="AB16" s="345" t="s">
        <v>165</v>
      </c>
      <c r="AC16" s="334">
        <v>14</v>
      </c>
      <c r="AD16" s="335" t="s">
        <v>182</v>
      </c>
      <c r="AE16" s="346"/>
      <c r="AF16" s="352" t="s">
        <v>165</v>
      </c>
      <c r="AG16" s="334">
        <v>14</v>
      </c>
      <c r="AH16" s="335" t="s">
        <v>183</v>
      </c>
      <c r="AI16" s="346"/>
      <c r="AJ16" s="345" t="s">
        <v>165</v>
      </c>
      <c r="AK16" s="337">
        <v>14</v>
      </c>
      <c r="AL16" s="338" t="s">
        <v>184</v>
      </c>
      <c r="AM16" s="340"/>
      <c r="AN16" s="343" t="s">
        <v>165</v>
      </c>
      <c r="AO16" s="334">
        <v>14</v>
      </c>
      <c r="AP16" s="335" t="s">
        <v>178</v>
      </c>
      <c r="AQ16" s="346"/>
      <c r="AR16" s="345" t="s">
        <v>165</v>
      </c>
      <c r="AS16" s="334">
        <v>14</v>
      </c>
      <c r="AT16" s="335" t="s">
        <v>183</v>
      </c>
      <c r="AU16" s="346"/>
      <c r="AV16" s="352" t="s">
        <v>165</v>
      </c>
    </row>
    <row r="17" spans="1:48">
      <c r="A17" s="334">
        <v>15</v>
      </c>
      <c r="B17" s="335" t="s">
        <v>180</v>
      </c>
      <c r="C17" s="336"/>
      <c r="D17" s="546">
        <v>33.285714285714285</v>
      </c>
      <c r="E17" s="334">
        <v>15</v>
      </c>
      <c r="F17" s="335" t="s">
        <v>181</v>
      </c>
      <c r="G17" s="346"/>
      <c r="H17" s="345" t="s">
        <v>165</v>
      </c>
      <c r="I17" s="337">
        <v>15</v>
      </c>
      <c r="J17" s="338" t="s">
        <v>179</v>
      </c>
      <c r="K17" s="340"/>
      <c r="L17" s="343" t="s">
        <v>165</v>
      </c>
      <c r="M17" s="334">
        <v>15</v>
      </c>
      <c r="N17" s="335" t="s">
        <v>182</v>
      </c>
      <c r="O17" s="346"/>
      <c r="P17" s="345" t="s">
        <v>165</v>
      </c>
      <c r="Q17" s="334">
        <v>15</v>
      </c>
      <c r="R17" s="335" t="s">
        <v>181</v>
      </c>
      <c r="S17" s="346"/>
      <c r="T17" s="352" t="s">
        <v>165</v>
      </c>
      <c r="U17" s="337">
        <v>15</v>
      </c>
      <c r="V17" s="338" t="s">
        <v>184</v>
      </c>
      <c r="W17" s="340"/>
      <c r="X17" s="343" t="s">
        <v>165</v>
      </c>
      <c r="Y17" s="334">
        <v>15</v>
      </c>
      <c r="Z17" s="335" t="s">
        <v>178</v>
      </c>
      <c r="AA17" s="346"/>
      <c r="AB17" s="345" t="s">
        <v>165</v>
      </c>
      <c r="AC17" s="334">
        <v>15</v>
      </c>
      <c r="AD17" s="335" t="s">
        <v>178</v>
      </c>
      <c r="AE17" s="346"/>
      <c r="AF17" s="352" t="s">
        <v>165</v>
      </c>
      <c r="AG17" s="337">
        <v>15</v>
      </c>
      <c r="AH17" s="338" t="s">
        <v>179</v>
      </c>
      <c r="AI17" s="340"/>
      <c r="AJ17" s="341" t="s">
        <v>165</v>
      </c>
      <c r="AK17" s="334">
        <v>15</v>
      </c>
      <c r="AL17" s="335" t="s">
        <v>180</v>
      </c>
      <c r="AM17" s="346"/>
      <c r="AN17" s="352">
        <v>20.142857142857142</v>
      </c>
      <c r="AO17" s="334">
        <v>15</v>
      </c>
      <c r="AP17" s="335" t="s">
        <v>181</v>
      </c>
      <c r="AQ17" s="346"/>
      <c r="AR17" s="345" t="s">
        <v>165</v>
      </c>
      <c r="AS17" s="337">
        <v>15</v>
      </c>
      <c r="AT17" s="338" t="s">
        <v>179</v>
      </c>
      <c r="AU17" s="340"/>
      <c r="AV17" s="343" t="s">
        <v>165</v>
      </c>
    </row>
    <row r="18" spans="1:48">
      <c r="A18" s="334">
        <v>16</v>
      </c>
      <c r="B18" s="335" t="s">
        <v>182</v>
      </c>
      <c r="C18" s="336"/>
      <c r="D18" s="546" t="s">
        <v>165</v>
      </c>
      <c r="E18" s="334">
        <v>16</v>
      </c>
      <c r="F18" s="335" t="s">
        <v>183</v>
      </c>
      <c r="G18" s="346"/>
      <c r="H18" s="345" t="s">
        <v>165</v>
      </c>
      <c r="I18" s="337">
        <v>16</v>
      </c>
      <c r="J18" s="338" t="s">
        <v>184</v>
      </c>
      <c r="K18" s="340"/>
      <c r="L18" s="343" t="s">
        <v>165</v>
      </c>
      <c r="M18" s="334">
        <v>16</v>
      </c>
      <c r="N18" s="335" t="s">
        <v>178</v>
      </c>
      <c r="O18" s="346"/>
      <c r="P18" s="345" t="s">
        <v>165</v>
      </c>
      <c r="Q18" s="334">
        <v>16</v>
      </c>
      <c r="R18" s="335" t="s">
        <v>183</v>
      </c>
      <c r="S18" s="346"/>
      <c r="T18" s="352" t="s">
        <v>165</v>
      </c>
      <c r="U18" s="334">
        <v>16</v>
      </c>
      <c r="V18" s="335" t="s">
        <v>180</v>
      </c>
      <c r="W18" s="346"/>
      <c r="X18" s="352">
        <v>3.1428571428571428</v>
      </c>
      <c r="Y18" s="334">
        <v>16</v>
      </c>
      <c r="Z18" s="335" t="s">
        <v>181</v>
      </c>
      <c r="AA18" s="346"/>
      <c r="AB18" s="345" t="s">
        <v>165</v>
      </c>
      <c r="AC18" s="334">
        <v>16</v>
      </c>
      <c r="AD18" s="335" t="s">
        <v>181</v>
      </c>
      <c r="AE18" s="346"/>
      <c r="AF18" s="352" t="s">
        <v>165</v>
      </c>
      <c r="AG18" s="337">
        <v>16</v>
      </c>
      <c r="AH18" s="338" t="s">
        <v>184</v>
      </c>
      <c r="AI18" s="340"/>
      <c r="AJ18" s="341" t="s">
        <v>165</v>
      </c>
      <c r="AK18" s="334">
        <v>16</v>
      </c>
      <c r="AL18" s="335" t="s">
        <v>182</v>
      </c>
      <c r="AM18" s="346"/>
      <c r="AN18" s="352" t="s">
        <v>165</v>
      </c>
      <c r="AO18" s="334">
        <v>16</v>
      </c>
      <c r="AP18" s="335" t="s">
        <v>183</v>
      </c>
      <c r="AQ18" s="346"/>
      <c r="AR18" s="345" t="s">
        <v>165</v>
      </c>
      <c r="AS18" s="337">
        <v>16</v>
      </c>
      <c r="AT18" s="338" t="s">
        <v>184</v>
      </c>
      <c r="AU18" s="340"/>
      <c r="AV18" s="343" t="s">
        <v>165</v>
      </c>
    </row>
    <row r="19" spans="1:48">
      <c r="A19" s="334">
        <v>17</v>
      </c>
      <c r="B19" s="335" t="s">
        <v>178</v>
      </c>
      <c r="C19" s="336"/>
      <c r="D19" s="546" t="s">
        <v>165</v>
      </c>
      <c r="E19" s="337">
        <v>17</v>
      </c>
      <c r="F19" s="338" t="s">
        <v>179</v>
      </c>
      <c r="G19" s="340"/>
      <c r="H19" s="341" t="s">
        <v>165</v>
      </c>
      <c r="I19" s="334">
        <v>17</v>
      </c>
      <c r="J19" s="335" t="s">
        <v>180</v>
      </c>
      <c r="K19" s="346"/>
      <c r="L19" s="352">
        <v>42.285714285714285</v>
      </c>
      <c r="M19" s="334">
        <v>17</v>
      </c>
      <c r="N19" s="335" t="s">
        <v>181</v>
      </c>
      <c r="O19" s="346"/>
      <c r="P19" s="345" t="s">
        <v>165</v>
      </c>
      <c r="Q19" s="337">
        <v>17</v>
      </c>
      <c r="R19" s="338" t="s">
        <v>179</v>
      </c>
      <c r="S19" s="340"/>
      <c r="T19" s="343" t="s">
        <v>165</v>
      </c>
      <c r="U19" s="334">
        <v>17</v>
      </c>
      <c r="V19" s="335" t="s">
        <v>182</v>
      </c>
      <c r="W19" s="346"/>
      <c r="X19" s="352" t="s">
        <v>165</v>
      </c>
      <c r="Y19" s="334">
        <v>17</v>
      </c>
      <c r="Z19" s="335" t="s">
        <v>183</v>
      </c>
      <c r="AA19" s="346"/>
      <c r="AB19" s="345" t="s">
        <v>165</v>
      </c>
      <c r="AC19" s="334">
        <v>17</v>
      </c>
      <c r="AD19" s="335" t="s">
        <v>183</v>
      </c>
      <c r="AE19" s="346"/>
      <c r="AF19" s="352" t="s">
        <v>165</v>
      </c>
      <c r="AG19" s="334">
        <v>17</v>
      </c>
      <c r="AH19" s="335" t="s">
        <v>180</v>
      </c>
      <c r="AI19" s="346"/>
      <c r="AJ19" s="345">
        <v>16.142857142857142</v>
      </c>
      <c r="AK19" s="334">
        <v>17</v>
      </c>
      <c r="AL19" s="335" t="s">
        <v>178</v>
      </c>
      <c r="AM19" s="346"/>
      <c r="AN19" s="352" t="s">
        <v>165</v>
      </c>
      <c r="AO19" s="337">
        <v>17</v>
      </c>
      <c r="AP19" s="338" t="s">
        <v>179</v>
      </c>
      <c r="AQ19" s="340"/>
      <c r="AR19" s="341" t="s">
        <v>165</v>
      </c>
      <c r="AS19" s="334">
        <v>17</v>
      </c>
      <c r="AT19" s="335" t="s">
        <v>180</v>
      </c>
      <c r="AU19" s="346"/>
      <c r="AV19" s="352">
        <v>29.142857142857142</v>
      </c>
    </row>
    <row r="20" spans="1:48">
      <c r="A20" s="334">
        <v>18</v>
      </c>
      <c r="B20" s="335" t="s">
        <v>181</v>
      </c>
      <c r="C20" s="336"/>
      <c r="D20" s="546" t="s">
        <v>165</v>
      </c>
      <c r="E20" s="337">
        <v>18</v>
      </c>
      <c r="F20" s="338" t="s">
        <v>184</v>
      </c>
      <c r="G20" s="340"/>
      <c r="H20" s="341" t="s">
        <v>165</v>
      </c>
      <c r="I20" s="334">
        <v>18</v>
      </c>
      <c r="J20" s="335" t="s">
        <v>182</v>
      </c>
      <c r="K20" s="346"/>
      <c r="L20" s="352" t="s">
        <v>165</v>
      </c>
      <c r="M20" s="334">
        <v>18</v>
      </c>
      <c r="N20" s="335" t="s">
        <v>183</v>
      </c>
      <c r="O20" s="346"/>
      <c r="P20" s="345" t="s">
        <v>165</v>
      </c>
      <c r="Q20" s="337">
        <v>18</v>
      </c>
      <c r="R20" s="338" t="s">
        <v>184</v>
      </c>
      <c r="S20" s="340"/>
      <c r="T20" s="343" t="s">
        <v>165</v>
      </c>
      <c r="U20" s="334">
        <v>18</v>
      </c>
      <c r="V20" s="335" t="s">
        <v>178</v>
      </c>
      <c r="W20" s="346"/>
      <c r="X20" s="352" t="s">
        <v>165</v>
      </c>
      <c r="Y20" s="337">
        <v>18</v>
      </c>
      <c r="Z20" s="338" t="s">
        <v>179</v>
      </c>
      <c r="AA20" s="340"/>
      <c r="AB20" s="341" t="s">
        <v>165</v>
      </c>
      <c r="AC20" s="337">
        <v>18</v>
      </c>
      <c r="AD20" s="338" t="s">
        <v>179</v>
      </c>
      <c r="AE20" s="340"/>
      <c r="AF20" s="343" t="s">
        <v>165</v>
      </c>
      <c r="AG20" s="334">
        <v>18</v>
      </c>
      <c r="AH20" s="335" t="s">
        <v>182</v>
      </c>
      <c r="AI20" s="346"/>
      <c r="AJ20" s="345" t="s">
        <v>165</v>
      </c>
      <c r="AK20" s="334">
        <v>18</v>
      </c>
      <c r="AL20" s="335" t="s">
        <v>181</v>
      </c>
      <c r="AM20" s="1451" t="s">
        <v>375</v>
      </c>
      <c r="AN20" s="1452"/>
      <c r="AO20" s="337">
        <v>18</v>
      </c>
      <c r="AP20" s="338" t="s">
        <v>184</v>
      </c>
      <c r="AQ20" s="340"/>
      <c r="AR20" s="341" t="s">
        <v>165</v>
      </c>
      <c r="AS20" s="334">
        <v>18</v>
      </c>
      <c r="AT20" s="335" t="s">
        <v>182</v>
      </c>
      <c r="AU20" s="346"/>
      <c r="AV20" s="352" t="s">
        <v>165</v>
      </c>
    </row>
    <row r="21" spans="1:48">
      <c r="A21" s="334">
        <v>19</v>
      </c>
      <c r="B21" s="335" t="s">
        <v>183</v>
      </c>
      <c r="C21" s="336"/>
      <c r="D21" s="547" t="s">
        <v>165</v>
      </c>
      <c r="E21" s="334">
        <v>19</v>
      </c>
      <c r="F21" s="335" t="s">
        <v>180</v>
      </c>
      <c r="G21" s="346"/>
      <c r="H21" s="345">
        <v>38.285714285714285</v>
      </c>
      <c r="I21" s="334">
        <v>19</v>
      </c>
      <c r="J21" s="335" t="s">
        <v>178</v>
      </c>
      <c r="K21" s="346"/>
      <c r="L21" s="352" t="s">
        <v>165</v>
      </c>
      <c r="M21" s="337">
        <v>19</v>
      </c>
      <c r="N21" s="338" t="s">
        <v>179</v>
      </c>
      <c r="O21" s="340"/>
      <c r="P21" s="341" t="s">
        <v>165</v>
      </c>
      <c r="Q21" s="334">
        <v>19</v>
      </c>
      <c r="R21" s="335" t="s">
        <v>180</v>
      </c>
      <c r="S21" s="346"/>
      <c r="T21" s="352">
        <v>51.285714285714285</v>
      </c>
      <c r="U21" s="334">
        <v>19</v>
      </c>
      <c r="V21" s="335" t="s">
        <v>181</v>
      </c>
      <c r="W21" s="346"/>
      <c r="X21" s="352" t="s">
        <v>165</v>
      </c>
      <c r="Y21" s="337">
        <v>19</v>
      </c>
      <c r="Z21" s="338" t="s">
        <v>184</v>
      </c>
      <c r="AA21" s="340"/>
      <c r="AB21" s="341" t="s">
        <v>165</v>
      </c>
      <c r="AC21" s="337">
        <v>19</v>
      </c>
      <c r="AD21" s="338" t="s">
        <v>184</v>
      </c>
      <c r="AE21" s="340"/>
      <c r="AF21" s="343" t="s">
        <v>165</v>
      </c>
      <c r="AG21" s="334">
        <v>19</v>
      </c>
      <c r="AH21" s="335" t="s">
        <v>178</v>
      </c>
      <c r="AI21" s="346"/>
      <c r="AJ21" s="345" t="s">
        <v>165</v>
      </c>
      <c r="AK21" s="334">
        <v>19</v>
      </c>
      <c r="AL21" s="335" t="s">
        <v>183</v>
      </c>
      <c r="AM21" s="346"/>
      <c r="AN21" s="352" t="s">
        <v>165</v>
      </c>
      <c r="AO21" s="334">
        <v>19</v>
      </c>
      <c r="AP21" s="335" t="s">
        <v>180</v>
      </c>
      <c r="AQ21" s="346"/>
      <c r="AR21" s="345">
        <v>25.142857142857142</v>
      </c>
      <c r="AS21" s="334">
        <v>19</v>
      </c>
      <c r="AT21" s="335" t="s">
        <v>178</v>
      </c>
      <c r="AU21" s="346"/>
      <c r="AV21" s="352" t="s">
        <v>165</v>
      </c>
    </row>
    <row r="22" spans="1:48">
      <c r="A22" s="337">
        <v>20</v>
      </c>
      <c r="B22" s="338" t="s">
        <v>179</v>
      </c>
      <c r="C22" s="339"/>
      <c r="D22" s="548" t="s">
        <v>165</v>
      </c>
      <c r="E22" s="334">
        <v>20</v>
      </c>
      <c r="F22" s="335" t="s">
        <v>182</v>
      </c>
      <c r="G22" s="346"/>
      <c r="H22" s="345" t="s">
        <v>165</v>
      </c>
      <c r="I22" s="334">
        <v>20</v>
      </c>
      <c r="J22" s="335" t="s">
        <v>181</v>
      </c>
      <c r="K22" s="346"/>
      <c r="L22" s="352" t="s">
        <v>165</v>
      </c>
      <c r="M22" s="337">
        <v>20</v>
      </c>
      <c r="N22" s="338" t="s">
        <v>184</v>
      </c>
      <c r="O22" s="340"/>
      <c r="P22" s="341" t="s">
        <v>165</v>
      </c>
      <c r="Q22" s="334">
        <v>20</v>
      </c>
      <c r="R22" s="335" t="s">
        <v>182</v>
      </c>
      <c r="S22" s="346"/>
      <c r="T22" s="352" t="s">
        <v>165</v>
      </c>
      <c r="U22" s="334">
        <v>20</v>
      </c>
      <c r="V22" s="335" t="s">
        <v>183</v>
      </c>
      <c r="W22" s="346"/>
      <c r="X22" s="352" t="s">
        <v>165</v>
      </c>
      <c r="Y22" s="334">
        <v>20</v>
      </c>
      <c r="Z22" s="335" t="s">
        <v>180</v>
      </c>
      <c r="AA22" s="346"/>
      <c r="AB22" s="345">
        <v>8.1428571428571423</v>
      </c>
      <c r="AC22" s="334">
        <v>20</v>
      </c>
      <c r="AD22" s="335" t="s">
        <v>180</v>
      </c>
      <c r="AE22" s="346"/>
      <c r="AF22" s="352">
        <v>12.142857142857142</v>
      </c>
      <c r="AG22" s="334">
        <v>20</v>
      </c>
      <c r="AH22" s="335" t="s">
        <v>181</v>
      </c>
      <c r="AI22" s="346"/>
      <c r="AJ22" s="345" t="s">
        <v>165</v>
      </c>
      <c r="AK22" s="337">
        <v>20</v>
      </c>
      <c r="AL22" s="338" t="s">
        <v>179</v>
      </c>
      <c r="AM22" s="340"/>
      <c r="AN22" s="343" t="s">
        <v>165</v>
      </c>
      <c r="AO22" s="334">
        <v>20</v>
      </c>
      <c r="AP22" s="335" t="s">
        <v>182</v>
      </c>
      <c r="AQ22" s="346"/>
      <c r="AR22" s="345" t="s">
        <v>165</v>
      </c>
      <c r="AS22" s="334">
        <v>20</v>
      </c>
      <c r="AT22" s="335" t="s">
        <v>181</v>
      </c>
      <c r="AU22" s="346"/>
      <c r="AV22" s="352" t="s">
        <v>165</v>
      </c>
    </row>
    <row r="23" spans="1:48">
      <c r="A23" s="337">
        <v>21</v>
      </c>
      <c r="B23" s="338" t="s">
        <v>184</v>
      </c>
      <c r="C23" s="339"/>
      <c r="D23" s="548" t="s">
        <v>165</v>
      </c>
      <c r="E23" s="334">
        <v>21</v>
      </c>
      <c r="F23" s="335" t="s">
        <v>178</v>
      </c>
      <c r="G23" s="346"/>
      <c r="H23" s="345" t="s">
        <v>165</v>
      </c>
      <c r="I23" s="334">
        <v>21</v>
      </c>
      <c r="J23" s="335" t="s">
        <v>183</v>
      </c>
      <c r="K23" s="346"/>
      <c r="L23" s="352" t="s">
        <v>165</v>
      </c>
      <c r="M23" s="334">
        <v>21</v>
      </c>
      <c r="N23" s="335" t="s">
        <v>180</v>
      </c>
      <c r="O23" s="346"/>
      <c r="P23" s="345">
        <v>47.285714285714285</v>
      </c>
      <c r="Q23" s="334">
        <v>21</v>
      </c>
      <c r="R23" s="335" t="s">
        <v>178</v>
      </c>
      <c r="S23" s="346"/>
      <c r="T23" s="352" t="s">
        <v>165</v>
      </c>
      <c r="U23" s="337">
        <v>21</v>
      </c>
      <c r="V23" s="338" t="s">
        <v>179</v>
      </c>
      <c r="W23" s="340"/>
      <c r="X23" s="343" t="s">
        <v>165</v>
      </c>
      <c r="Y23" s="334">
        <v>21</v>
      </c>
      <c r="Z23" s="335" t="s">
        <v>182</v>
      </c>
      <c r="AA23" s="346"/>
      <c r="AB23" s="345" t="s">
        <v>165</v>
      </c>
      <c r="AC23" s="334">
        <v>21</v>
      </c>
      <c r="AD23" s="335" t="s">
        <v>182</v>
      </c>
      <c r="AE23" s="346"/>
      <c r="AF23" s="352" t="s">
        <v>165</v>
      </c>
      <c r="AG23" s="334">
        <v>21</v>
      </c>
      <c r="AH23" s="335" t="s">
        <v>183</v>
      </c>
      <c r="AI23" s="346"/>
      <c r="AJ23" s="345" t="s">
        <v>165</v>
      </c>
      <c r="AK23" s="337">
        <v>21</v>
      </c>
      <c r="AL23" s="338" t="s">
        <v>184</v>
      </c>
      <c r="AM23" s="340"/>
      <c r="AN23" s="343" t="s">
        <v>165</v>
      </c>
      <c r="AO23" s="334">
        <v>21</v>
      </c>
      <c r="AP23" s="335" t="s">
        <v>178</v>
      </c>
      <c r="AQ23" s="346"/>
      <c r="AR23" s="345" t="s">
        <v>165</v>
      </c>
      <c r="AS23" s="334">
        <v>21</v>
      </c>
      <c r="AT23" s="335" t="s">
        <v>183</v>
      </c>
      <c r="AU23" s="346"/>
      <c r="AV23" s="352" t="s">
        <v>165</v>
      </c>
    </row>
    <row r="24" spans="1:48">
      <c r="A24" s="334">
        <v>22</v>
      </c>
      <c r="B24" s="335" t="s">
        <v>180</v>
      </c>
      <c r="C24" s="336"/>
      <c r="D24" s="547">
        <v>34.285714285714285</v>
      </c>
      <c r="E24" s="334">
        <v>22</v>
      </c>
      <c r="F24" s="335" t="s">
        <v>181</v>
      </c>
      <c r="G24" s="346"/>
      <c r="H24" s="345" t="s">
        <v>165</v>
      </c>
      <c r="I24" s="337">
        <v>22</v>
      </c>
      <c r="J24" s="338" t="s">
        <v>179</v>
      </c>
      <c r="K24" s="340"/>
      <c r="L24" s="343" t="s">
        <v>165</v>
      </c>
      <c r="M24" s="334">
        <v>22</v>
      </c>
      <c r="N24" s="335" t="s">
        <v>182</v>
      </c>
      <c r="O24" s="346"/>
      <c r="P24" s="345" t="s">
        <v>165</v>
      </c>
      <c r="Q24" s="334">
        <v>22</v>
      </c>
      <c r="R24" s="335" t="s">
        <v>181</v>
      </c>
      <c r="S24" s="346"/>
      <c r="T24" s="352" t="s">
        <v>165</v>
      </c>
      <c r="U24" s="337">
        <v>22</v>
      </c>
      <c r="V24" s="338" t="s">
        <v>184</v>
      </c>
      <c r="W24" s="340"/>
      <c r="X24" s="343" t="s">
        <v>165</v>
      </c>
      <c r="Y24" s="334">
        <v>22</v>
      </c>
      <c r="Z24" s="335" t="s">
        <v>178</v>
      </c>
      <c r="AA24" s="346"/>
      <c r="AB24" s="345" t="s">
        <v>165</v>
      </c>
      <c r="AC24" s="334">
        <v>22</v>
      </c>
      <c r="AD24" s="335" t="s">
        <v>178</v>
      </c>
      <c r="AE24" s="346"/>
      <c r="AF24" s="352" t="s">
        <v>165</v>
      </c>
      <c r="AG24" s="337">
        <v>22</v>
      </c>
      <c r="AH24" s="338" t="s">
        <v>179</v>
      </c>
      <c r="AI24" s="340"/>
      <c r="AJ24" s="341" t="s">
        <v>165</v>
      </c>
      <c r="AK24" s="334">
        <v>22</v>
      </c>
      <c r="AL24" s="335" t="s">
        <v>180</v>
      </c>
      <c r="AM24" s="346"/>
      <c r="AN24" s="352">
        <v>21.142857142857142</v>
      </c>
      <c r="AO24" s="334">
        <v>22</v>
      </c>
      <c r="AP24" s="335" t="s">
        <v>181</v>
      </c>
      <c r="AQ24" s="346"/>
      <c r="AR24" s="345" t="s">
        <v>165</v>
      </c>
      <c r="AS24" s="337">
        <v>22</v>
      </c>
      <c r="AT24" s="338" t="s">
        <v>179</v>
      </c>
      <c r="AU24" s="340"/>
      <c r="AV24" s="343" t="s">
        <v>165</v>
      </c>
    </row>
    <row r="25" spans="1:48">
      <c r="A25" s="334">
        <v>23</v>
      </c>
      <c r="B25" s="335" t="s">
        <v>182</v>
      </c>
      <c r="C25" s="336"/>
      <c r="D25" s="547" t="s">
        <v>165</v>
      </c>
      <c r="E25" s="334">
        <v>23</v>
      </c>
      <c r="F25" s="335" t="s">
        <v>183</v>
      </c>
      <c r="G25" s="346"/>
      <c r="H25" s="345" t="s">
        <v>165</v>
      </c>
      <c r="I25" s="337">
        <v>23</v>
      </c>
      <c r="J25" s="338" t="s">
        <v>184</v>
      </c>
      <c r="K25" s="340"/>
      <c r="L25" s="343" t="s">
        <v>165</v>
      </c>
      <c r="M25" s="334">
        <v>23</v>
      </c>
      <c r="N25" s="335" t="s">
        <v>178</v>
      </c>
      <c r="O25" s="346"/>
      <c r="P25" s="345" t="s">
        <v>165</v>
      </c>
      <c r="Q25" s="334">
        <v>23</v>
      </c>
      <c r="R25" s="335" t="s">
        <v>183</v>
      </c>
      <c r="S25" s="346"/>
      <c r="T25" s="352" t="s">
        <v>165</v>
      </c>
      <c r="U25" s="334">
        <v>23</v>
      </c>
      <c r="V25" s="335" t="s">
        <v>180</v>
      </c>
      <c r="W25" s="346"/>
      <c r="X25" s="352">
        <v>4.1428571428571432</v>
      </c>
      <c r="Y25" s="334">
        <v>23</v>
      </c>
      <c r="Z25" s="335" t="s">
        <v>181</v>
      </c>
      <c r="AA25" s="346"/>
      <c r="AB25" s="345" t="s">
        <v>165</v>
      </c>
      <c r="AC25" s="334">
        <v>23</v>
      </c>
      <c r="AD25" s="335" t="s">
        <v>181</v>
      </c>
      <c r="AE25" s="346"/>
      <c r="AF25" s="352" t="s">
        <v>165</v>
      </c>
      <c r="AG25" s="337">
        <v>23</v>
      </c>
      <c r="AH25" s="338" t="s">
        <v>184</v>
      </c>
      <c r="AI25" s="340"/>
      <c r="AJ25" s="341" t="s">
        <v>165</v>
      </c>
      <c r="AK25" s="334">
        <v>23</v>
      </c>
      <c r="AL25" s="335" t="s">
        <v>182</v>
      </c>
      <c r="AM25" s="346"/>
      <c r="AN25" s="352" t="s">
        <v>165</v>
      </c>
      <c r="AO25" s="334">
        <v>23</v>
      </c>
      <c r="AP25" s="335" t="s">
        <v>183</v>
      </c>
      <c r="AQ25" s="346"/>
      <c r="AR25" s="345" t="s">
        <v>165</v>
      </c>
      <c r="AS25" s="337">
        <v>23</v>
      </c>
      <c r="AT25" s="338" t="s">
        <v>184</v>
      </c>
      <c r="AU25" s="340"/>
      <c r="AV25" s="343" t="s">
        <v>165</v>
      </c>
    </row>
    <row r="26" spans="1:48">
      <c r="A26" s="334">
        <v>24</v>
      </c>
      <c r="B26" s="335" t="s">
        <v>178</v>
      </c>
      <c r="C26" s="336"/>
      <c r="D26" s="547" t="s">
        <v>165</v>
      </c>
      <c r="E26" s="337">
        <v>24</v>
      </c>
      <c r="F26" s="338" t="s">
        <v>179</v>
      </c>
      <c r="G26" s="340"/>
      <c r="H26" s="341" t="s">
        <v>165</v>
      </c>
      <c r="I26" s="334">
        <v>24</v>
      </c>
      <c r="J26" s="335" t="s">
        <v>180</v>
      </c>
      <c r="K26" s="346"/>
      <c r="L26" s="352">
        <v>43.285714285714285</v>
      </c>
      <c r="M26" s="334">
        <v>24</v>
      </c>
      <c r="N26" s="335" t="s">
        <v>181</v>
      </c>
      <c r="O26" s="346"/>
      <c r="P26" s="345" t="s">
        <v>165</v>
      </c>
      <c r="Q26" s="337">
        <v>24</v>
      </c>
      <c r="R26" s="338" t="s">
        <v>179</v>
      </c>
      <c r="S26" s="340" t="s">
        <v>149</v>
      </c>
      <c r="T26" s="343" t="s">
        <v>165</v>
      </c>
      <c r="U26" s="334">
        <v>24</v>
      </c>
      <c r="V26" s="335" t="s">
        <v>182</v>
      </c>
      <c r="W26" s="346"/>
      <c r="X26" s="352" t="s">
        <v>165</v>
      </c>
      <c r="Y26" s="334">
        <v>24</v>
      </c>
      <c r="Z26" s="335" t="s">
        <v>183</v>
      </c>
      <c r="AA26" s="346"/>
      <c r="AB26" s="345" t="s">
        <v>165</v>
      </c>
      <c r="AC26" s="334">
        <v>24</v>
      </c>
      <c r="AD26" s="335" t="s">
        <v>183</v>
      </c>
      <c r="AE26" s="346"/>
      <c r="AF26" s="352" t="s">
        <v>165</v>
      </c>
      <c r="AG26" s="334">
        <v>24</v>
      </c>
      <c r="AH26" s="335" t="s">
        <v>180</v>
      </c>
      <c r="AI26" s="346"/>
      <c r="AJ26" s="345">
        <v>17.142857142857142</v>
      </c>
      <c r="AK26" s="334">
        <v>24</v>
      </c>
      <c r="AL26" s="335" t="s">
        <v>178</v>
      </c>
      <c r="AM26" s="346"/>
      <c r="AN26" s="352" t="s">
        <v>165</v>
      </c>
      <c r="AO26" s="337">
        <v>24</v>
      </c>
      <c r="AP26" s="338" t="s">
        <v>179</v>
      </c>
      <c r="AQ26" s="340"/>
      <c r="AR26" s="341" t="s">
        <v>165</v>
      </c>
      <c r="AS26" s="334">
        <v>24</v>
      </c>
      <c r="AT26" s="335" t="s">
        <v>180</v>
      </c>
      <c r="AU26" s="346"/>
      <c r="AV26" s="352">
        <v>30.142857142857142</v>
      </c>
    </row>
    <row r="27" spans="1:48">
      <c r="A27" s="334">
        <v>25</v>
      </c>
      <c r="B27" s="335" t="s">
        <v>181</v>
      </c>
      <c r="C27" s="336"/>
      <c r="D27" s="547" t="s">
        <v>165</v>
      </c>
      <c r="E27" s="337">
        <v>25</v>
      </c>
      <c r="F27" s="338" t="s">
        <v>184</v>
      </c>
      <c r="G27" s="340"/>
      <c r="H27" s="341" t="s">
        <v>165</v>
      </c>
      <c r="I27" s="334">
        <v>25</v>
      </c>
      <c r="J27" s="335" t="s">
        <v>182</v>
      </c>
      <c r="K27" s="346"/>
      <c r="L27" s="352" t="s">
        <v>165</v>
      </c>
      <c r="M27" s="334">
        <v>25</v>
      </c>
      <c r="N27" s="335" t="s">
        <v>183</v>
      </c>
      <c r="O27" s="346"/>
      <c r="P27" s="345" t="s">
        <v>165</v>
      </c>
      <c r="Q27" s="337">
        <v>25</v>
      </c>
      <c r="R27" s="338" t="s">
        <v>184</v>
      </c>
      <c r="S27" s="340" t="s">
        <v>374</v>
      </c>
      <c r="T27" s="343" t="s">
        <v>165</v>
      </c>
      <c r="U27" s="334">
        <v>25</v>
      </c>
      <c r="V27" s="335" t="s">
        <v>178</v>
      </c>
      <c r="W27" s="346"/>
      <c r="X27" s="352" t="s">
        <v>165</v>
      </c>
      <c r="Y27" s="337">
        <v>25</v>
      </c>
      <c r="Z27" s="338" t="s">
        <v>179</v>
      </c>
      <c r="AA27" s="340"/>
      <c r="AB27" s="341" t="s">
        <v>165</v>
      </c>
      <c r="AC27" s="337">
        <v>25</v>
      </c>
      <c r="AD27" s="338" t="s">
        <v>179</v>
      </c>
      <c r="AE27" s="340"/>
      <c r="AF27" s="343" t="s">
        <v>165</v>
      </c>
      <c r="AG27" s="334">
        <v>25</v>
      </c>
      <c r="AH27" s="335" t="s">
        <v>182</v>
      </c>
      <c r="AI27" s="346"/>
      <c r="AJ27" s="345" t="s">
        <v>165</v>
      </c>
      <c r="AK27" s="334">
        <v>25</v>
      </c>
      <c r="AL27" s="335" t="s">
        <v>181</v>
      </c>
      <c r="AM27" s="346"/>
      <c r="AN27" s="352" t="s">
        <v>165</v>
      </c>
      <c r="AO27" s="337">
        <v>25</v>
      </c>
      <c r="AP27" s="338" t="s">
        <v>184</v>
      </c>
      <c r="AQ27" s="340"/>
      <c r="AR27" s="341" t="s">
        <v>165</v>
      </c>
      <c r="AS27" s="334">
        <v>25</v>
      </c>
      <c r="AT27" s="335" t="s">
        <v>182</v>
      </c>
      <c r="AU27" s="346"/>
      <c r="AV27" s="352" t="s">
        <v>165</v>
      </c>
    </row>
    <row r="28" spans="1:48">
      <c r="A28" s="334">
        <v>26</v>
      </c>
      <c r="B28" s="335" t="s">
        <v>183</v>
      </c>
      <c r="C28" s="336"/>
      <c r="D28" s="547" t="s">
        <v>165</v>
      </c>
      <c r="E28" s="334">
        <v>26</v>
      </c>
      <c r="F28" s="335" t="s">
        <v>180</v>
      </c>
      <c r="G28" s="346"/>
      <c r="H28" s="345">
        <v>39.285714285714285</v>
      </c>
      <c r="I28" s="334">
        <v>26</v>
      </c>
      <c r="J28" s="335" t="s">
        <v>178</v>
      </c>
      <c r="K28" s="346"/>
      <c r="L28" s="352" t="s">
        <v>165</v>
      </c>
      <c r="M28" s="337">
        <v>26</v>
      </c>
      <c r="N28" s="338" t="s">
        <v>179</v>
      </c>
      <c r="O28" s="340"/>
      <c r="P28" s="341" t="s">
        <v>165</v>
      </c>
      <c r="Q28" s="334">
        <v>26</v>
      </c>
      <c r="R28" s="335" t="s">
        <v>180</v>
      </c>
      <c r="S28" s="346" t="s">
        <v>101</v>
      </c>
      <c r="T28" s="352">
        <v>52.285714285714285</v>
      </c>
      <c r="U28" s="334">
        <v>26</v>
      </c>
      <c r="V28" s="335" t="s">
        <v>181</v>
      </c>
      <c r="W28" s="346"/>
      <c r="X28" s="352" t="s">
        <v>165</v>
      </c>
      <c r="Y28" s="337">
        <v>26</v>
      </c>
      <c r="Z28" s="338" t="s">
        <v>184</v>
      </c>
      <c r="AA28" s="340"/>
      <c r="AB28" s="341" t="s">
        <v>165</v>
      </c>
      <c r="AC28" s="337">
        <v>26</v>
      </c>
      <c r="AD28" s="338" t="s">
        <v>184</v>
      </c>
      <c r="AE28" s="340"/>
      <c r="AF28" s="343" t="s">
        <v>165</v>
      </c>
      <c r="AG28" s="334">
        <v>26</v>
      </c>
      <c r="AH28" s="335" t="s">
        <v>178</v>
      </c>
      <c r="AI28" s="346"/>
      <c r="AJ28" s="345" t="s">
        <v>165</v>
      </c>
      <c r="AK28" s="334">
        <v>26</v>
      </c>
      <c r="AL28" s="335" t="s">
        <v>183</v>
      </c>
      <c r="AM28" s="346"/>
      <c r="AN28" s="352" t="s">
        <v>165</v>
      </c>
      <c r="AO28" s="334">
        <v>26</v>
      </c>
      <c r="AP28" s="335" t="s">
        <v>180</v>
      </c>
      <c r="AQ28" s="346"/>
      <c r="AR28" s="345">
        <v>26.142857142857142</v>
      </c>
      <c r="AS28" s="334">
        <v>26</v>
      </c>
      <c r="AT28" s="335" t="s">
        <v>178</v>
      </c>
      <c r="AU28" s="346"/>
      <c r="AV28" s="352" t="s">
        <v>165</v>
      </c>
    </row>
    <row r="29" spans="1:48">
      <c r="A29" s="337">
        <v>27</v>
      </c>
      <c r="B29" s="338" t="s">
        <v>179</v>
      </c>
      <c r="C29" s="339"/>
      <c r="D29" s="548" t="s">
        <v>165</v>
      </c>
      <c r="E29" s="334">
        <v>27</v>
      </c>
      <c r="F29" s="335" t="s">
        <v>182</v>
      </c>
      <c r="G29" s="346"/>
      <c r="H29" s="345" t="s">
        <v>165</v>
      </c>
      <c r="I29" s="334">
        <v>27</v>
      </c>
      <c r="J29" s="335" t="s">
        <v>181</v>
      </c>
      <c r="K29" s="346"/>
      <c r="L29" s="352" t="s">
        <v>165</v>
      </c>
      <c r="M29" s="337">
        <v>27</v>
      </c>
      <c r="N29" s="338" t="s">
        <v>184</v>
      </c>
      <c r="O29" s="340"/>
      <c r="P29" s="341" t="s">
        <v>165</v>
      </c>
      <c r="Q29" s="334">
        <v>27</v>
      </c>
      <c r="R29" s="335" t="s">
        <v>182</v>
      </c>
      <c r="S29" s="346"/>
      <c r="T29" s="352" t="s">
        <v>165</v>
      </c>
      <c r="U29" s="334">
        <v>27</v>
      </c>
      <c r="V29" s="335" t="s">
        <v>183</v>
      </c>
      <c r="W29" s="346"/>
      <c r="X29" s="352" t="s">
        <v>165</v>
      </c>
      <c r="Y29" s="334">
        <v>27</v>
      </c>
      <c r="Z29" s="335" t="s">
        <v>180</v>
      </c>
      <c r="AA29" s="346"/>
      <c r="AB29" s="345">
        <v>9.1428571428571423</v>
      </c>
      <c r="AC29" s="334">
        <v>27</v>
      </c>
      <c r="AD29" s="335" t="s">
        <v>180</v>
      </c>
      <c r="AE29" s="346"/>
      <c r="AF29" s="352">
        <v>13.142857142857142</v>
      </c>
      <c r="AG29" s="334">
        <v>27</v>
      </c>
      <c r="AH29" s="335" t="s">
        <v>181</v>
      </c>
      <c r="AI29" s="346"/>
      <c r="AJ29" s="345" t="s">
        <v>165</v>
      </c>
      <c r="AK29" s="337">
        <v>27</v>
      </c>
      <c r="AL29" s="338" t="s">
        <v>179</v>
      </c>
      <c r="AM29" s="340"/>
      <c r="AN29" s="343" t="s">
        <v>165</v>
      </c>
      <c r="AO29" s="334">
        <v>27</v>
      </c>
      <c r="AP29" s="335" t="s">
        <v>182</v>
      </c>
      <c r="AQ29" s="346"/>
      <c r="AR29" s="345" t="s">
        <v>165</v>
      </c>
      <c r="AS29" s="334">
        <v>27</v>
      </c>
      <c r="AT29" s="335" t="s">
        <v>181</v>
      </c>
      <c r="AU29" s="346"/>
      <c r="AV29" s="352" t="s">
        <v>165</v>
      </c>
    </row>
    <row r="30" spans="1:48">
      <c r="A30" s="337">
        <v>28</v>
      </c>
      <c r="B30" s="338" t="s">
        <v>184</v>
      </c>
      <c r="C30" s="339"/>
      <c r="D30" s="548" t="s">
        <v>165</v>
      </c>
      <c r="E30" s="334">
        <v>28</v>
      </c>
      <c r="F30" s="335" t="s">
        <v>178</v>
      </c>
      <c r="G30" s="346"/>
      <c r="H30" s="345" t="s">
        <v>165</v>
      </c>
      <c r="I30" s="334">
        <v>28</v>
      </c>
      <c r="J30" s="335" t="s">
        <v>183</v>
      </c>
      <c r="K30" s="346"/>
      <c r="L30" s="352" t="s">
        <v>165</v>
      </c>
      <c r="M30" s="334">
        <v>28</v>
      </c>
      <c r="N30" s="335" t="s">
        <v>180</v>
      </c>
      <c r="O30" s="346"/>
      <c r="P30" s="345">
        <v>48.285714285714285</v>
      </c>
      <c r="Q30" s="334">
        <v>28</v>
      </c>
      <c r="R30" s="335" t="s">
        <v>178</v>
      </c>
      <c r="S30" s="346"/>
      <c r="T30" s="352" t="s">
        <v>165</v>
      </c>
      <c r="U30" s="337">
        <v>28</v>
      </c>
      <c r="V30" s="338" t="s">
        <v>179</v>
      </c>
      <c r="W30" s="340"/>
      <c r="X30" s="343" t="s">
        <v>165</v>
      </c>
      <c r="Y30" s="334">
        <v>28</v>
      </c>
      <c r="Z30" s="335" t="s">
        <v>182</v>
      </c>
      <c r="AA30" s="336"/>
      <c r="AB30" s="352" t="s">
        <v>165</v>
      </c>
      <c r="AC30" s="334">
        <v>28</v>
      </c>
      <c r="AD30" s="335" t="s">
        <v>182</v>
      </c>
      <c r="AE30" s="346"/>
      <c r="AF30" s="352" t="s">
        <v>165</v>
      </c>
      <c r="AG30" s="334">
        <v>28</v>
      </c>
      <c r="AH30" s="335" t="s">
        <v>183</v>
      </c>
      <c r="AI30" s="346"/>
      <c r="AJ30" s="345" t="s">
        <v>165</v>
      </c>
      <c r="AK30" s="337">
        <v>28</v>
      </c>
      <c r="AL30" s="338" t="s">
        <v>184</v>
      </c>
      <c r="AM30" s="340" t="s">
        <v>209</v>
      </c>
      <c r="AN30" s="343" t="s">
        <v>165</v>
      </c>
      <c r="AO30" s="334">
        <v>28</v>
      </c>
      <c r="AP30" s="335" t="s">
        <v>178</v>
      </c>
      <c r="AQ30" s="346"/>
      <c r="AR30" s="345" t="s">
        <v>165</v>
      </c>
      <c r="AS30" s="334">
        <v>28</v>
      </c>
      <c r="AT30" s="335" t="s">
        <v>183</v>
      </c>
      <c r="AU30" s="346"/>
      <c r="AV30" s="352" t="s">
        <v>165</v>
      </c>
    </row>
    <row r="31" spans="1:48">
      <c r="A31" s="334">
        <v>29</v>
      </c>
      <c r="B31" s="335" t="s">
        <v>180</v>
      </c>
      <c r="C31" s="336"/>
      <c r="D31" s="546">
        <v>35.285714285714285</v>
      </c>
      <c r="E31" s="334">
        <v>29</v>
      </c>
      <c r="F31" s="335" t="s">
        <v>181</v>
      </c>
      <c r="G31" s="346"/>
      <c r="H31" s="345" t="s">
        <v>165</v>
      </c>
      <c r="I31" s="337">
        <v>29</v>
      </c>
      <c r="J31" s="338" t="s">
        <v>179</v>
      </c>
      <c r="K31" s="340"/>
      <c r="L31" s="343" t="s">
        <v>165</v>
      </c>
      <c r="M31" s="334">
        <v>29</v>
      </c>
      <c r="N31" s="335" t="s">
        <v>182</v>
      </c>
      <c r="O31" s="346"/>
      <c r="P31" s="345" t="s">
        <v>165</v>
      </c>
      <c r="Q31" s="334">
        <v>29</v>
      </c>
      <c r="R31" s="335" t="s">
        <v>181</v>
      </c>
      <c r="S31" s="346"/>
      <c r="T31" s="352" t="s">
        <v>165</v>
      </c>
      <c r="U31" s="337">
        <v>29</v>
      </c>
      <c r="V31" s="338" t="s">
        <v>184</v>
      </c>
      <c r="W31" s="340"/>
      <c r="X31" s="343" t="s">
        <v>165</v>
      </c>
      <c r="Y31" s="348"/>
      <c r="Z31" s="349"/>
      <c r="AA31" s="329"/>
      <c r="AB31" s="330"/>
      <c r="AC31" s="334">
        <v>29</v>
      </c>
      <c r="AD31" s="335" t="s">
        <v>178</v>
      </c>
      <c r="AE31" s="346"/>
      <c r="AF31" s="352" t="s">
        <v>165</v>
      </c>
      <c r="AG31" s="337">
        <v>29</v>
      </c>
      <c r="AH31" s="338" t="s">
        <v>179</v>
      </c>
      <c r="AI31" s="340"/>
      <c r="AJ31" s="341" t="s">
        <v>165</v>
      </c>
      <c r="AK31" s="334">
        <v>29</v>
      </c>
      <c r="AL31" s="335" t="s">
        <v>180</v>
      </c>
      <c r="AM31" s="346" t="s">
        <v>376</v>
      </c>
      <c r="AN31" s="352">
        <v>22.142857142857142</v>
      </c>
      <c r="AO31" s="334">
        <v>29</v>
      </c>
      <c r="AP31" s="335" t="s">
        <v>181</v>
      </c>
      <c r="AQ31" s="346"/>
      <c r="AR31" s="345" t="s">
        <v>165</v>
      </c>
      <c r="AS31" s="337">
        <v>29</v>
      </c>
      <c r="AT31" s="338" t="s">
        <v>179</v>
      </c>
      <c r="AU31" s="340"/>
      <c r="AV31" s="343" t="s">
        <v>165</v>
      </c>
    </row>
    <row r="32" spans="1:48">
      <c r="A32" s="334">
        <v>30</v>
      </c>
      <c r="B32" s="335" t="s">
        <v>182</v>
      </c>
      <c r="C32" s="336"/>
      <c r="D32" s="546" t="s">
        <v>165</v>
      </c>
      <c r="E32" s="334">
        <v>30</v>
      </c>
      <c r="F32" s="335" t="s">
        <v>183</v>
      </c>
      <c r="G32" s="326"/>
      <c r="H32" s="345" t="s">
        <v>165</v>
      </c>
      <c r="I32" s="337">
        <v>30</v>
      </c>
      <c r="J32" s="338" t="s">
        <v>184</v>
      </c>
      <c r="K32" s="340"/>
      <c r="L32" s="343" t="s">
        <v>165</v>
      </c>
      <c r="M32" s="334">
        <v>30</v>
      </c>
      <c r="N32" s="335" t="s">
        <v>178</v>
      </c>
      <c r="O32" s="326"/>
      <c r="P32" s="345" t="s">
        <v>165</v>
      </c>
      <c r="Q32" s="334">
        <v>30</v>
      </c>
      <c r="R32" s="335" t="s">
        <v>183</v>
      </c>
      <c r="S32" s="346"/>
      <c r="T32" s="352">
        <v>0</v>
      </c>
      <c r="U32" s="334">
        <v>30</v>
      </c>
      <c r="V32" s="335" t="s">
        <v>180</v>
      </c>
      <c r="W32" s="346"/>
      <c r="X32" s="352">
        <v>5.1428571428571432</v>
      </c>
      <c r="Y32" s="350"/>
      <c r="Z32" s="351"/>
      <c r="AA32" s="353"/>
      <c r="AB32" s="354"/>
      <c r="AC32" s="334">
        <v>30</v>
      </c>
      <c r="AD32" s="335" t="s">
        <v>181</v>
      </c>
      <c r="AE32" s="346"/>
      <c r="AF32" s="352" t="s">
        <v>165</v>
      </c>
      <c r="AG32" s="337">
        <v>30</v>
      </c>
      <c r="AH32" s="338" t="s">
        <v>184</v>
      </c>
      <c r="AI32" s="358"/>
      <c r="AJ32" s="341" t="s">
        <v>165</v>
      </c>
      <c r="AK32" s="334">
        <v>30</v>
      </c>
      <c r="AL32" s="335" t="s">
        <v>182</v>
      </c>
      <c r="AM32" s="346"/>
      <c r="AN32" s="352" t="s">
        <v>165</v>
      </c>
      <c r="AO32" s="334">
        <v>30</v>
      </c>
      <c r="AP32" s="335" t="s">
        <v>183</v>
      </c>
      <c r="AQ32" s="326"/>
      <c r="AR32" s="345" t="s">
        <v>165</v>
      </c>
      <c r="AS32" s="337">
        <v>30</v>
      </c>
      <c r="AT32" s="338" t="s">
        <v>184</v>
      </c>
      <c r="AU32" s="340"/>
      <c r="AV32" s="343" t="s">
        <v>165</v>
      </c>
    </row>
    <row r="33" spans="1:48">
      <c r="A33" s="360">
        <v>31</v>
      </c>
      <c r="B33" s="361" t="s">
        <v>178</v>
      </c>
      <c r="C33" s="326"/>
      <c r="D33" s="362" t="s">
        <v>165</v>
      </c>
      <c r="E33" s="348"/>
      <c r="F33" s="349"/>
      <c r="G33" s="329"/>
      <c r="H33" s="355"/>
      <c r="I33" s="360">
        <v>31</v>
      </c>
      <c r="J33" s="361" t="s">
        <v>180</v>
      </c>
      <c r="K33" s="326"/>
      <c r="L33" s="357">
        <v>44.285714285714285</v>
      </c>
      <c r="M33" s="348"/>
      <c r="N33" s="349"/>
      <c r="O33" s="329"/>
      <c r="P33" s="356"/>
      <c r="Q33" s="363">
        <v>31</v>
      </c>
      <c r="R33" s="364" t="s">
        <v>179</v>
      </c>
      <c r="S33" s="358" t="s">
        <v>148</v>
      </c>
      <c r="T33" s="359" t="s">
        <v>165</v>
      </c>
      <c r="U33" s="360">
        <v>31</v>
      </c>
      <c r="V33" s="361" t="s">
        <v>182</v>
      </c>
      <c r="W33" s="326"/>
      <c r="X33" s="357" t="s">
        <v>165</v>
      </c>
      <c r="Y33" s="350"/>
      <c r="Z33" s="351"/>
      <c r="AA33" s="353"/>
      <c r="AB33" s="354"/>
      <c r="AC33" s="360">
        <v>31</v>
      </c>
      <c r="AD33" s="361" t="s">
        <v>183</v>
      </c>
      <c r="AE33" s="326"/>
      <c r="AF33" s="357" t="s">
        <v>165</v>
      </c>
      <c r="AG33" s="348"/>
      <c r="AH33" s="349"/>
      <c r="AI33" s="329"/>
      <c r="AJ33" s="356"/>
      <c r="AK33" s="360">
        <v>31</v>
      </c>
      <c r="AL33" s="361" t="s">
        <v>178</v>
      </c>
      <c r="AM33" s="326"/>
      <c r="AN33" s="357" t="s">
        <v>165</v>
      </c>
      <c r="AO33" s="348"/>
      <c r="AP33" s="349"/>
      <c r="AQ33" s="329"/>
      <c r="AR33" s="356"/>
      <c r="AS33" s="360">
        <v>31</v>
      </c>
      <c r="AT33" s="361" t="s">
        <v>180</v>
      </c>
      <c r="AU33" s="326"/>
      <c r="AV33" s="357">
        <v>31.142857142857142</v>
      </c>
    </row>
  </sheetData>
  <mergeCells count="1">
    <mergeCell ref="AM20:AN20"/>
  </mergeCells>
  <phoneticPr fontId="5" type="noConversion"/>
  <pageMargins left="0.7" right="0.7" top="0.75" bottom="0.75" header="0.3" footer="0.3"/>
  <pageSetup paperSize="9" scale="50"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453" t="str">
        <f>'TOMT ÅR'!A1</f>
        <v>ÅRSKALENDER  for  MIN EGEN SKOLE  2022 - 2023</v>
      </c>
      <c r="B1" s="1454"/>
      <c r="C1" s="1454"/>
      <c r="D1" s="1454"/>
      <c r="E1" s="1454"/>
      <c r="F1" s="1454"/>
      <c r="G1" s="1454"/>
      <c r="H1" s="1454"/>
      <c r="I1" s="1454"/>
      <c r="J1" s="1454"/>
      <c r="K1" s="1454"/>
      <c r="L1" s="1454"/>
      <c r="M1" s="1454"/>
      <c r="N1" s="1454"/>
      <c r="O1" s="1454"/>
      <c r="P1" s="1454"/>
      <c r="Q1" s="1454"/>
      <c r="R1" s="1454"/>
      <c r="S1" s="1454"/>
      <c r="T1" s="1454"/>
      <c r="U1" s="1454"/>
      <c r="V1" s="1454"/>
      <c r="W1" s="1454"/>
      <c r="X1" s="1455"/>
    </row>
    <row r="2" spans="1:24" ht="18">
      <c r="A2" s="538" t="s">
        <v>95</v>
      </c>
      <c r="B2" s="539"/>
      <c r="C2" s="540"/>
      <c r="D2" s="541"/>
      <c r="E2" s="538" t="s">
        <v>96</v>
      </c>
      <c r="F2" s="539"/>
      <c r="G2" s="540"/>
      <c r="H2" s="541"/>
      <c r="I2" s="542" t="s">
        <v>97</v>
      </c>
      <c r="J2" s="539"/>
      <c r="K2" s="540"/>
      <c r="L2" s="541"/>
      <c r="M2" s="538" t="s">
        <v>98</v>
      </c>
      <c r="N2" s="539"/>
      <c r="O2" s="540"/>
      <c r="P2" s="541"/>
      <c r="Q2" s="538" t="s">
        <v>99</v>
      </c>
      <c r="R2" s="539"/>
      <c r="S2" s="540"/>
      <c r="T2" s="541"/>
      <c r="U2" s="538" t="s">
        <v>100</v>
      </c>
      <c r="V2" s="539"/>
      <c r="W2" s="540"/>
      <c r="X2" s="541"/>
    </row>
    <row r="3" spans="1:24">
      <c r="A3" s="348">
        <v>1</v>
      </c>
      <c r="B3" s="349" t="s">
        <v>180</v>
      </c>
      <c r="C3" s="329"/>
      <c r="D3" s="545">
        <v>31.285714285714285</v>
      </c>
      <c r="E3" s="334">
        <v>1</v>
      </c>
      <c r="F3" s="335" t="s">
        <v>181</v>
      </c>
      <c r="G3" s="344"/>
      <c r="H3" s="345" t="s">
        <v>165</v>
      </c>
      <c r="I3" s="543">
        <v>1</v>
      </c>
      <c r="J3" s="544" t="s">
        <v>179</v>
      </c>
      <c r="K3" s="342"/>
      <c r="L3" s="365" t="s">
        <v>165</v>
      </c>
      <c r="M3" s="334">
        <v>1</v>
      </c>
      <c r="N3" s="335" t="s">
        <v>182</v>
      </c>
      <c r="O3" s="344"/>
      <c r="P3" s="345" t="s">
        <v>165</v>
      </c>
      <c r="Q3" s="348">
        <v>1</v>
      </c>
      <c r="R3" s="349" t="s">
        <v>181</v>
      </c>
      <c r="S3" s="344"/>
      <c r="T3" s="330" t="s">
        <v>165</v>
      </c>
      <c r="U3" s="543">
        <v>1</v>
      </c>
      <c r="V3" s="544" t="s">
        <v>184</v>
      </c>
      <c r="W3" s="342" t="s">
        <v>164</v>
      </c>
      <c r="X3" s="365" t="s">
        <v>165</v>
      </c>
    </row>
    <row r="4" spans="1:24">
      <c r="A4" s="334">
        <v>2</v>
      </c>
      <c r="B4" s="335" t="s">
        <v>182</v>
      </c>
      <c r="C4" s="336"/>
      <c r="D4" s="546" t="s">
        <v>165</v>
      </c>
      <c r="E4" s="334">
        <v>2</v>
      </c>
      <c r="F4" s="335" t="s">
        <v>183</v>
      </c>
      <c r="G4" s="346"/>
      <c r="H4" s="345" t="s">
        <v>165</v>
      </c>
      <c r="I4" s="337">
        <v>2</v>
      </c>
      <c r="J4" s="338" t="s">
        <v>184</v>
      </c>
      <c r="K4" s="340"/>
      <c r="L4" s="343" t="s">
        <v>165</v>
      </c>
      <c r="M4" s="334">
        <v>2</v>
      </c>
      <c r="N4" s="335" t="s">
        <v>178</v>
      </c>
      <c r="O4" s="346"/>
      <c r="P4" s="345" t="s">
        <v>165</v>
      </c>
      <c r="Q4" s="334">
        <v>2</v>
      </c>
      <c r="R4" s="335" t="s">
        <v>183</v>
      </c>
      <c r="S4" s="346"/>
      <c r="T4" s="352" t="s">
        <v>165</v>
      </c>
      <c r="U4" s="334">
        <v>2</v>
      </c>
      <c r="V4" s="335" t="s">
        <v>180</v>
      </c>
      <c r="W4" s="346"/>
      <c r="X4" s="352">
        <v>1.1428571428571428</v>
      </c>
    </row>
    <row r="5" spans="1:24">
      <c r="A5" s="334">
        <v>3</v>
      </c>
      <c r="B5" s="335" t="s">
        <v>178</v>
      </c>
      <c r="C5" s="336"/>
      <c r="D5" s="546" t="s">
        <v>165</v>
      </c>
      <c r="E5" s="337">
        <v>3</v>
      </c>
      <c r="F5" s="338" t="s">
        <v>179</v>
      </c>
      <c r="G5" s="340"/>
      <c r="H5" s="341" t="s">
        <v>165</v>
      </c>
      <c r="I5" s="334">
        <v>3</v>
      </c>
      <c r="J5" s="335" t="s">
        <v>180</v>
      </c>
      <c r="K5" s="346"/>
      <c r="L5" s="352">
        <v>40.285714285714285</v>
      </c>
      <c r="M5" s="334">
        <v>3</v>
      </c>
      <c r="N5" s="335" t="s">
        <v>181</v>
      </c>
      <c r="O5" s="346"/>
      <c r="P5" s="345" t="s">
        <v>165</v>
      </c>
      <c r="Q5" s="337">
        <v>3</v>
      </c>
      <c r="R5" s="338" t="s">
        <v>179</v>
      </c>
      <c r="S5" s="340"/>
      <c r="T5" s="343" t="s">
        <v>165</v>
      </c>
      <c r="U5" s="334">
        <v>3</v>
      </c>
      <c r="V5" s="335" t="s">
        <v>182</v>
      </c>
      <c r="W5" s="346"/>
      <c r="X5" s="352" t="s">
        <v>165</v>
      </c>
    </row>
    <row r="6" spans="1:24">
      <c r="A6" s="334">
        <v>4</v>
      </c>
      <c r="B6" s="335" t="s">
        <v>181</v>
      </c>
      <c r="C6" s="336"/>
      <c r="D6" s="546" t="s">
        <v>165</v>
      </c>
      <c r="E6" s="337">
        <v>4</v>
      </c>
      <c r="F6" s="338" t="s">
        <v>184</v>
      </c>
      <c r="G6" s="340"/>
      <c r="H6" s="341" t="s">
        <v>165</v>
      </c>
      <c r="I6" s="334">
        <v>4</v>
      </c>
      <c r="J6" s="335" t="s">
        <v>182</v>
      </c>
      <c r="K6" s="346"/>
      <c r="L6" s="352" t="s">
        <v>165</v>
      </c>
      <c r="M6" s="334">
        <v>4</v>
      </c>
      <c r="N6" s="335" t="s">
        <v>183</v>
      </c>
      <c r="O6" s="346"/>
      <c r="P6" s="345" t="s">
        <v>165</v>
      </c>
      <c r="Q6" s="337">
        <v>4</v>
      </c>
      <c r="R6" s="338" t="s">
        <v>184</v>
      </c>
      <c r="S6" s="340"/>
      <c r="T6" s="343" t="s">
        <v>165</v>
      </c>
      <c r="U6" s="334">
        <v>4</v>
      </c>
      <c r="V6" s="335" t="s">
        <v>178</v>
      </c>
      <c r="W6" s="346"/>
      <c r="X6" s="352" t="s">
        <v>165</v>
      </c>
    </row>
    <row r="7" spans="1:24">
      <c r="A7" s="334">
        <v>5</v>
      </c>
      <c r="B7" s="335" t="s">
        <v>183</v>
      </c>
      <c r="C7" s="336"/>
      <c r="D7" s="547" t="s">
        <v>165</v>
      </c>
      <c r="E7" s="334">
        <v>5</v>
      </c>
      <c r="F7" s="335" t="s">
        <v>180</v>
      </c>
      <c r="G7" s="346"/>
      <c r="H7" s="345">
        <v>36.285714285714285</v>
      </c>
      <c r="I7" s="334">
        <v>5</v>
      </c>
      <c r="J7" s="335" t="s">
        <v>178</v>
      </c>
      <c r="K7" s="346"/>
      <c r="L7" s="352" t="s">
        <v>165</v>
      </c>
      <c r="M7" s="337">
        <v>5</v>
      </c>
      <c r="N7" s="338" t="s">
        <v>179</v>
      </c>
      <c r="O7" s="340"/>
      <c r="P7" s="341" t="s">
        <v>165</v>
      </c>
      <c r="Q7" s="334">
        <v>5</v>
      </c>
      <c r="R7" s="335" t="s">
        <v>180</v>
      </c>
      <c r="S7" s="346"/>
      <c r="T7" s="352">
        <v>49.285714285714285</v>
      </c>
      <c r="U7" s="334">
        <v>5</v>
      </c>
      <c r="V7" s="335" t="s">
        <v>181</v>
      </c>
      <c r="W7" s="346"/>
      <c r="X7" s="352" t="s">
        <v>165</v>
      </c>
    </row>
    <row r="8" spans="1:24">
      <c r="A8" s="337">
        <v>6</v>
      </c>
      <c r="B8" s="338" t="s">
        <v>179</v>
      </c>
      <c r="C8" s="339"/>
      <c r="D8" s="548" t="s">
        <v>165</v>
      </c>
      <c r="E8" s="334">
        <v>6</v>
      </c>
      <c r="F8" s="335" t="s">
        <v>182</v>
      </c>
      <c r="G8" s="346"/>
      <c r="H8" s="345" t="s">
        <v>165</v>
      </c>
      <c r="I8" s="334">
        <v>6</v>
      </c>
      <c r="J8" s="335" t="s">
        <v>181</v>
      </c>
      <c r="K8" s="346"/>
      <c r="L8" s="352" t="s">
        <v>165</v>
      </c>
      <c r="M8" s="337">
        <v>6</v>
      </c>
      <c r="N8" s="338" t="s">
        <v>184</v>
      </c>
      <c r="O8" s="340"/>
      <c r="P8" s="341" t="s">
        <v>165</v>
      </c>
      <c r="Q8" s="334">
        <v>6</v>
      </c>
      <c r="R8" s="335" t="s">
        <v>182</v>
      </c>
      <c r="S8" s="346"/>
      <c r="T8" s="352" t="s">
        <v>165</v>
      </c>
      <c r="U8" s="334">
        <v>6</v>
      </c>
      <c r="V8" s="335" t="s">
        <v>183</v>
      </c>
      <c r="W8" s="346"/>
      <c r="X8" s="352" t="s">
        <v>165</v>
      </c>
    </row>
    <row r="9" spans="1:24">
      <c r="A9" s="337">
        <v>7</v>
      </c>
      <c r="B9" s="338" t="s">
        <v>184</v>
      </c>
      <c r="C9" s="339"/>
      <c r="D9" s="548" t="s">
        <v>165</v>
      </c>
      <c r="E9" s="334">
        <v>7</v>
      </c>
      <c r="F9" s="335" t="s">
        <v>178</v>
      </c>
      <c r="G9" s="346"/>
      <c r="H9" s="345" t="s">
        <v>165</v>
      </c>
      <c r="I9" s="334">
        <v>7</v>
      </c>
      <c r="J9" s="335" t="s">
        <v>183</v>
      </c>
      <c r="K9" s="346"/>
      <c r="L9" s="352" t="s">
        <v>165</v>
      </c>
      <c r="M9" s="334">
        <v>7</v>
      </c>
      <c r="N9" s="335" t="s">
        <v>180</v>
      </c>
      <c r="O9" s="346"/>
      <c r="P9" s="345">
        <v>45.285714285714285</v>
      </c>
      <c r="Q9" s="334">
        <v>7</v>
      </c>
      <c r="R9" s="335" t="s">
        <v>178</v>
      </c>
      <c r="S9" s="346"/>
      <c r="T9" s="352" t="s">
        <v>165</v>
      </c>
      <c r="U9" s="337">
        <v>7</v>
      </c>
      <c r="V9" s="338" t="s">
        <v>179</v>
      </c>
      <c r="W9" s="340"/>
      <c r="X9" s="343" t="s">
        <v>165</v>
      </c>
    </row>
    <row r="10" spans="1:24">
      <c r="A10" s="334">
        <v>8</v>
      </c>
      <c r="B10" s="335" t="s">
        <v>180</v>
      </c>
      <c r="C10" s="336"/>
      <c r="D10" s="546">
        <v>32.285714285714285</v>
      </c>
      <c r="E10" s="334">
        <v>8</v>
      </c>
      <c r="F10" s="335" t="s">
        <v>181</v>
      </c>
      <c r="G10" s="346"/>
      <c r="H10" s="345" t="s">
        <v>165</v>
      </c>
      <c r="I10" s="337">
        <v>8</v>
      </c>
      <c r="J10" s="338" t="s">
        <v>179</v>
      </c>
      <c r="K10" s="340"/>
      <c r="L10" s="343" t="s">
        <v>165</v>
      </c>
      <c r="M10" s="334">
        <v>8</v>
      </c>
      <c r="N10" s="335" t="s">
        <v>182</v>
      </c>
      <c r="O10" s="346"/>
      <c r="P10" s="345" t="s">
        <v>165</v>
      </c>
      <c r="Q10" s="334">
        <v>8</v>
      </c>
      <c r="R10" s="335" t="s">
        <v>181</v>
      </c>
      <c r="S10" s="346"/>
      <c r="T10" s="352" t="s">
        <v>165</v>
      </c>
      <c r="U10" s="337">
        <v>8</v>
      </c>
      <c r="V10" s="338" t="s">
        <v>184</v>
      </c>
      <c r="W10" s="340"/>
      <c r="X10" s="343" t="s">
        <v>165</v>
      </c>
    </row>
    <row r="11" spans="1:24">
      <c r="A11" s="334">
        <v>9</v>
      </c>
      <c r="B11" s="335" t="s">
        <v>182</v>
      </c>
      <c r="C11" s="336"/>
      <c r="D11" s="546" t="s">
        <v>165</v>
      </c>
      <c r="E11" s="334">
        <v>9</v>
      </c>
      <c r="F11" s="335" t="s">
        <v>183</v>
      </c>
      <c r="G11" s="346"/>
      <c r="H11" s="345" t="s">
        <v>165</v>
      </c>
      <c r="I11" s="337">
        <v>9</v>
      </c>
      <c r="J11" s="338" t="s">
        <v>184</v>
      </c>
      <c r="K11" s="340"/>
      <c r="L11" s="343" t="s">
        <v>165</v>
      </c>
      <c r="M11" s="334">
        <v>9</v>
      </c>
      <c r="N11" s="335" t="s">
        <v>178</v>
      </c>
      <c r="O11" s="346"/>
      <c r="P11" s="345" t="s">
        <v>165</v>
      </c>
      <c r="Q11" s="334">
        <v>9</v>
      </c>
      <c r="R11" s="335" t="s">
        <v>183</v>
      </c>
      <c r="S11" s="346"/>
      <c r="T11" s="352" t="s">
        <v>165</v>
      </c>
      <c r="U11" s="334">
        <v>9</v>
      </c>
      <c r="V11" s="335" t="s">
        <v>180</v>
      </c>
      <c r="W11" s="346"/>
      <c r="X11" s="352">
        <v>2.1428571428571428</v>
      </c>
    </row>
    <row r="12" spans="1:24">
      <c r="A12" s="334">
        <v>10</v>
      </c>
      <c r="B12" s="335" t="s">
        <v>178</v>
      </c>
      <c r="C12" s="336"/>
      <c r="D12" s="546" t="s">
        <v>165</v>
      </c>
      <c r="E12" s="337">
        <v>10</v>
      </c>
      <c r="F12" s="338" t="s">
        <v>179</v>
      </c>
      <c r="G12" s="340"/>
      <c r="H12" s="341" t="s">
        <v>165</v>
      </c>
      <c r="I12" s="334">
        <v>10</v>
      </c>
      <c r="J12" s="335" t="s">
        <v>180</v>
      </c>
      <c r="K12" s="346"/>
      <c r="L12" s="352">
        <v>41.285714285714285</v>
      </c>
      <c r="M12" s="334">
        <v>10</v>
      </c>
      <c r="N12" s="335" t="s">
        <v>181</v>
      </c>
      <c r="O12" s="346"/>
      <c r="P12" s="345" t="s">
        <v>165</v>
      </c>
      <c r="Q12" s="337">
        <v>10</v>
      </c>
      <c r="R12" s="338" t="s">
        <v>179</v>
      </c>
      <c r="S12" s="340"/>
      <c r="T12" s="343" t="s">
        <v>165</v>
      </c>
      <c r="U12" s="334">
        <v>10</v>
      </c>
      <c r="V12" s="335" t="s">
        <v>182</v>
      </c>
      <c r="W12" s="346"/>
      <c r="X12" s="352" t="s">
        <v>165</v>
      </c>
    </row>
    <row r="13" spans="1:24">
      <c r="A13" s="334">
        <v>11</v>
      </c>
      <c r="B13" s="335" t="s">
        <v>181</v>
      </c>
      <c r="C13" s="336"/>
      <c r="D13" s="546" t="s">
        <v>165</v>
      </c>
      <c r="E13" s="337">
        <v>11</v>
      </c>
      <c r="F13" s="338" t="s">
        <v>184</v>
      </c>
      <c r="G13" s="340"/>
      <c r="H13" s="341" t="s">
        <v>165</v>
      </c>
      <c r="I13" s="334">
        <v>11</v>
      </c>
      <c r="J13" s="335" t="s">
        <v>182</v>
      </c>
      <c r="K13" s="346"/>
      <c r="L13" s="352" t="s">
        <v>165</v>
      </c>
      <c r="M13" s="334">
        <v>11</v>
      </c>
      <c r="N13" s="335" t="s">
        <v>183</v>
      </c>
      <c r="O13" s="346"/>
      <c r="P13" s="345" t="s">
        <v>165</v>
      </c>
      <c r="Q13" s="337">
        <v>11</v>
      </c>
      <c r="R13" s="338" t="s">
        <v>184</v>
      </c>
      <c r="S13" s="340"/>
      <c r="T13" s="343" t="s">
        <v>165</v>
      </c>
      <c r="U13" s="334">
        <v>11</v>
      </c>
      <c r="V13" s="335" t="s">
        <v>178</v>
      </c>
      <c r="W13" s="346"/>
      <c r="X13" s="352" t="s">
        <v>165</v>
      </c>
    </row>
    <row r="14" spans="1:24">
      <c r="A14" s="334">
        <v>12</v>
      </c>
      <c r="B14" s="335" t="s">
        <v>183</v>
      </c>
      <c r="C14" s="336"/>
      <c r="D14" s="547" t="s">
        <v>165</v>
      </c>
      <c r="E14" s="334">
        <v>12</v>
      </c>
      <c r="F14" s="335" t="s">
        <v>180</v>
      </c>
      <c r="G14" s="346"/>
      <c r="H14" s="345">
        <v>37.285714285714285</v>
      </c>
      <c r="I14" s="334">
        <v>12</v>
      </c>
      <c r="J14" s="335" t="s">
        <v>178</v>
      </c>
      <c r="K14" s="346"/>
      <c r="L14" s="352" t="s">
        <v>165</v>
      </c>
      <c r="M14" s="337">
        <v>12</v>
      </c>
      <c r="N14" s="338" t="s">
        <v>179</v>
      </c>
      <c r="O14" s="340"/>
      <c r="P14" s="341" t="s">
        <v>165</v>
      </c>
      <c r="Q14" s="334">
        <v>12</v>
      </c>
      <c r="R14" s="335" t="s">
        <v>180</v>
      </c>
      <c r="S14" s="346"/>
      <c r="T14" s="352">
        <v>50.285714285714285</v>
      </c>
      <c r="U14" s="334">
        <v>12</v>
      </c>
      <c r="V14" s="335" t="s">
        <v>181</v>
      </c>
      <c r="W14" s="346"/>
      <c r="X14" s="352" t="s">
        <v>165</v>
      </c>
    </row>
    <row r="15" spans="1:24">
      <c r="A15" s="337">
        <v>13</v>
      </c>
      <c r="B15" s="338" t="s">
        <v>179</v>
      </c>
      <c r="C15" s="339"/>
      <c r="D15" s="548" t="s">
        <v>165</v>
      </c>
      <c r="E15" s="334">
        <v>13</v>
      </c>
      <c r="F15" s="335" t="s">
        <v>182</v>
      </c>
      <c r="G15" s="346"/>
      <c r="H15" s="345" t="s">
        <v>165</v>
      </c>
      <c r="I15" s="334">
        <v>13</v>
      </c>
      <c r="J15" s="335" t="s">
        <v>181</v>
      </c>
      <c r="K15" s="346"/>
      <c r="L15" s="352" t="s">
        <v>165</v>
      </c>
      <c r="M15" s="337">
        <v>13</v>
      </c>
      <c r="N15" s="338" t="s">
        <v>184</v>
      </c>
      <c r="O15" s="340"/>
      <c r="P15" s="341" t="s">
        <v>165</v>
      </c>
      <c r="Q15" s="334">
        <v>13</v>
      </c>
      <c r="R15" s="335" t="s">
        <v>182</v>
      </c>
      <c r="S15" s="346"/>
      <c r="T15" s="352" t="s">
        <v>165</v>
      </c>
      <c r="U15" s="334">
        <v>13</v>
      </c>
      <c r="V15" s="335" t="s">
        <v>183</v>
      </c>
      <c r="W15" s="346"/>
      <c r="X15" s="352" t="s">
        <v>165</v>
      </c>
    </row>
    <row r="16" spans="1:24">
      <c r="A16" s="337">
        <v>14</v>
      </c>
      <c r="B16" s="338" t="s">
        <v>184</v>
      </c>
      <c r="C16" s="339"/>
      <c r="D16" s="548" t="s">
        <v>165</v>
      </c>
      <c r="E16" s="334">
        <v>14</v>
      </c>
      <c r="F16" s="335" t="s">
        <v>178</v>
      </c>
      <c r="G16" s="346"/>
      <c r="H16" s="345" t="s">
        <v>165</v>
      </c>
      <c r="I16" s="334">
        <v>14</v>
      </c>
      <c r="J16" s="335" t="s">
        <v>183</v>
      </c>
      <c r="K16" s="346"/>
      <c r="L16" s="352" t="s">
        <v>165</v>
      </c>
      <c r="M16" s="334">
        <v>14</v>
      </c>
      <c r="N16" s="335" t="s">
        <v>180</v>
      </c>
      <c r="O16" s="346"/>
      <c r="P16" s="345">
        <v>46.285714285714285</v>
      </c>
      <c r="Q16" s="334">
        <v>14</v>
      </c>
      <c r="R16" s="335" t="s">
        <v>178</v>
      </c>
      <c r="S16" s="346"/>
      <c r="T16" s="352" t="s">
        <v>165</v>
      </c>
      <c r="U16" s="337">
        <v>14</v>
      </c>
      <c r="V16" s="338" t="s">
        <v>179</v>
      </c>
      <c r="W16" s="340"/>
      <c r="X16" s="343" t="s">
        <v>165</v>
      </c>
    </row>
    <row r="17" spans="1:24">
      <c r="A17" s="334">
        <v>15</v>
      </c>
      <c r="B17" s="335" t="s">
        <v>180</v>
      </c>
      <c r="C17" s="336"/>
      <c r="D17" s="546">
        <v>33.285714285714285</v>
      </c>
      <c r="E17" s="334">
        <v>15</v>
      </c>
      <c r="F17" s="335" t="s">
        <v>181</v>
      </c>
      <c r="G17" s="346"/>
      <c r="H17" s="345" t="s">
        <v>165</v>
      </c>
      <c r="I17" s="337">
        <v>15</v>
      </c>
      <c r="J17" s="338" t="s">
        <v>179</v>
      </c>
      <c r="K17" s="340"/>
      <c r="L17" s="343" t="s">
        <v>165</v>
      </c>
      <c r="M17" s="334">
        <v>15</v>
      </c>
      <c r="N17" s="335" t="s">
        <v>182</v>
      </c>
      <c r="O17" s="346"/>
      <c r="P17" s="345" t="s">
        <v>165</v>
      </c>
      <c r="Q17" s="334">
        <v>15</v>
      </c>
      <c r="R17" s="335" t="s">
        <v>181</v>
      </c>
      <c r="S17" s="346"/>
      <c r="T17" s="352" t="s">
        <v>165</v>
      </c>
      <c r="U17" s="337">
        <v>15</v>
      </c>
      <c r="V17" s="338" t="s">
        <v>184</v>
      </c>
      <c r="W17" s="340"/>
      <c r="X17" s="343" t="s">
        <v>165</v>
      </c>
    </row>
    <row r="18" spans="1:24">
      <c r="A18" s="334">
        <v>16</v>
      </c>
      <c r="B18" s="335" t="s">
        <v>182</v>
      </c>
      <c r="C18" s="336"/>
      <c r="D18" s="546" t="s">
        <v>165</v>
      </c>
      <c r="E18" s="334">
        <v>16</v>
      </c>
      <c r="F18" s="335" t="s">
        <v>183</v>
      </c>
      <c r="G18" s="346"/>
      <c r="H18" s="345" t="s">
        <v>165</v>
      </c>
      <c r="I18" s="337">
        <v>16</v>
      </c>
      <c r="J18" s="338" t="s">
        <v>184</v>
      </c>
      <c r="K18" s="340"/>
      <c r="L18" s="343" t="s">
        <v>165</v>
      </c>
      <c r="M18" s="334">
        <v>16</v>
      </c>
      <c r="N18" s="335" t="s">
        <v>178</v>
      </c>
      <c r="O18" s="346"/>
      <c r="P18" s="345" t="s">
        <v>165</v>
      </c>
      <c r="Q18" s="334">
        <v>16</v>
      </c>
      <c r="R18" s="335" t="s">
        <v>183</v>
      </c>
      <c r="S18" s="346"/>
      <c r="T18" s="352" t="s">
        <v>165</v>
      </c>
      <c r="U18" s="334">
        <v>16</v>
      </c>
      <c r="V18" s="335" t="s">
        <v>180</v>
      </c>
      <c r="W18" s="346"/>
      <c r="X18" s="352">
        <v>3.1428571428571428</v>
      </c>
    </row>
    <row r="19" spans="1:24">
      <c r="A19" s="334">
        <v>17</v>
      </c>
      <c r="B19" s="335" t="s">
        <v>178</v>
      </c>
      <c r="C19" s="336"/>
      <c r="D19" s="546" t="s">
        <v>165</v>
      </c>
      <c r="E19" s="337">
        <v>17</v>
      </c>
      <c r="F19" s="338" t="s">
        <v>179</v>
      </c>
      <c r="G19" s="340"/>
      <c r="H19" s="341" t="s">
        <v>165</v>
      </c>
      <c r="I19" s="334">
        <v>17</v>
      </c>
      <c r="J19" s="335" t="s">
        <v>180</v>
      </c>
      <c r="K19" s="346"/>
      <c r="L19" s="352">
        <v>42.285714285714285</v>
      </c>
      <c r="M19" s="334">
        <v>17</v>
      </c>
      <c r="N19" s="335" t="s">
        <v>181</v>
      </c>
      <c r="O19" s="346"/>
      <c r="P19" s="345" t="s">
        <v>165</v>
      </c>
      <c r="Q19" s="337">
        <v>17</v>
      </c>
      <c r="R19" s="338" t="s">
        <v>179</v>
      </c>
      <c r="S19" s="340"/>
      <c r="T19" s="343" t="s">
        <v>165</v>
      </c>
      <c r="U19" s="334">
        <v>17</v>
      </c>
      <c r="V19" s="335" t="s">
        <v>182</v>
      </c>
      <c r="W19" s="346"/>
      <c r="X19" s="352" t="s">
        <v>165</v>
      </c>
    </row>
    <row r="20" spans="1:24">
      <c r="A20" s="334">
        <v>18</v>
      </c>
      <c r="B20" s="335" t="s">
        <v>181</v>
      </c>
      <c r="C20" s="336"/>
      <c r="D20" s="546" t="s">
        <v>165</v>
      </c>
      <c r="E20" s="337">
        <v>18</v>
      </c>
      <c r="F20" s="338" t="s">
        <v>184</v>
      </c>
      <c r="G20" s="340"/>
      <c r="H20" s="341" t="s">
        <v>165</v>
      </c>
      <c r="I20" s="334">
        <v>18</v>
      </c>
      <c r="J20" s="335" t="s">
        <v>182</v>
      </c>
      <c r="K20" s="346"/>
      <c r="L20" s="352" t="s">
        <v>165</v>
      </c>
      <c r="M20" s="334">
        <v>18</v>
      </c>
      <c r="N20" s="335" t="s">
        <v>183</v>
      </c>
      <c r="O20" s="346"/>
      <c r="P20" s="345" t="s">
        <v>165</v>
      </c>
      <c r="Q20" s="337">
        <v>18</v>
      </c>
      <c r="R20" s="338" t="s">
        <v>184</v>
      </c>
      <c r="S20" s="340"/>
      <c r="T20" s="343" t="s">
        <v>165</v>
      </c>
      <c r="U20" s="334">
        <v>18</v>
      </c>
      <c r="V20" s="335" t="s">
        <v>178</v>
      </c>
      <c r="W20" s="346"/>
      <c r="X20" s="352" t="s">
        <v>165</v>
      </c>
    </row>
    <row r="21" spans="1:24">
      <c r="A21" s="334">
        <v>19</v>
      </c>
      <c r="B21" s="335" t="s">
        <v>183</v>
      </c>
      <c r="C21" s="336"/>
      <c r="D21" s="547" t="s">
        <v>165</v>
      </c>
      <c r="E21" s="334">
        <v>19</v>
      </c>
      <c r="F21" s="335" t="s">
        <v>180</v>
      </c>
      <c r="G21" s="346"/>
      <c r="H21" s="345">
        <v>38.285714285714285</v>
      </c>
      <c r="I21" s="334">
        <v>19</v>
      </c>
      <c r="J21" s="335" t="s">
        <v>178</v>
      </c>
      <c r="K21" s="346"/>
      <c r="L21" s="352" t="s">
        <v>165</v>
      </c>
      <c r="M21" s="337">
        <v>19</v>
      </c>
      <c r="N21" s="338" t="s">
        <v>179</v>
      </c>
      <c r="O21" s="340"/>
      <c r="P21" s="341" t="s">
        <v>165</v>
      </c>
      <c r="Q21" s="334">
        <v>19</v>
      </c>
      <c r="R21" s="335" t="s">
        <v>180</v>
      </c>
      <c r="S21" s="346"/>
      <c r="T21" s="352">
        <v>51.285714285714285</v>
      </c>
      <c r="U21" s="334">
        <v>19</v>
      </c>
      <c r="V21" s="335" t="s">
        <v>181</v>
      </c>
      <c r="W21" s="346"/>
      <c r="X21" s="352" t="s">
        <v>165</v>
      </c>
    </row>
    <row r="22" spans="1:24">
      <c r="A22" s="337">
        <v>20</v>
      </c>
      <c r="B22" s="338" t="s">
        <v>179</v>
      </c>
      <c r="C22" s="339"/>
      <c r="D22" s="548" t="s">
        <v>165</v>
      </c>
      <c r="E22" s="334">
        <v>20</v>
      </c>
      <c r="F22" s="335" t="s">
        <v>182</v>
      </c>
      <c r="G22" s="346"/>
      <c r="H22" s="345" t="s">
        <v>165</v>
      </c>
      <c r="I22" s="334">
        <v>20</v>
      </c>
      <c r="J22" s="335" t="s">
        <v>181</v>
      </c>
      <c r="K22" s="346"/>
      <c r="L22" s="352" t="s">
        <v>165</v>
      </c>
      <c r="M22" s="337">
        <v>20</v>
      </c>
      <c r="N22" s="338" t="s">
        <v>184</v>
      </c>
      <c r="O22" s="340"/>
      <c r="P22" s="341" t="s">
        <v>165</v>
      </c>
      <c r="Q22" s="334">
        <v>20</v>
      </c>
      <c r="R22" s="335" t="s">
        <v>182</v>
      </c>
      <c r="S22" s="346"/>
      <c r="T22" s="352" t="s">
        <v>165</v>
      </c>
      <c r="U22" s="334">
        <v>20</v>
      </c>
      <c r="V22" s="335" t="s">
        <v>183</v>
      </c>
      <c r="W22" s="346"/>
      <c r="X22" s="352" t="s">
        <v>165</v>
      </c>
    </row>
    <row r="23" spans="1:24">
      <c r="A23" s="337">
        <v>21</v>
      </c>
      <c r="B23" s="338" t="s">
        <v>184</v>
      </c>
      <c r="C23" s="339"/>
      <c r="D23" s="548" t="s">
        <v>165</v>
      </c>
      <c r="E23" s="334">
        <v>21</v>
      </c>
      <c r="F23" s="335" t="s">
        <v>178</v>
      </c>
      <c r="G23" s="346"/>
      <c r="H23" s="345" t="s">
        <v>165</v>
      </c>
      <c r="I23" s="334">
        <v>21</v>
      </c>
      <c r="J23" s="335" t="s">
        <v>183</v>
      </c>
      <c r="K23" s="346"/>
      <c r="L23" s="352" t="s">
        <v>165</v>
      </c>
      <c r="M23" s="334">
        <v>21</v>
      </c>
      <c r="N23" s="335" t="s">
        <v>180</v>
      </c>
      <c r="O23" s="346"/>
      <c r="P23" s="345">
        <v>47.285714285714285</v>
      </c>
      <c r="Q23" s="334">
        <v>21</v>
      </c>
      <c r="R23" s="335" t="s">
        <v>178</v>
      </c>
      <c r="S23" s="346"/>
      <c r="T23" s="352" t="s">
        <v>165</v>
      </c>
      <c r="U23" s="337">
        <v>21</v>
      </c>
      <c r="V23" s="338" t="s">
        <v>179</v>
      </c>
      <c r="W23" s="340"/>
      <c r="X23" s="343" t="s">
        <v>165</v>
      </c>
    </row>
    <row r="24" spans="1:24">
      <c r="A24" s="334">
        <v>22</v>
      </c>
      <c r="B24" s="335" t="s">
        <v>180</v>
      </c>
      <c r="C24" s="336"/>
      <c r="D24" s="547">
        <v>34.285714285714285</v>
      </c>
      <c r="E24" s="334">
        <v>22</v>
      </c>
      <c r="F24" s="335" t="s">
        <v>181</v>
      </c>
      <c r="G24" s="346"/>
      <c r="H24" s="345" t="s">
        <v>165</v>
      </c>
      <c r="I24" s="337">
        <v>22</v>
      </c>
      <c r="J24" s="338" t="s">
        <v>179</v>
      </c>
      <c r="K24" s="340"/>
      <c r="L24" s="343" t="s">
        <v>165</v>
      </c>
      <c r="M24" s="334">
        <v>22</v>
      </c>
      <c r="N24" s="335" t="s">
        <v>182</v>
      </c>
      <c r="O24" s="346"/>
      <c r="P24" s="345" t="s">
        <v>165</v>
      </c>
      <c r="Q24" s="334">
        <v>22</v>
      </c>
      <c r="R24" s="335" t="s">
        <v>181</v>
      </c>
      <c r="S24" s="346"/>
      <c r="T24" s="352" t="s">
        <v>165</v>
      </c>
      <c r="U24" s="337">
        <v>22</v>
      </c>
      <c r="V24" s="338" t="s">
        <v>184</v>
      </c>
      <c r="W24" s="340"/>
      <c r="X24" s="343" t="s">
        <v>165</v>
      </c>
    </row>
    <row r="25" spans="1:24">
      <c r="A25" s="334">
        <v>23</v>
      </c>
      <c r="B25" s="335" t="s">
        <v>182</v>
      </c>
      <c r="C25" s="336"/>
      <c r="D25" s="547" t="s">
        <v>165</v>
      </c>
      <c r="E25" s="334">
        <v>23</v>
      </c>
      <c r="F25" s="335" t="s">
        <v>183</v>
      </c>
      <c r="G25" s="346"/>
      <c r="H25" s="345" t="s">
        <v>165</v>
      </c>
      <c r="I25" s="337">
        <v>23</v>
      </c>
      <c r="J25" s="338" t="s">
        <v>184</v>
      </c>
      <c r="K25" s="340"/>
      <c r="L25" s="343" t="s">
        <v>165</v>
      </c>
      <c r="M25" s="334">
        <v>23</v>
      </c>
      <c r="N25" s="335" t="s">
        <v>178</v>
      </c>
      <c r="O25" s="346"/>
      <c r="P25" s="345" t="s">
        <v>165</v>
      </c>
      <c r="Q25" s="334">
        <v>23</v>
      </c>
      <c r="R25" s="335" t="s">
        <v>183</v>
      </c>
      <c r="S25" s="346"/>
      <c r="T25" s="352" t="s">
        <v>165</v>
      </c>
      <c r="U25" s="334">
        <v>23</v>
      </c>
      <c r="V25" s="335" t="s">
        <v>180</v>
      </c>
      <c r="W25" s="346"/>
      <c r="X25" s="352">
        <v>4.1428571428571432</v>
      </c>
    </row>
    <row r="26" spans="1:24">
      <c r="A26" s="334">
        <v>24</v>
      </c>
      <c r="B26" s="335" t="s">
        <v>178</v>
      </c>
      <c r="C26" s="336"/>
      <c r="D26" s="547" t="s">
        <v>165</v>
      </c>
      <c r="E26" s="337">
        <v>24</v>
      </c>
      <c r="F26" s="338" t="s">
        <v>179</v>
      </c>
      <c r="G26" s="340"/>
      <c r="H26" s="341" t="s">
        <v>165</v>
      </c>
      <c r="I26" s="334">
        <v>24</v>
      </c>
      <c r="J26" s="335" t="s">
        <v>180</v>
      </c>
      <c r="K26" s="346"/>
      <c r="L26" s="352">
        <v>43.285714285714285</v>
      </c>
      <c r="M26" s="334">
        <v>24</v>
      </c>
      <c r="N26" s="335" t="s">
        <v>181</v>
      </c>
      <c r="O26" s="346"/>
      <c r="P26" s="345" t="s">
        <v>165</v>
      </c>
      <c r="Q26" s="337">
        <v>24</v>
      </c>
      <c r="R26" s="338" t="s">
        <v>179</v>
      </c>
      <c r="S26" s="340" t="s">
        <v>149</v>
      </c>
      <c r="T26" s="343" t="s">
        <v>165</v>
      </c>
      <c r="U26" s="334">
        <v>24</v>
      </c>
      <c r="V26" s="335" t="s">
        <v>182</v>
      </c>
      <c r="W26" s="346"/>
      <c r="X26" s="352" t="s">
        <v>165</v>
      </c>
    </row>
    <row r="27" spans="1:24">
      <c r="A27" s="334">
        <v>25</v>
      </c>
      <c r="B27" s="335" t="s">
        <v>181</v>
      </c>
      <c r="C27" s="336"/>
      <c r="D27" s="547" t="s">
        <v>165</v>
      </c>
      <c r="E27" s="337">
        <v>25</v>
      </c>
      <c r="F27" s="338" t="s">
        <v>184</v>
      </c>
      <c r="G27" s="340"/>
      <c r="H27" s="341" t="s">
        <v>165</v>
      </c>
      <c r="I27" s="334">
        <v>25</v>
      </c>
      <c r="J27" s="335" t="s">
        <v>182</v>
      </c>
      <c r="K27" s="346"/>
      <c r="L27" s="352" t="s">
        <v>165</v>
      </c>
      <c r="M27" s="334">
        <v>25</v>
      </c>
      <c r="N27" s="335" t="s">
        <v>183</v>
      </c>
      <c r="O27" s="346"/>
      <c r="P27" s="345" t="s">
        <v>165</v>
      </c>
      <c r="Q27" s="337">
        <v>25</v>
      </c>
      <c r="R27" s="338" t="s">
        <v>184</v>
      </c>
      <c r="S27" s="340" t="s">
        <v>374</v>
      </c>
      <c r="T27" s="343" t="s">
        <v>165</v>
      </c>
      <c r="U27" s="334">
        <v>25</v>
      </c>
      <c r="V27" s="335" t="s">
        <v>178</v>
      </c>
      <c r="W27" s="346"/>
      <c r="X27" s="352" t="s">
        <v>165</v>
      </c>
    </row>
    <row r="28" spans="1:24">
      <c r="A28" s="334">
        <v>26</v>
      </c>
      <c r="B28" s="335" t="s">
        <v>183</v>
      </c>
      <c r="C28" s="336"/>
      <c r="D28" s="547" t="s">
        <v>165</v>
      </c>
      <c r="E28" s="334">
        <v>26</v>
      </c>
      <c r="F28" s="335" t="s">
        <v>180</v>
      </c>
      <c r="G28" s="346"/>
      <c r="H28" s="345">
        <v>39.285714285714285</v>
      </c>
      <c r="I28" s="334">
        <v>26</v>
      </c>
      <c r="J28" s="335" t="s">
        <v>178</v>
      </c>
      <c r="K28" s="346"/>
      <c r="L28" s="352" t="s">
        <v>165</v>
      </c>
      <c r="M28" s="337">
        <v>26</v>
      </c>
      <c r="N28" s="338" t="s">
        <v>179</v>
      </c>
      <c r="O28" s="340"/>
      <c r="P28" s="341" t="s">
        <v>165</v>
      </c>
      <c r="Q28" s="334">
        <v>26</v>
      </c>
      <c r="R28" s="335" t="s">
        <v>180</v>
      </c>
      <c r="S28" s="346" t="s">
        <v>101</v>
      </c>
      <c r="T28" s="352">
        <v>52.285714285714285</v>
      </c>
      <c r="U28" s="334">
        <v>26</v>
      </c>
      <c r="V28" s="335" t="s">
        <v>181</v>
      </c>
      <c r="W28" s="346"/>
      <c r="X28" s="352" t="s">
        <v>165</v>
      </c>
    </row>
    <row r="29" spans="1:24">
      <c r="A29" s="337">
        <v>27</v>
      </c>
      <c r="B29" s="338" t="s">
        <v>179</v>
      </c>
      <c r="C29" s="339"/>
      <c r="D29" s="548" t="s">
        <v>165</v>
      </c>
      <c r="E29" s="334">
        <v>27</v>
      </c>
      <c r="F29" s="335" t="s">
        <v>182</v>
      </c>
      <c r="G29" s="346"/>
      <c r="H29" s="345" t="s">
        <v>165</v>
      </c>
      <c r="I29" s="334">
        <v>27</v>
      </c>
      <c r="J29" s="335" t="s">
        <v>181</v>
      </c>
      <c r="K29" s="346"/>
      <c r="L29" s="352" t="s">
        <v>165</v>
      </c>
      <c r="M29" s="337">
        <v>27</v>
      </c>
      <c r="N29" s="338" t="s">
        <v>184</v>
      </c>
      <c r="O29" s="340"/>
      <c r="P29" s="341" t="s">
        <v>165</v>
      </c>
      <c r="Q29" s="334">
        <v>27</v>
      </c>
      <c r="R29" s="335" t="s">
        <v>182</v>
      </c>
      <c r="S29" s="346"/>
      <c r="T29" s="352" t="s">
        <v>165</v>
      </c>
      <c r="U29" s="334">
        <v>27</v>
      </c>
      <c r="V29" s="335" t="s">
        <v>183</v>
      </c>
      <c r="W29" s="346"/>
      <c r="X29" s="352" t="s">
        <v>165</v>
      </c>
    </row>
    <row r="30" spans="1:24">
      <c r="A30" s="337">
        <v>28</v>
      </c>
      <c r="B30" s="338" t="s">
        <v>184</v>
      </c>
      <c r="C30" s="339"/>
      <c r="D30" s="548" t="s">
        <v>165</v>
      </c>
      <c r="E30" s="334">
        <v>28</v>
      </c>
      <c r="F30" s="335" t="s">
        <v>178</v>
      </c>
      <c r="G30" s="346"/>
      <c r="H30" s="345" t="s">
        <v>165</v>
      </c>
      <c r="I30" s="334">
        <v>28</v>
      </c>
      <c r="J30" s="335" t="s">
        <v>183</v>
      </c>
      <c r="K30" s="346"/>
      <c r="L30" s="352" t="s">
        <v>165</v>
      </c>
      <c r="M30" s="334">
        <v>28</v>
      </c>
      <c r="N30" s="335" t="s">
        <v>180</v>
      </c>
      <c r="O30" s="346"/>
      <c r="P30" s="345">
        <v>48.285714285714285</v>
      </c>
      <c r="Q30" s="334">
        <v>28</v>
      </c>
      <c r="R30" s="335" t="s">
        <v>178</v>
      </c>
      <c r="S30" s="346"/>
      <c r="T30" s="352" t="s">
        <v>165</v>
      </c>
      <c r="U30" s="337">
        <v>28</v>
      </c>
      <c r="V30" s="338" t="s">
        <v>179</v>
      </c>
      <c r="W30" s="340"/>
      <c r="X30" s="343" t="s">
        <v>165</v>
      </c>
    </row>
    <row r="31" spans="1:24">
      <c r="A31" s="334">
        <v>29</v>
      </c>
      <c r="B31" s="335" t="s">
        <v>180</v>
      </c>
      <c r="C31" s="336"/>
      <c r="D31" s="546">
        <v>35.285714285714285</v>
      </c>
      <c r="E31" s="334">
        <v>29</v>
      </c>
      <c r="F31" s="335" t="s">
        <v>181</v>
      </c>
      <c r="G31" s="346"/>
      <c r="H31" s="345" t="s">
        <v>165</v>
      </c>
      <c r="I31" s="337">
        <v>29</v>
      </c>
      <c r="J31" s="338" t="s">
        <v>179</v>
      </c>
      <c r="K31" s="340"/>
      <c r="L31" s="343" t="s">
        <v>165</v>
      </c>
      <c r="M31" s="334">
        <v>29</v>
      </c>
      <c r="N31" s="335" t="s">
        <v>182</v>
      </c>
      <c r="O31" s="346"/>
      <c r="P31" s="345" t="s">
        <v>165</v>
      </c>
      <c r="Q31" s="334">
        <v>29</v>
      </c>
      <c r="R31" s="335" t="s">
        <v>181</v>
      </c>
      <c r="S31" s="346"/>
      <c r="T31" s="352" t="s">
        <v>165</v>
      </c>
      <c r="U31" s="337">
        <v>29</v>
      </c>
      <c r="V31" s="338" t="s">
        <v>184</v>
      </c>
      <c r="W31" s="340"/>
      <c r="X31" s="343" t="s">
        <v>165</v>
      </c>
    </row>
    <row r="32" spans="1:24">
      <c r="A32" s="334">
        <v>30</v>
      </c>
      <c r="B32" s="335" t="s">
        <v>182</v>
      </c>
      <c r="C32" s="336"/>
      <c r="D32" s="546" t="s">
        <v>165</v>
      </c>
      <c r="E32" s="334">
        <v>30</v>
      </c>
      <c r="F32" s="335" t="s">
        <v>183</v>
      </c>
      <c r="G32" s="326"/>
      <c r="H32" s="345" t="s">
        <v>165</v>
      </c>
      <c r="I32" s="337">
        <v>30</v>
      </c>
      <c r="J32" s="338" t="s">
        <v>184</v>
      </c>
      <c r="K32" s="340"/>
      <c r="L32" s="343" t="s">
        <v>165</v>
      </c>
      <c r="M32" s="334">
        <v>30</v>
      </c>
      <c r="N32" s="335" t="s">
        <v>178</v>
      </c>
      <c r="O32" s="326"/>
      <c r="P32" s="345" t="s">
        <v>165</v>
      </c>
      <c r="Q32" s="334">
        <v>30</v>
      </c>
      <c r="R32" s="335" t="s">
        <v>183</v>
      </c>
      <c r="S32" s="346"/>
      <c r="T32" s="352">
        <v>0</v>
      </c>
      <c r="U32" s="334">
        <v>30</v>
      </c>
      <c r="V32" s="335" t="s">
        <v>180</v>
      </c>
      <c r="W32" s="346"/>
      <c r="X32" s="352">
        <v>5.1428571428571432</v>
      </c>
    </row>
    <row r="33" spans="1:24">
      <c r="A33" s="360">
        <v>31</v>
      </c>
      <c r="B33" s="361" t="s">
        <v>178</v>
      </c>
      <c r="C33" s="326"/>
      <c r="D33" s="362" t="s">
        <v>165</v>
      </c>
      <c r="E33" s="348"/>
      <c r="F33" s="349"/>
      <c r="G33" s="329"/>
      <c r="H33" s="355"/>
      <c r="I33" s="360">
        <v>31</v>
      </c>
      <c r="J33" s="361" t="s">
        <v>180</v>
      </c>
      <c r="K33" s="326"/>
      <c r="L33" s="357">
        <v>44.285714285714285</v>
      </c>
      <c r="M33" s="348"/>
      <c r="N33" s="349"/>
      <c r="O33" s="329"/>
      <c r="P33" s="356"/>
      <c r="Q33" s="363">
        <v>31</v>
      </c>
      <c r="R33" s="364" t="s">
        <v>179</v>
      </c>
      <c r="S33" s="358" t="s">
        <v>148</v>
      </c>
      <c r="T33" s="359" t="s">
        <v>165</v>
      </c>
      <c r="U33" s="360">
        <v>31</v>
      </c>
      <c r="V33" s="361" t="s">
        <v>182</v>
      </c>
      <c r="W33" s="326"/>
      <c r="X33" s="357" t="s">
        <v>165</v>
      </c>
    </row>
  </sheetData>
  <mergeCells count="1">
    <mergeCell ref="A1:X1"/>
  </mergeCells>
  <phoneticPr fontId="5" type="noConversion"/>
  <pageMargins left="0.7" right="0.7" top="0.75" bottom="0.75" header="0.3" footer="0.3"/>
  <pageSetup paperSize="9" scale="69"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33"/>
  <sheetViews>
    <sheetView workbookViewId="0">
      <selection activeCell="I42" sqref="I42:J4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453" t="str">
        <f>'TOMT ÅR'!A1</f>
        <v>ÅRSKALENDER  for  MIN EGEN SKOLE  2022 - 2023</v>
      </c>
      <c r="B1" s="1454"/>
      <c r="C1" s="1454"/>
      <c r="D1" s="1454"/>
      <c r="E1" s="1454"/>
      <c r="F1" s="1454"/>
      <c r="G1" s="1454"/>
      <c r="H1" s="1454"/>
      <c r="I1" s="1454"/>
      <c r="J1" s="1454"/>
      <c r="K1" s="1454"/>
      <c r="L1" s="1454"/>
      <c r="M1" s="1454"/>
      <c r="N1" s="1454"/>
      <c r="O1" s="1454"/>
      <c r="P1" s="1454"/>
      <c r="Q1" s="1454"/>
      <c r="R1" s="1454"/>
      <c r="S1" s="1454"/>
      <c r="T1" s="1454"/>
      <c r="U1" s="1454"/>
      <c r="V1" s="1454"/>
      <c r="W1" s="1454"/>
      <c r="X1" s="1455"/>
    </row>
    <row r="2" spans="1:24" ht="18">
      <c r="A2" s="542" t="s">
        <v>104</v>
      </c>
      <c r="B2" s="539"/>
      <c r="C2" s="540"/>
      <c r="D2" s="541"/>
      <c r="E2" s="538" t="s">
        <v>105</v>
      </c>
      <c r="F2" s="539"/>
      <c r="G2" s="540"/>
      <c r="H2" s="541"/>
      <c r="I2" s="538" t="s">
        <v>106</v>
      </c>
      <c r="J2" s="539"/>
      <c r="K2" s="540"/>
      <c r="L2" s="541"/>
      <c r="M2" s="538" t="s">
        <v>107</v>
      </c>
      <c r="N2" s="539"/>
      <c r="O2" s="540"/>
      <c r="P2" s="541"/>
      <c r="Q2" s="538" t="s">
        <v>108</v>
      </c>
      <c r="R2" s="539"/>
      <c r="S2" s="540"/>
      <c r="T2" s="541"/>
      <c r="U2" s="538" t="s">
        <v>109</v>
      </c>
      <c r="V2" s="539"/>
      <c r="W2" s="540"/>
      <c r="X2" s="541"/>
    </row>
    <row r="3" spans="1:24">
      <c r="A3" s="334">
        <v>1</v>
      </c>
      <c r="B3" s="335" t="s">
        <v>178</v>
      </c>
      <c r="C3" s="344"/>
      <c r="D3" s="345" t="s">
        <v>165</v>
      </c>
      <c r="E3" s="348">
        <v>1</v>
      </c>
      <c r="F3" s="349" t="s">
        <v>178</v>
      </c>
      <c r="G3" s="344"/>
      <c r="H3" s="330" t="s">
        <v>165</v>
      </c>
      <c r="I3" s="337">
        <v>1</v>
      </c>
      <c r="J3" s="338" t="s">
        <v>179</v>
      </c>
      <c r="K3" s="342"/>
      <c r="L3" s="341" t="s">
        <v>165</v>
      </c>
      <c r="M3" s="348">
        <v>1</v>
      </c>
      <c r="N3" s="349" t="s">
        <v>180</v>
      </c>
      <c r="O3" s="344"/>
      <c r="P3" s="330">
        <v>18.142857142857142</v>
      </c>
      <c r="Q3" s="334">
        <v>1</v>
      </c>
      <c r="R3" s="335" t="s">
        <v>181</v>
      </c>
      <c r="S3" s="344"/>
      <c r="T3" s="345" t="s">
        <v>165</v>
      </c>
      <c r="U3" s="543">
        <v>1</v>
      </c>
      <c r="V3" s="544" t="s">
        <v>179</v>
      </c>
      <c r="W3" s="342"/>
      <c r="X3" s="365" t="s">
        <v>165</v>
      </c>
    </row>
    <row r="4" spans="1:24">
      <c r="A4" s="334">
        <v>2</v>
      </c>
      <c r="B4" s="335" t="s">
        <v>181</v>
      </c>
      <c r="C4" s="346"/>
      <c r="D4" s="345" t="s">
        <v>165</v>
      </c>
      <c r="E4" s="334">
        <v>2</v>
      </c>
      <c r="F4" s="335" t="s">
        <v>181</v>
      </c>
      <c r="G4" s="346"/>
      <c r="H4" s="352" t="s">
        <v>165</v>
      </c>
      <c r="I4" s="337">
        <v>2</v>
      </c>
      <c r="J4" s="338" t="s">
        <v>184</v>
      </c>
      <c r="K4" s="340" t="s">
        <v>208</v>
      </c>
      <c r="L4" s="341" t="s">
        <v>165</v>
      </c>
      <c r="M4" s="334">
        <v>2</v>
      </c>
      <c r="N4" s="335" t="s">
        <v>182</v>
      </c>
      <c r="O4" s="346"/>
      <c r="P4" s="352" t="s">
        <v>165</v>
      </c>
      <c r="Q4" s="334">
        <v>2</v>
      </c>
      <c r="R4" s="335" t="s">
        <v>183</v>
      </c>
      <c r="S4" s="346"/>
      <c r="T4" s="345" t="s">
        <v>165</v>
      </c>
      <c r="U4" s="337">
        <v>2</v>
      </c>
      <c r="V4" s="338" t="s">
        <v>184</v>
      </c>
      <c r="W4" s="340"/>
      <c r="X4" s="343" t="s">
        <v>165</v>
      </c>
    </row>
    <row r="5" spans="1:24">
      <c r="A5" s="334">
        <v>3</v>
      </c>
      <c r="B5" s="335" t="s">
        <v>183</v>
      </c>
      <c r="C5" s="346"/>
      <c r="D5" s="345" t="s">
        <v>165</v>
      </c>
      <c r="E5" s="334">
        <v>3</v>
      </c>
      <c r="F5" s="335" t="s">
        <v>183</v>
      </c>
      <c r="G5" s="346"/>
      <c r="H5" s="352" t="s">
        <v>165</v>
      </c>
      <c r="I5" s="334">
        <v>3</v>
      </c>
      <c r="J5" s="335" t="s">
        <v>180</v>
      </c>
      <c r="K5" s="346"/>
      <c r="L5" s="345">
        <v>14.142857142857142</v>
      </c>
      <c r="M5" s="334">
        <v>3</v>
      </c>
      <c r="N5" s="335" t="s">
        <v>178</v>
      </c>
      <c r="O5" s="346"/>
      <c r="P5" s="352" t="s">
        <v>165</v>
      </c>
      <c r="Q5" s="337">
        <v>3</v>
      </c>
      <c r="R5" s="338" t="s">
        <v>179</v>
      </c>
      <c r="S5" s="340"/>
      <c r="T5" s="341" t="s">
        <v>165</v>
      </c>
      <c r="U5" s="334">
        <v>3</v>
      </c>
      <c r="V5" s="335" t="s">
        <v>180</v>
      </c>
      <c r="W5" s="346"/>
      <c r="X5" s="352">
        <v>27.142857142857142</v>
      </c>
    </row>
    <row r="6" spans="1:24">
      <c r="A6" s="337">
        <v>4</v>
      </c>
      <c r="B6" s="338" t="s">
        <v>179</v>
      </c>
      <c r="C6" s="340"/>
      <c r="D6" s="341" t="s">
        <v>165</v>
      </c>
      <c r="E6" s="337">
        <v>4</v>
      </c>
      <c r="F6" s="338" t="s">
        <v>179</v>
      </c>
      <c r="G6" s="340"/>
      <c r="H6" s="343" t="s">
        <v>165</v>
      </c>
      <c r="I6" s="334">
        <v>4</v>
      </c>
      <c r="J6" s="335" t="s">
        <v>182</v>
      </c>
      <c r="K6" s="346"/>
      <c r="L6" s="345" t="s">
        <v>165</v>
      </c>
      <c r="M6" s="334">
        <v>4</v>
      </c>
      <c r="N6" s="335" t="s">
        <v>181</v>
      </c>
      <c r="O6" s="346"/>
      <c r="P6" s="352" t="s">
        <v>165</v>
      </c>
      <c r="Q6" s="337">
        <v>4</v>
      </c>
      <c r="R6" s="338" t="s">
        <v>184</v>
      </c>
      <c r="S6" s="340"/>
      <c r="T6" s="341" t="s">
        <v>165</v>
      </c>
      <c r="U6" s="334">
        <v>4</v>
      </c>
      <c r="V6" s="335" t="s">
        <v>182</v>
      </c>
      <c r="W6" s="346"/>
      <c r="X6" s="352" t="s">
        <v>165</v>
      </c>
    </row>
    <row r="7" spans="1:24">
      <c r="A7" s="337">
        <v>5</v>
      </c>
      <c r="B7" s="338" t="s">
        <v>184</v>
      </c>
      <c r="C7" s="340"/>
      <c r="D7" s="341" t="s">
        <v>165</v>
      </c>
      <c r="E7" s="337">
        <v>5</v>
      </c>
      <c r="F7" s="338" t="s">
        <v>184</v>
      </c>
      <c r="G7" s="340"/>
      <c r="H7" s="343" t="s">
        <v>165</v>
      </c>
      <c r="I7" s="334">
        <v>5</v>
      </c>
      <c r="J7" s="335" t="s">
        <v>178</v>
      </c>
      <c r="K7" s="346"/>
      <c r="L7" s="345" t="s">
        <v>165</v>
      </c>
      <c r="M7" s="334">
        <v>5</v>
      </c>
      <c r="N7" s="335" t="s">
        <v>183</v>
      </c>
      <c r="O7" s="346" t="s">
        <v>193</v>
      </c>
      <c r="P7" s="352" t="s">
        <v>165</v>
      </c>
      <c r="Q7" s="334">
        <v>5</v>
      </c>
      <c r="R7" s="335" t="s">
        <v>180</v>
      </c>
      <c r="S7" s="346" t="s">
        <v>255</v>
      </c>
      <c r="T7" s="345">
        <v>23.142857142857142</v>
      </c>
      <c r="U7" s="334">
        <v>5</v>
      </c>
      <c r="V7" s="335" t="s">
        <v>178</v>
      </c>
      <c r="W7" s="346"/>
      <c r="X7" s="352" t="s">
        <v>165</v>
      </c>
    </row>
    <row r="8" spans="1:24">
      <c r="A8" s="334">
        <v>6</v>
      </c>
      <c r="B8" s="335" t="s">
        <v>180</v>
      </c>
      <c r="C8" s="346"/>
      <c r="D8" s="345">
        <v>6.1428571428571432</v>
      </c>
      <c r="E8" s="334">
        <v>6</v>
      </c>
      <c r="F8" s="335" t="s">
        <v>180</v>
      </c>
      <c r="G8" s="346"/>
      <c r="H8" s="352">
        <v>10.142857142857142</v>
      </c>
      <c r="I8" s="334">
        <v>6</v>
      </c>
      <c r="J8" s="335" t="s">
        <v>181</v>
      </c>
      <c r="K8" s="346" t="s">
        <v>110</v>
      </c>
      <c r="L8" s="345" t="s">
        <v>165</v>
      </c>
      <c r="M8" s="337">
        <v>6</v>
      </c>
      <c r="N8" s="338" t="s">
        <v>179</v>
      </c>
      <c r="O8" s="340"/>
      <c r="P8" s="343" t="s">
        <v>165</v>
      </c>
      <c r="Q8" s="334">
        <v>6</v>
      </c>
      <c r="R8" s="335" t="s">
        <v>182</v>
      </c>
      <c r="S8" s="346"/>
      <c r="T8" s="345" t="s">
        <v>165</v>
      </c>
      <c r="U8" s="334">
        <v>6</v>
      </c>
      <c r="V8" s="335" t="s">
        <v>181</v>
      </c>
      <c r="W8" s="346"/>
      <c r="X8" s="352" t="s">
        <v>165</v>
      </c>
    </row>
    <row r="9" spans="1:24">
      <c r="A9" s="334">
        <v>7</v>
      </c>
      <c r="B9" s="335" t="s">
        <v>182</v>
      </c>
      <c r="C9" s="346"/>
      <c r="D9" s="345" t="s">
        <v>165</v>
      </c>
      <c r="E9" s="334">
        <v>7</v>
      </c>
      <c r="F9" s="335" t="s">
        <v>182</v>
      </c>
      <c r="G9" s="346"/>
      <c r="H9" s="352" t="s">
        <v>165</v>
      </c>
      <c r="I9" s="334">
        <v>7</v>
      </c>
      <c r="J9" s="335" t="s">
        <v>183</v>
      </c>
      <c r="K9" s="346" t="s">
        <v>193</v>
      </c>
      <c r="L9" s="345" t="s">
        <v>165</v>
      </c>
      <c r="M9" s="337">
        <v>7</v>
      </c>
      <c r="N9" s="338" t="s">
        <v>184</v>
      </c>
      <c r="O9" s="340"/>
      <c r="P9" s="343" t="s">
        <v>165</v>
      </c>
      <c r="Q9" s="334">
        <v>7</v>
      </c>
      <c r="R9" s="335" t="s">
        <v>178</v>
      </c>
      <c r="S9" s="346"/>
      <c r="T9" s="345" t="s">
        <v>165</v>
      </c>
      <c r="U9" s="334">
        <v>7</v>
      </c>
      <c r="V9" s="335" t="s">
        <v>183</v>
      </c>
      <c r="W9" s="346"/>
      <c r="X9" s="352" t="s">
        <v>165</v>
      </c>
    </row>
    <row r="10" spans="1:24">
      <c r="A10" s="334">
        <v>8</v>
      </c>
      <c r="B10" s="335" t="s">
        <v>178</v>
      </c>
      <c r="C10" s="346"/>
      <c r="D10" s="345" t="s">
        <v>165</v>
      </c>
      <c r="E10" s="334">
        <v>8</v>
      </c>
      <c r="F10" s="335" t="s">
        <v>178</v>
      </c>
      <c r="G10" s="346"/>
      <c r="H10" s="352" t="s">
        <v>165</v>
      </c>
      <c r="I10" s="337">
        <v>8</v>
      </c>
      <c r="J10" s="338" t="s">
        <v>179</v>
      </c>
      <c r="K10" s="340"/>
      <c r="L10" s="341" t="s">
        <v>165</v>
      </c>
      <c r="M10" s="334">
        <v>8</v>
      </c>
      <c r="N10" s="335" t="s">
        <v>180</v>
      </c>
      <c r="O10" s="346"/>
      <c r="P10" s="352">
        <v>19.142857142857142</v>
      </c>
      <c r="Q10" s="334">
        <v>8</v>
      </c>
      <c r="R10" s="335" t="s">
        <v>181</v>
      </c>
      <c r="S10" s="346"/>
      <c r="T10" s="345" t="s">
        <v>165</v>
      </c>
      <c r="U10" s="337">
        <v>8</v>
      </c>
      <c r="V10" s="338" t="s">
        <v>179</v>
      </c>
      <c r="W10" s="340"/>
      <c r="X10" s="343" t="s">
        <v>165</v>
      </c>
    </row>
    <row r="11" spans="1:24">
      <c r="A11" s="334">
        <v>9</v>
      </c>
      <c r="B11" s="335" t="s">
        <v>181</v>
      </c>
      <c r="C11" s="346"/>
      <c r="D11" s="345" t="s">
        <v>165</v>
      </c>
      <c r="E11" s="334">
        <v>9</v>
      </c>
      <c r="F11" s="335" t="s">
        <v>181</v>
      </c>
      <c r="G11" s="346"/>
      <c r="H11" s="352" t="s">
        <v>165</v>
      </c>
      <c r="I11" s="337">
        <v>9</v>
      </c>
      <c r="J11" s="338" t="s">
        <v>184</v>
      </c>
      <c r="K11" s="340" t="s">
        <v>129</v>
      </c>
      <c r="L11" s="341" t="s">
        <v>165</v>
      </c>
      <c r="M11" s="334">
        <v>9</v>
      </c>
      <c r="N11" s="335" t="s">
        <v>182</v>
      </c>
      <c r="O11" s="346"/>
      <c r="P11" s="352" t="s">
        <v>165</v>
      </c>
      <c r="Q11" s="334">
        <v>9</v>
      </c>
      <c r="R11" s="335" t="s">
        <v>183</v>
      </c>
      <c r="S11" s="346"/>
      <c r="T11" s="345" t="s">
        <v>165</v>
      </c>
      <c r="U11" s="337">
        <v>9</v>
      </c>
      <c r="V11" s="338" t="s">
        <v>184</v>
      </c>
      <c r="W11" s="340"/>
      <c r="X11" s="343" t="s">
        <v>165</v>
      </c>
    </row>
    <row r="12" spans="1:24">
      <c r="A12" s="334">
        <v>10</v>
      </c>
      <c r="B12" s="335" t="s">
        <v>183</v>
      </c>
      <c r="C12" s="346"/>
      <c r="D12" s="345" t="s">
        <v>165</v>
      </c>
      <c r="E12" s="334">
        <v>10</v>
      </c>
      <c r="F12" s="335" t="s">
        <v>183</v>
      </c>
      <c r="G12" s="346"/>
      <c r="H12" s="352" t="s">
        <v>165</v>
      </c>
      <c r="I12" s="334">
        <v>10</v>
      </c>
      <c r="J12" s="335" t="s">
        <v>180</v>
      </c>
      <c r="K12" s="346" t="s">
        <v>369</v>
      </c>
      <c r="L12" s="345">
        <v>15.142857142857142</v>
      </c>
      <c r="M12" s="334">
        <v>10</v>
      </c>
      <c r="N12" s="335" t="s">
        <v>178</v>
      </c>
      <c r="O12" s="346"/>
      <c r="P12" s="352" t="s">
        <v>165</v>
      </c>
      <c r="Q12" s="337">
        <v>10</v>
      </c>
      <c r="R12" s="338" t="s">
        <v>179</v>
      </c>
      <c r="S12" s="340"/>
      <c r="T12" s="341" t="s">
        <v>165</v>
      </c>
      <c r="U12" s="334">
        <v>10</v>
      </c>
      <c r="V12" s="335" t="s">
        <v>180</v>
      </c>
      <c r="W12" s="346"/>
      <c r="X12" s="352">
        <v>28.142857142857142</v>
      </c>
    </row>
    <row r="13" spans="1:24">
      <c r="A13" s="337">
        <v>11</v>
      </c>
      <c r="B13" s="338" t="s">
        <v>179</v>
      </c>
      <c r="C13" s="340"/>
      <c r="D13" s="341" t="s">
        <v>165</v>
      </c>
      <c r="E13" s="337">
        <v>11</v>
      </c>
      <c r="F13" s="338" t="s">
        <v>179</v>
      </c>
      <c r="G13" s="340"/>
      <c r="H13" s="343" t="s">
        <v>165</v>
      </c>
      <c r="I13" s="334">
        <v>11</v>
      </c>
      <c r="J13" s="335" t="s">
        <v>182</v>
      </c>
      <c r="K13" s="346"/>
      <c r="L13" s="345" t="s">
        <v>165</v>
      </c>
      <c r="M13" s="334">
        <v>11</v>
      </c>
      <c r="N13" s="335" t="s">
        <v>181</v>
      </c>
      <c r="O13" s="346"/>
      <c r="P13" s="352" t="s">
        <v>165</v>
      </c>
      <c r="Q13" s="337">
        <v>11</v>
      </c>
      <c r="R13" s="338" t="s">
        <v>184</v>
      </c>
      <c r="S13" s="340"/>
      <c r="T13" s="341" t="s">
        <v>165</v>
      </c>
      <c r="U13" s="334">
        <v>11</v>
      </c>
      <c r="V13" s="335" t="s">
        <v>182</v>
      </c>
      <c r="W13" s="346"/>
      <c r="X13" s="352" t="s">
        <v>165</v>
      </c>
    </row>
    <row r="14" spans="1:24">
      <c r="A14" s="337">
        <v>12</v>
      </c>
      <c r="B14" s="338" t="s">
        <v>184</v>
      </c>
      <c r="C14" s="340"/>
      <c r="D14" s="341" t="s">
        <v>165</v>
      </c>
      <c r="E14" s="337">
        <v>12</v>
      </c>
      <c r="F14" s="338" t="s">
        <v>184</v>
      </c>
      <c r="G14" s="340"/>
      <c r="H14" s="343" t="s">
        <v>165</v>
      </c>
      <c r="I14" s="334">
        <v>12</v>
      </c>
      <c r="J14" s="335" t="s">
        <v>178</v>
      </c>
      <c r="K14" s="346"/>
      <c r="L14" s="345" t="s">
        <v>165</v>
      </c>
      <c r="M14" s="334">
        <v>12</v>
      </c>
      <c r="N14" s="335" t="s">
        <v>183</v>
      </c>
      <c r="O14" s="346"/>
      <c r="P14" s="352" t="s">
        <v>165</v>
      </c>
      <c r="Q14" s="334">
        <v>12</v>
      </c>
      <c r="R14" s="335" t="s">
        <v>180</v>
      </c>
      <c r="S14" s="346"/>
      <c r="T14" s="345">
        <v>24.142857142857142</v>
      </c>
      <c r="U14" s="334">
        <v>12</v>
      </c>
      <c r="V14" s="335" t="s">
        <v>178</v>
      </c>
      <c r="W14" s="346"/>
      <c r="X14" s="352" t="s">
        <v>165</v>
      </c>
    </row>
    <row r="15" spans="1:24">
      <c r="A15" s="334">
        <v>13</v>
      </c>
      <c r="B15" s="335" t="s">
        <v>180</v>
      </c>
      <c r="C15" s="346"/>
      <c r="D15" s="345">
        <v>7.1428571428571432</v>
      </c>
      <c r="E15" s="334">
        <v>13</v>
      </c>
      <c r="F15" s="335" t="s">
        <v>180</v>
      </c>
      <c r="G15" s="346"/>
      <c r="H15" s="352">
        <v>11.142857142857142</v>
      </c>
      <c r="I15" s="334">
        <v>13</v>
      </c>
      <c r="J15" s="335" t="s">
        <v>181</v>
      </c>
      <c r="K15" s="346"/>
      <c r="L15" s="345" t="s">
        <v>165</v>
      </c>
      <c r="M15" s="337">
        <v>13</v>
      </c>
      <c r="N15" s="338" t="s">
        <v>179</v>
      </c>
      <c r="O15" s="340"/>
      <c r="P15" s="343" t="s">
        <v>165</v>
      </c>
      <c r="Q15" s="334">
        <v>13</v>
      </c>
      <c r="R15" s="335" t="s">
        <v>182</v>
      </c>
      <c r="S15" s="346"/>
      <c r="T15" s="345" t="s">
        <v>165</v>
      </c>
      <c r="U15" s="334">
        <v>13</v>
      </c>
      <c r="V15" s="335" t="s">
        <v>181</v>
      </c>
      <c r="W15" s="346"/>
      <c r="X15" s="352" t="s">
        <v>165</v>
      </c>
    </row>
    <row r="16" spans="1:24">
      <c r="A16" s="334">
        <v>14</v>
      </c>
      <c r="B16" s="335" t="s">
        <v>182</v>
      </c>
      <c r="C16" s="346"/>
      <c r="D16" s="345" t="s">
        <v>165</v>
      </c>
      <c r="E16" s="334">
        <v>14</v>
      </c>
      <c r="F16" s="335" t="s">
        <v>182</v>
      </c>
      <c r="G16" s="346"/>
      <c r="H16" s="352" t="s">
        <v>165</v>
      </c>
      <c r="I16" s="334">
        <v>14</v>
      </c>
      <c r="J16" s="335" t="s">
        <v>183</v>
      </c>
      <c r="K16" s="346"/>
      <c r="L16" s="345" t="s">
        <v>165</v>
      </c>
      <c r="M16" s="337">
        <v>14</v>
      </c>
      <c r="N16" s="338" t="s">
        <v>184</v>
      </c>
      <c r="O16" s="340"/>
      <c r="P16" s="343" t="s">
        <v>165</v>
      </c>
      <c r="Q16" s="334">
        <v>14</v>
      </c>
      <c r="R16" s="335" t="s">
        <v>178</v>
      </c>
      <c r="S16" s="346"/>
      <c r="T16" s="345" t="s">
        <v>165</v>
      </c>
      <c r="U16" s="334">
        <v>14</v>
      </c>
      <c r="V16" s="335" t="s">
        <v>183</v>
      </c>
      <c r="W16" s="346"/>
      <c r="X16" s="352" t="s">
        <v>165</v>
      </c>
    </row>
    <row r="17" spans="1:24">
      <c r="A17" s="334">
        <v>15</v>
      </c>
      <c r="B17" s="335" t="s">
        <v>178</v>
      </c>
      <c r="C17" s="346"/>
      <c r="D17" s="345" t="s">
        <v>165</v>
      </c>
      <c r="E17" s="334">
        <v>15</v>
      </c>
      <c r="F17" s="335" t="s">
        <v>178</v>
      </c>
      <c r="G17" s="346"/>
      <c r="H17" s="352" t="s">
        <v>165</v>
      </c>
      <c r="I17" s="337">
        <v>15</v>
      </c>
      <c r="J17" s="338" t="s">
        <v>179</v>
      </c>
      <c r="K17" s="340"/>
      <c r="L17" s="341" t="s">
        <v>165</v>
      </c>
      <c r="M17" s="334">
        <v>15</v>
      </c>
      <c r="N17" s="335" t="s">
        <v>180</v>
      </c>
      <c r="O17" s="346"/>
      <c r="P17" s="352">
        <v>20.142857142857142</v>
      </c>
      <c r="Q17" s="334">
        <v>15</v>
      </c>
      <c r="R17" s="335" t="s">
        <v>181</v>
      </c>
      <c r="S17" s="346"/>
      <c r="T17" s="345" t="s">
        <v>165</v>
      </c>
      <c r="U17" s="337">
        <v>15</v>
      </c>
      <c r="V17" s="338" t="s">
        <v>179</v>
      </c>
      <c r="W17" s="340"/>
      <c r="X17" s="343" t="s">
        <v>165</v>
      </c>
    </row>
    <row r="18" spans="1:24">
      <c r="A18" s="334">
        <v>16</v>
      </c>
      <c r="B18" s="335" t="s">
        <v>181</v>
      </c>
      <c r="C18" s="346"/>
      <c r="D18" s="345" t="s">
        <v>165</v>
      </c>
      <c r="E18" s="334">
        <v>16</v>
      </c>
      <c r="F18" s="335" t="s">
        <v>181</v>
      </c>
      <c r="G18" s="346"/>
      <c r="H18" s="352" t="s">
        <v>165</v>
      </c>
      <c r="I18" s="337">
        <v>16</v>
      </c>
      <c r="J18" s="338" t="s">
        <v>184</v>
      </c>
      <c r="K18" s="340"/>
      <c r="L18" s="341" t="s">
        <v>165</v>
      </c>
      <c r="M18" s="334">
        <v>16</v>
      </c>
      <c r="N18" s="335" t="s">
        <v>182</v>
      </c>
      <c r="O18" s="346"/>
      <c r="P18" s="352" t="s">
        <v>165</v>
      </c>
      <c r="Q18" s="334">
        <v>16</v>
      </c>
      <c r="R18" s="335" t="s">
        <v>183</v>
      </c>
      <c r="S18" s="346"/>
      <c r="T18" s="345" t="s">
        <v>165</v>
      </c>
      <c r="U18" s="337">
        <v>16</v>
      </c>
      <c r="V18" s="338" t="s">
        <v>184</v>
      </c>
      <c r="W18" s="340"/>
      <c r="X18" s="343" t="s">
        <v>165</v>
      </c>
    </row>
    <row r="19" spans="1:24">
      <c r="A19" s="334">
        <v>17</v>
      </c>
      <c r="B19" s="335" t="s">
        <v>183</v>
      </c>
      <c r="C19" s="346"/>
      <c r="D19" s="345" t="s">
        <v>165</v>
      </c>
      <c r="E19" s="334">
        <v>17</v>
      </c>
      <c r="F19" s="335" t="s">
        <v>183</v>
      </c>
      <c r="G19" s="346"/>
      <c r="H19" s="352" t="s">
        <v>165</v>
      </c>
      <c r="I19" s="334">
        <v>17</v>
      </c>
      <c r="J19" s="335" t="s">
        <v>180</v>
      </c>
      <c r="K19" s="346"/>
      <c r="L19" s="345">
        <v>16.142857142857142</v>
      </c>
      <c r="M19" s="334">
        <v>17</v>
      </c>
      <c r="N19" s="335" t="s">
        <v>178</v>
      </c>
      <c r="O19" s="346"/>
      <c r="P19" s="352" t="s">
        <v>165</v>
      </c>
      <c r="Q19" s="337">
        <v>17</v>
      </c>
      <c r="R19" s="338" t="s">
        <v>179</v>
      </c>
      <c r="S19" s="340"/>
      <c r="T19" s="341" t="s">
        <v>165</v>
      </c>
      <c r="U19" s="334">
        <v>17</v>
      </c>
      <c r="V19" s="335" t="s">
        <v>180</v>
      </c>
      <c r="W19" s="346"/>
      <c r="X19" s="352">
        <v>29.142857142857142</v>
      </c>
    </row>
    <row r="20" spans="1:24">
      <c r="A20" s="337">
        <v>18</v>
      </c>
      <c r="B20" s="338" t="s">
        <v>179</v>
      </c>
      <c r="C20" s="340"/>
      <c r="D20" s="341" t="s">
        <v>165</v>
      </c>
      <c r="E20" s="337">
        <v>18</v>
      </c>
      <c r="F20" s="338" t="s">
        <v>179</v>
      </c>
      <c r="G20" s="340"/>
      <c r="H20" s="343" t="s">
        <v>165</v>
      </c>
      <c r="I20" s="334">
        <v>18</v>
      </c>
      <c r="J20" s="335" t="s">
        <v>182</v>
      </c>
      <c r="K20" s="346"/>
      <c r="L20" s="345" t="s">
        <v>165</v>
      </c>
      <c r="M20" s="334">
        <v>18</v>
      </c>
      <c r="N20" s="335" t="s">
        <v>181</v>
      </c>
      <c r="O20" s="1456" t="s">
        <v>375</v>
      </c>
      <c r="P20" s="1457"/>
      <c r="Q20" s="337">
        <v>18</v>
      </c>
      <c r="R20" s="338" t="s">
        <v>184</v>
      </c>
      <c r="S20" s="340"/>
      <c r="T20" s="341" t="s">
        <v>165</v>
      </c>
      <c r="U20" s="334">
        <v>18</v>
      </c>
      <c r="V20" s="335" t="s">
        <v>182</v>
      </c>
      <c r="W20" s="346"/>
      <c r="X20" s="352" t="s">
        <v>165</v>
      </c>
    </row>
    <row r="21" spans="1:24">
      <c r="A21" s="337">
        <v>19</v>
      </c>
      <c r="B21" s="338" t="s">
        <v>184</v>
      </c>
      <c r="C21" s="340"/>
      <c r="D21" s="341" t="s">
        <v>165</v>
      </c>
      <c r="E21" s="337">
        <v>19</v>
      </c>
      <c r="F21" s="338" t="s">
        <v>184</v>
      </c>
      <c r="G21" s="340"/>
      <c r="H21" s="343" t="s">
        <v>165</v>
      </c>
      <c r="I21" s="334">
        <v>19</v>
      </c>
      <c r="J21" s="335" t="s">
        <v>178</v>
      </c>
      <c r="K21" s="346"/>
      <c r="L21" s="345" t="s">
        <v>165</v>
      </c>
      <c r="M21" s="334">
        <v>19</v>
      </c>
      <c r="N21" s="335" t="s">
        <v>183</v>
      </c>
      <c r="O21" s="346"/>
      <c r="P21" s="352" t="s">
        <v>165</v>
      </c>
      <c r="Q21" s="334">
        <v>19</v>
      </c>
      <c r="R21" s="335" t="s">
        <v>180</v>
      </c>
      <c r="S21" s="346"/>
      <c r="T21" s="345">
        <v>25.142857142857142</v>
      </c>
      <c r="U21" s="334">
        <v>19</v>
      </c>
      <c r="V21" s="335" t="s">
        <v>178</v>
      </c>
      <c r="W21" s="346"/>
      <c r="X21" s="352" t="s">
        <v>165</v>
      </c>
    </row>
    <row r="22" spans="1:24">
      <c r="A22" s="334">
        <v>20</v>
      </c>
      <c r="B22" s="335" t="s">
        <v>180</v>
      </c>
      <c r="C22" s="346"/>
      <c r="D22" s="345">
        <v>8.1428571428571423</v>
      </c>
      <c r="E22" s="334">
        <v>20</v>
      </c>
      <c r="F22" s="335" t="s">
        <v>180</v>
      </c>
      <c r="G22" s="346"/>
      <c r="H22" s="352">
        <v>12.142857142857142</v>
      </c>
      <c r="I22" s="334">
        <v>20</v>
      </c>
      <c r="J22" s="335" t="s">
        <v>181</v>
      </c>
      <c r="K22" s="346"/>
      <c r="L22" s="345" t="s">
        <v>165</v>
      </c>
      <c r="M22" s="337">
        <v>20</v>
      </c>
      <c r="N22" s="338" t="s">
        <v>179</v>
      </c>
      <c r="O22" s="340"/>
      <c r="P22" s="343" t="s">
        <v>165</v>
      </c>
      <c r="Q22" s="334">
        <v>20</v>
      </c>
      <c r="R22" s="335" t="s">
        <v>182</v>
      </c>
      <c r="S22" s="346"/>
      <c r="T22" s="345" t="s">
        <v>165</v>
      </c>
      <c r="U22" s="334">
        <v>20</v>
      </c>
      <c r="V22" s="335" t="s">
        <v>181</v>
      </c>
      <c r="W22" s="346"/>
      <c r="X22" s="352" t="s">
        <v>165</v>
      </c>
    </row>
    <row r="23" spans="1:24">
      <c r="A23" s="334">
        <v>21</v>
      </c>
      <c r="B23" s="335" t="s">
        <v>182</v>
      </c>
      <c r="C23" s="346"/>
      <c r="D23" s="345" t="s">
        <v>165</v>
      </c>
      <c r="E23" s="334">
        <v>21</v>
      </c>
      <c r="F23" s="335" t="s">
        <v>182</v>
      </c>
      <c r="G23" s="346"/>
      <c r="H23" s="352" t="s">
        <v>165</v>
      </c>
      <c r="I23" s="334">
        <v>21</v>
      </c>
      <c r="J23" s="335" t="s">
        <v>183</v>
      </c>
      <c r="K23" s="346"/>
      <c r="L23" s="345" t="s">
        <v>165</v>
      </c>
      <c r="M23" s="337">
        <v>21</v>
      </c>
      <c r="N23" s="338" t="s">
        <v>184</v>
      </c>
      <c r="O23" s="340"/>
      <c r="P23" s="343" t="s">
        <v>165</v>
      </c>
      <c r="Q23" s="334">
        <v>21</v>
      </c>
      <c r="R23" s="335" t="s">
        <v>178</v>
      </c>
      <c r="S23" s="346"/>
      <c r="T23" s="345" t="s">
        <v>165</v>
      </c>
      <c r="U23" s="334">
        <v>21</v>
      </c>
      <c r="V23" s="335" t="s">
        <v>183</v>
      </c>
      <c r="W23" s="346"/>
      <c r="X23" s="352" t="s">
        <v>165</v>
      </c>
    </row>
    <row r="24" spans="1:24">
      <c r="A24" s="334">
        <v>22</v>
      </c>
      <c r="B24" s="335" t="s">
        <v>178</v>
      </c>
      <c r="C24" s="346"/>
      <c r="D24" s="345" t="s">
        <v>165</v>
      </c>
      <c r="E24" s="334">
        <v>22</v>
      </c>
      <c r="F24" s="335" t="s">
        <v>178</v>
      </c>
      <c r="G24" s="346"/>
      <c r="H24" s="352" t="s">
        <v>165</v>
      </c>
      <c r="I24" s="337">
        <v>22</v>
      </c>
      <c r="J24" s="338" t="s">
        <v>179</v>
      </c>
      <c r="K24" s="340"/>
      <c r="L24" s="341" t="s">
        <v>165</v>
      </c>
      <c r="M24" s="334">
        <v>22</v>
      </c>
      <c r="N24" s="335" t="s">
        <v>180</v>
      </c>
      <c r="O24" s="346"/>
      <c r="P24" s="352">
        <v>21.142857142857142</v>
      </c>
      <c r="Q24" s="334">
        <v>22</v>
      </c>
      <c r="R24" s="335" t="s">
        <v>181</v>
      </c>
      <c r="S24" s="346"/>
      <c r="T24" s="345" t="s">
        <v>165</v>
      </c>
      <c r="U24" s="337">
        <v>22</v>
      </c>
      <c r="V24" s="338" t="s">
        <v>179</v>
      </c>
      <c r="W24" s="340"/>
      <c r="X24" s="343" t="s">
        <v>165</v>
      </c>
    </row>
    <row r="25" spans="1:24">
      <c r="A25" s="334">
        <v>23</v>
      </c>
      <c r="B25" s="335" t="s">
        <v>181</v>
      </c>
      <c r="C25" s="346"/>
      <c r="D25" s="345" t="s">
        <v>165</v>
      </c>
      <c r="E25" s="334">
        <v>23</v>
      </c>
      <c r="F25" s="335" t="s">
        <v>181</v>
      </c>
      <c r="G25" s="346"/>
      <c r="H25" s="352" t="s">
        <v>165</v>
      </c>
      <c r="I25" s="337">
        <v>23</v>
      </c>
      <c r="J25" s="338" t="s">
        <v>184</v>
      </c>
      <c r="K25" s="340"/>
      <c r="L25" s="341" t="s">
        <v>165</v>
      </c>
      <c r="M25" s="334">
        <v>23</v>
      </c>
      <c r="N25" s="335" t="s">
        <v>182</v>
      </c>
      <c r="O25" s="346"/>
      <c r="P25" s="352" t="s">
        <v>165</v>
      </c>
      <c r="Q25" s="334">
        <v>23</v>
      </c>
      <c r="R25" s="335" t="s">
        <v>183</v>
      </c>
      <c r="S25" s="346"/>
      <c r="T25" s="345" t="s">
        <v>165</v>
      </c>
      <c r="U25" s="337">
        <v>23</v>
      </c>
      <c r="V25" s="338" t="s">
        <v>184</v>
      </c>
      <c r="W25" s="340"/>
      <c r="X25" s="343" t="s">
        <v>165</v>
      </c>
    </row>
    <row r="26" spans="1:24">
      <c r="A26" s="334">
        <v>24</v>
      </c>
      <c r="B26" s="335" t="s">
        <v>183</v>
      </c>
      <c r="C26" s="346"/>
      <c r="D26" s="345" t="s">
        <v>165</v>
      </c>
      <c r="E26" s="334">
        <v>24</v>
      </c>
      <c r="F26" s="335" t="s">
        <v>183</v>
      </c>
      <c r="G26" s="346"/>
      <c r="H26" s="352" t="s">
        <v>165</v>
      </c>
      <c r="I26" s="334">
        <v>24</v>
      </c>
      <c r="J26" s="335" t="s">
        <v>180</v>
      </c>
      <c r="K26" s="346"/>
      <c r="L26" s="345">
        <v>17.142857142857142</v>
      </c>
      <c r="M26" s="334">
        <v>24</v>
      </c>
      <c r="N26" s="335" t="s">
        <v>178</v>
      </c>
      <c r="O26" s="346"/>
      <c r="P26" s="352" t="s">
        <v>165</v>
      </c>
      <c r="Q26" s="337">
        <v>24</v>
      </c>
      <c r="R26" s="338" t="s">
        <v>179</v>
      </c>
      <c r="S26" s="340"/>
      <c r="T26" s="341" t="s">
        <v>165</v>
      </c>
      <c r="U26" s="334">
        <v>24</v>
      </c>
      <c r="V26" s="335" t="s">
        <v>180</v>
      </c>
      <c r="W26" s="346"/>
      <c r="X26" s="352">
        <v>30.142857142857142</v>
      </c>
    </row>
    <row r="27" spans="1:24">
      <c r="A27" s="337">
        <v>25</v>
      </c>
      <c r="B27" s="338" t="s">
        <v>179</v>
      </c>
      <c r="C27" s="340"/>
      <c r="D27" s="341" t="s">
        <v>165</v>
      </c>
      <c r="E27" s="337">
        <v>25</v>
      </c>
      <c r="F27" s="338" t="s">
        <v>179</v>
      </c>
      <c r="G27" s="340"/>
      <c r="H27" s="343" t="s">
        <v>165</v>
      </c>
      <c r="I27" s="334">
        <v>25</v>
      </c>
      <c r="J27" s="335" t="s">
        <v>182</v>
      </c>
      <c r="K27" s="346"/>
      <c r="L27" s="345" t="s">
        <v>165</v>
      </c>
      <c r="M27" s="334">
        <v>25</v>
      </c>
      <c r="N27" s="335" t="s">
        <v>181</v>
      </c>
      <c r="O27" s="346"/>
      <c r="P27" s="352" t="s">
        <v>165</v>
      </c>
      <c r="Q27" s="337">
        <v>25</v>
      </c>
      <c r="R27" s="338" t="s">
        <v>184</v>
      </c>
      <c r="S27" s="340"/>
      <c r="T27" s="341" t="s">
        <v>165</v>
      </c>
      <c r="U27" s="334">
        <v>25</v>
      </c>
      <c r="V27" s="335" t="s">
        <v>182</v>
      </c>
      <c r="W27" s="346"/>
      <c r="X27" s="352" t="s">
        <v>165</v>
      </c>
    </row>
    <row r="28" spans="1:24">
      <c r="A28" s="337">
        <v>26</v>
      </c>
      <c r="B28" s="338" t="s">
        <v>184</v>
      </c>
      <c r="C28" s="340"/>
      <c r="D28" s="341" t="s">
        <v>165</v>
      </c>
      <c r="E28" s="337">
        <v>26</v>
      </c>
      <c r="F28" s="338" t="s">
        <v>184</v>
      </c>
      <c r="G28" s="340"/>
      <c r="H28" s="343" t="s">
        <v>165</v>
      </c>
      <c r="I28" s="334">
        <v>26</v>
      </c>
      <c r="J28" s="335" t="s">
        <v>178</v>
      </c>
      <c r="K28" s="346"/>
      <c r="L28" s="345" t="s">
        <v>165</v>
      </c>
      <c r="M28" s="334">
        <v>26</v>
      </c>
      <c r="N28" s="335" t="s">
        <v>183</v>
      </c>
      <c r="O28" s="346"/>
      <c r="P28" s="352" t="s">
        <v>165</v>
      </c>
      <c r="Q28" s="334">
        <v>26</v>
      </c>
      <c r="R28" s="335" t="s">
        <v>180</v>
      </c>
      <c r="S28" s="346"/>
      <c r="T28" s="345">
        <v>26.142857142857142</v>
      </c>
      <c r="U28" s="334">
        <v>26</v>
      </c>
      <c r="V28" s="335" t="s">
        <v>178</v>
      </c>
      <c r="W28" s="346"/>
      <c r="X28" s="352" t="s">
        <v>165</v>
      </c>
    </row>
    <row r="29" spans="1:24">
      <c r="A29" s="334">
        <v>27</v>
      </c>
      <c r="B29" s="335" t="s">
        <v>180</v>
      </c>
      <c r="C29" s="346"/>
      <c r="D29" s="345">
        <v>9.1428571428571423</v>
      </c>
      <c r="E29" s="334">
        <v>27</v>
      </c>
      <c r="F29" s="335" t="s">
        <v>180</v>
      </c>
      <c r="G29" s="346"/>
      <c r="H29" s="352">
        <v>13.142857142857142</v>
      </c>
      <c r="I29" s="334">
        <v>27</v>
      </c>
      <c r="J29" s="335" t="s">
        <v>181</v>
      </c>
      <c r="K29" s="346"/>
      <c r="L29" s="345" t="s">
        <v>165</v>
      </c>
      <c r="M29" s="337">
        <v>27</v>
      </c>
      <c r="N29" s="338" t="s">
        <v>179</v>
      </c>
      <c r="O29" s="340"/>
      <c r="P29" s="343" t="s">
        <v>165</v>
      </c>
      <c r="Q29" s="334">
        <v>27</v>
      </c>
      <c r="R29" s="335" t="s">
        <v>182</v>
      </c>
      <c r="S29" s="346"/>
      <c r="T29" s="345" t="s">
        <v>165</v>
      </c>
      <c r="U29" s="334">
        <v>27</v>
      </c>
      <c r="V29" s="335" t="s">
        <v>181</v>
      </c>
      <c r="W29" s="346"/>
      <c r="X29" s="352" t="s">
        <v>165</v>
      </c>
    </row>
    <row r="30" spans="1:24">
      <c r="A30" s="334">
        <v>28</v>
      </c>
      <c r="B30" s="335" t="s">
        <v>182</v>
      </c>
      <c r="C30" s="336"/>
      <c r="D30" s="352" t="s">
        <v>165</v>
      </c>
      <c r="E30" s="334">
        <v>28</v>
      </c>
      <c r="F30" s="335" t="s">
        <v>182</v>
      </c>
      <c r="G30" s="346"/>
      <c r="H30" s="352" t="s">
        <v>165</v>
      </c>
      <c r="I30" s="334">
        <v>28</v>
      </c>
      <c r="J30" s="335" t="s">
        <v>183</v>
      </c>
      <c r="K30" s="346"/>
      <c r="L30" s="345" t="s">
        <v>165</v>
      </c>
      <c r="M30" s="337">
        <v>28</v>
      </c>
      <c r="N30" s="338" t="s">
        <v>184</v>
      </c>
      <c r="O30" s="340" t="s">
        <v>209</v>
      </c>
      <c r="P30" s="343" t="s">
        <v>165</v>
      </c>
      <c r="Q30" s="334">
        <v>28</v>
      </c>
      <c r="R30" s="335" t="s">
        <v>178</v>
      </c>
      <c r="S30" s="346"/>
      <c r="T30" s="345" t="s">
        <v>165</v>
      </c>
      <c r="U30" s="334">
        <v>28</v>
      </c>
      <c r="V30" s="335" t="s">
        <v>183</v>
      </c>
      <c r="W30" s="346"/>
      <c r="X30" s="352" t="s">
        <v>165</v>
      </c>
    </row>
    <row r="31" spans="1:24">
      <c r="A31" s="348"/>
      <c r="B31" s="349"/>
      <c r="C31" s="329"/>
      <c r="D31" s="330"/>
      <c r="E31" s="334">
        <v>29</v>
      </c>
      <c r="F31" s="335" t="s">
        <v>178</v>
      </c>
      <c r="G31" s="346"/>
      <c r="H31" s="352" t="s">
        <v>165</v>
      </c>
      <c r="I31" s="337">
        <v>29</v>
      </c>
      <c r="J31" s="338" t="s">
        <v>179</v>
      </c>
      <c r="K31" s="340"/>
      <c r="L31" s="341" t="s">
        <v>165</v>
      </c>
      <c r="M31" s="334">
        <v>29</v>
      </c>
      <c r="N31" s="335" t="s">
        <v>180</v>
      </c>
      <c r="O31" s="346" t="s">
        <v>376</v>
      </c>
      <c r="P31" s="352">
        <v>22.142857142857142</v>
      </c>
      <c r="Q31" s="334">
        <v>29</v>
      </c>
      <c r="R31" s="335" t="s">
        <v>181</v>
      </c>
      <c r="S31" s="346"/>
      <c r="T31" s="345" t="s">
        <v>165</v>
      </c>
      <c r="U31" s="337">
        <v>29</v>
      </c>
      <c r="V31" s="338" t="s">
        <v>179</v>
      </c>
      <c r="W31" s="340"/>
      <c r="X31" s="343" t="s">
        <v>165</v>
      </c>
    </row>
    <row r="32" spans="1:24">
      <c r="A32" s="350"/>
      <c r="B32" s="351"/>
      <c r="C32" s="353"/>
      <c r="D32" s="354"/>
      <c r="E32" s="334">
        <v>30</v>
      </c>
      <c r="F32" s="335" t="s">
        <v>181</v>
      </c>
      <c r="G32" s="346"/>
      <c r="H32" s="352" t="s">
        <v>165</v>
      </c>
      <c r="I32" s="337">
        <v>30</v>
      </c>
      <c r="J32" s="338" t="s">
        <v>184</v>
      </c>
      <c r="K32" s="358"/>
      <c r="L32" s="341" t="s">
        <v>165</v>
      </c>
      <c r="M32" s="334">
        <v>30</v>
      </c>
      <c r="N32" s="335" t="s">
        <v>182</v>
      </c>
      <c r="O32" s="346"/>
      <c r="P32" s="352" t="s">
        <v>165</v>
      </c>
      <c r="Q32" s="334">
        <v>30</v>
      </c>
      <c r="R32" s="335" t="s">
        <v>183</v>
      </c>
      <c r="S32" s="326"/>
      <c r="T32" s="345" t="s">
        <v>165</v>
      </c>
      <c r="U32" s="337">
        <v>30</v>
      </c>
      <c r="V32" s="338" t="s">
        <v>184</v>
      </c>
      <c r="W32" s="340"/>
      <c r="X32" s="343" t="s">
        <v>165</v>
      </c>
    </row>
    <row r="33" spans="1:24">
      <c r="A33" s="350"/>
      <c r="B33" s="351"/>
      <c r="C33" s="353"/>
      <c r="D33" s="354"/>
      <c r="E33" s="360">
        <v>31</v>
      </c>
      <c r="F33" s="361" t="s">
        <v>183</v>
      </c>
      <c r="G33" s="326"/>
      <c r="H33" s="357" t="s">
        <v>165</v>
      </c>
      <c r="I33" s="348"/>
      <c r="J33" s="349"/>
      <c r="K33" s="329"/>
      <c r="L33" s="356"/>
      <c r="M33" s="360">
        <v>31</v>
      </c>
      <c r="N33" s="361" t="s">
        <v>178</v>
      </c>
      <c r="O33" s="326"/>
      <c r="P33" s="357" t="s">
        <v>165</v>
      </c>
      <c r="Q33" s="348"/>
      <c r="R33" s="349"/>
      <c r="S33" s="329"/>
      <c r="T33" s="356"/>
      <c r="U33" s="360">
        <v>31</v>
      </c>
      <c r="V33" s="361" t="s">
        <v>180</v>
      </c>
      <c r="W33" s="326"/>
      <c r="X33" s="357">
        <v>31.142857142857142</v>
      </c>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zoomScale="114" workbookViewId="0">
      <selection activeCell="B19" sqref="B19:H19"/>
    </sheetView>
  </sheetViews>
  <sheetFormatPr baseColWidth="10" defaultRowHeight="16"/>
  <cols>
    <col min="4" max="4" width="23.83203125" customWidth="1"/>
    <col min="9" max="9" width="71.5" hidden="1" customWidth="1"/>
    <col min="10" max="11" width="0" hidden="1" customWidth="1"/>
  </cols>
  <sheetData>
    <row r="1" spans="1:9" ht="80" customHeight="1">
      <c r="A1" s="995"/>
      <c r="B1" s="995"/>
      <c r="C1" s="993" t="s">
        <v>459</v>
      </c>
      <c r="D1" s="993"/>
      <c r="E1" s="993"/>
      <c r="F1" s="993"/>
      <c r="G1" s="993"/>
      <c r="H1" s="993"/>
    </row>
    <row r="2" spans="1:9" ht="122" customHeight="1">
      <c r="A2" s="995"/>
      <c r="B2" s="995"/>
      <c r="C2" s="993" t="s">
        <v>460</v>
      </c>
      <c r="D2" s="993"/>
      <c r="E2" s="993"/>
      <c r="F2" s="993"/>
      <c r="G2" s="993"/>
      <c r="H2" s="993"/>
    </row>
    <row r="3" spans="1:9" ht="115" customHeight="1">
      <c r="A3" s="995"/>
      <c r="B3" s="995"/>
      <c r="C3" s="993" t="s">
        <v>417</v>
      </c>
      <c r="D3" s="993"/>
      <c r="E3" s="993"/>
      <c r="F3" s="993"/>
      <c r="G3" s="993"/>
      <c r="H3" s="993"/>
    </row>
    <row r="4" spans="1:9" ht="59" customHeight="1" thickBot="1">
      <c r="A4" s="996"/>
      <c r="B4" s="996"/>
      <c r="C4" s="994" t="s">
        <v>418</v>
      </c>
      <c r="D4" s="994"/>
      <c r="E4" s="994"/>
      <c r="F4" s="994"/>
      <c r="G4" s="994"/>
      <c r="H4" s="994"/>
    </row>
    <row r="5" spans="1:9" ht="24">
      <c r="A5" s="937" t="s">
        <v>443</v>
      </c>
      <c r="B5" s="939" t="s">
        <v>4</v>
      </c>
      <c r="C5" s="940"/>
      <c r="D5" s="940"/>
      <c r="E5" s="940"/>
      <c r="F5" s="940"/>
      <c r="G5" s="940"/>
      <c r="H5" s="941"/>
    </row>
    <row r="6" spans="1:9" ht="32" customHeight="1">
      <c r="A6" s="938"/>
      <c r="B6" s="573" t="s">
        <v>68</v>
      </c>
      <c r="C6" s="574"/>
      <c r="D6" s="574"/>
      <c r="E6" s="574"/>
      <c r="F6" s="574" t="str">
        <f>Vejledning!B2</f>
        <v>2022-2023</v>
      </c>
      <c r="G6" s="574"/>
      <c r="H6" s="575"/>
    </row>
    <row r="7" spans="1:9">
      <c r="A7" s="938"/>
      <c r="B7" s="942" t="s">
        <v>24</v>
      </c>
      <c r="C7" s="942"/>
      <c r="D7" s="942"/>
      <c r="E7" s="943" t="str">
        <f>Maaned!A1</f>
        <v>Min egen skole</v>
      </c>
      <c r="F7" s="944"/>
      <c r="G7" s="944"/>
      <c r="H7" s="945"/>
    </row>
    <row r="8" spans="1:9">
      <c r="A8" s="938"/>
      <c r="B8" s="942" t="s">
        <v>53</v>
      </c>
      <c r="C8" s="942"/>
      <c r="D8" s="942"/>
      <c r="E8" s="946" t="s">
        <v>561</v>
      </c>
      <c r="F8" s="947"/>
      <c r="G8" s="947"/>
      <c r="H8" s="948"/>
    </row>
    <row r="9" spans="1:9">
      <c r="A9" s="938"/>
      <c r="B9" s="949" t="s">
        <v>29</v>
      </c>
      <c r="C9" s="950"/>
      <c r="D9" s="951"/>
      <c r="E9" s="958" t="s">
        <v>27</v>
      </c>
      <c r="F9" s="959"/>
      <c r="G9" s="958" t="s">
        <v>28</v>
      </c>
      <c r="H9" s="960"/>
    </row>
    <row r="10" spans="1:9">
      <c r="A10" s="938"/>
      <c r="B10" s="952"/>
      <c r="C10" s="953"/>
      <c r="D10" s="954"/>
      <c r="E10" s="961" t="s">
        <v>409</v>
      </c>
      <c r="F10" s="962"/>
      <c r="G10" s="961" t="str">
        <f>E10</f>
        <v>Dato format dd.mm.åååå</v>
      </c>
      <c r="H10" s="963"/>
    </row>
    <row r="11" spans="1:9">
      <c r="A11" s="938"/>
      <c r="B11" s="955"/>
      <c r="C11" s="956"/>
      <c r="D11" s="957"/>
      <c r="E11" s="964" t="s">
        <v>562</v>
      </c>
      <c r="F11" s="965"/>
      <c r="G11" s="964" t="s">
        <v>563</v>
      </c>
      <c r="H11" s="966"/>
    </row>
    <row r="12" spans="1:9" ht="73" customHeight="1">
      <c r="A12" s="938"/>
      <c r="B12" s="999" t="s">
        <v>508</v>
      </c>
      <c r="C12" s="1000"/>
      <c r="D12" s="1001"/>
      <c r="E12" s="964" t="s">
        <v>219</v>
      </c>
      <c r="F12" s="1002"/>
      <c r="G12" s="1002"/>
      <c r="H12" s="966"/>
    </row>
    <row r="13" spans="1:9" ht="35" customHeight="1">
      <c r="A13" s="938"/>
      <c r="B13" s="967" t="s">
        <v>550</v>
      </c>
      <c r="C13" s="967"/>
      <c r="D13" s="967"/>
      <c r="E13" s="975">
        <v>1</v>
      </c>
      <c r="F13" s="976"/>
      <c r="G13" s="976"/>
      <c r="H13" s="977"/>
      <c r="I13" s="45" t="s">
        <v>219</v>
      </c>
    </row>
    <row r="14" spans="1:9" ht="35" customHeight="1">
      <c r="A14" s="938"/>
      <c r="B14" s="987" t="s">
        <v>430</v>
      </c>
      <c r="C14" s="988"/>
      <c r="D14" s="989"/>
      <c r="E14" s="975" t="s">
        <v>220</v>
      </c>
      <c r="F14" s="976"/>
      <c r="G14" s="976"/>
      <c r="H14" s="977"/>
      <c r="I14" s="45" t="s">
        <v>220</v>
      </c>
    </row>
    <row r="15" spans="1:9" ht="17" thickBot="1">
      <c r="A15" s="938"/>
      <c r="B15" s="987" t="s">
        <v>218</v>
      </c>
      <c r="C15" s="988"/>
      <c r="D15" s="989"/>
      <c r="E15" s="990">
        <f>IF(E14="Ja",E13*33.63/37,E13)</f>
        <v>1</v>
      </c>
      <c r="F15" s="991"/>
      <c r="G15" s="991"/>
      <c r="H15" s="992"/>
      <c r="I15" s="45"/>
    </row>
    <row r="16" spans="1:9" ht="30" customHeight="1" thickBot="1">
      <c r="A16" s="936"/>
      <c r="B16" s="936"/>
      <c r="C16" s="936"/>
      <c r="D16" s="936"/>
      <c r="E16" s="936"/>
      <c r="F16" s="936"/>
      <c r="G16" s="936"/>
      <c r="H16" s="936"/>
      <c r="I16" s="436"/>
    </row>
    <row r="17" spans="1:9" ht="32" customHeight="1">
      <c r="A17" s="937" t="s">
        <v>444</v>
      </c>
      <c r="B17" s="978" t="s">
        <v>304</v>
      </c>
      <c r="C17" s="979"/>
      <c r="D17" s="979"/>
      <c r="E17" s="979"/>
      <c r="F17" s="979"/>
      <c r="G17" s="979"/>
      <c r="H17" s="980"/>
      <c r="I17" s="721" t="s">
        <v>389</v>
      </c>
    </row>
    <row r="18" spans="1:9" ht="20" customHeight="1">
      <c r="A18" s="938"/>
      <c r="B18" s="556" t="s">
        <v>305</v>
      </c>
      <c r="C18" s="438"/>
      <c r="D18" s="438"/>
      <c r="E18" s="438"/>
      <c r="F18" s="438"/>
      <c r="G18" s="438"/>
      <c r="H18" s="551"/>
      <c r="I18" s="721" t="s">
        <v>461</v>
      </c>
    </row>
    <row r="19" spans="1:9" ht="67" customHeight="1">
      <c r="A19" s="938"/>
      <c r="B19" s="981" t="s">
        <v>642</v>
      </c>
      <c r="C19" s="1461"/>
      <c r="D19" s="1461"/>
      <c r="E19" s="1461"/>
      <c r="F19" s="1461"/>
      <c r="G19" s="1461"/>
      <c r="H19" s="983"/>
      <c r="I19" s="721" t="s">
        <v>462</v>
      </c>
    </row>
    <row r="20" spans="1:9" ht="38" customHeight="1">
      <c r="A20" s="938"/>
      <c r="B20" s="981" t="s">
        <v>391</v>
      </c>
      <c r="C20" s="982"/>
      <c r="D20" s="982"/>
      <c r="E20" s="982"/>
      <c r="F20" s="982"/>
      <c r="G20" s="982"/>
      <c r="H20" s="983"/>
      <c r="I20" s="721" t="s">
        <v>390</v>
      </c>
    </row>
    <row r="21" spans="1:9" ht="19" customHeight="1">
      <c r="A21" s="938"/>
      <c r="B21" s="971" t="s">
        <v>392</v>
      </c>
      <c r="C21" s="972"/>
      <c r="D21" s="972"/>
      <c r="E21" s="972"/>
      <c r="F21" s="972"/>
      <c r="G21" s="972"/>
      <c r="H21" s="973"/>
      <c r="I21" s="721" t="s">
        <v>398</v>
      </c>
    </row>
    <row r="22" spans="1:9" ht="30" customHeight="1">
      <c r="A22" s="938"/>
      <c r="B22" s="1010" t="s">
        <v>389</v>
      </c>
      <c r="C22" s="1011"/>
      <c r="D22" s="1011"/>
      <c r="E22" s="1011"/>
      <c r="F22" s="1011"/>
      <c r="G22" s="1011"/>
      <c r="H22" s="1012"/>
      <c r="I22" s="721" t="s">
        <v>463</v>
      </c>
    </row>
    <row r="23" spans="1:9" ht="16" customHeight="1">
      <c r="A23" s="938"/>
      <c r="B23" s="984" t="s">
        <v>306</v>
      </c>
      <c r="C23" s="985"/>
      <c r="D23" s="985"/>
      <c r="E23" s="985"/>
      <c r="F23" s="985"/>
      <c r="G23" s="985"/>
      <c r="H23" s="986"/>
      <c r="I23" s="721" t="s">
        <v>464</v>
      </c>
    </row>
    <row r="24" spans="1:9" ht="50" customHeight="1">
      <c r="A24" s="938"/>
      <c r="B24" s="981" t="s">
        <v>643</v>
      </c>
      <c r="C24" s="1461"/>
      <c r="D24" s="1461"/>
      <c r="E24" s="1461"/>
      <c r="F24" s="1461"/>
      <c r="G24" s="1461"/>
      <c r="H24" s="983"/>
      <c r="I24" s="721" t="s">
        <v>465</v>
      </c>
    </row>
    <row r="25" spans="1:9" ht="20" customHeight="1">
      <c r="A25" s="938"/>
      <c r="B25" s="971" t="s">
        <v>392</v>
      </c>
      <c r="C25" s="972"/>
      <c r="D25" s="972"/>
      <c r="E25" s="972"/>
      <c r="F25" s="972"/>
      <c r="G25" s="972"/>
      <c r="H25" s="973"/>
      <c r="I25" s="721" t="s">
        <v>466</v>
      </c>
    </row>
    <row r="26" spans="1:9" ht="30" customHeight="1" thickBot="1">
      <c r="A26" s="974"/>
      <c r="B26" s="968" t="s">
        <v>390</v>
      </c>
      <c r="C26" s="969"/>
      <c r="D26" s="969"/>
      <c r="E26" s="969"/>
      <c r="F26" s="969"/>
      <c r="G26" s="969"/>
      <c r="H26" s="970"/>
      <c r="I26" s="721" t="s">
        <v>467</v>
      </c>
    </row>
    <row r="27" spans="1:9" ht="30" customHeight="1" thickBot="1">
      <c r="A27" s="936"/>
      <c r="B27" s="936"/>
      <c r="C27" s="936"/>
      <c r="D27" s="936"/>
      <c r="E27" s="936"/>
      <c r="F27" s="936"/>
      <c r="G27" s="936"/>
      <c r="H27" s="936"/>
      <c r="I27" s="704"/>
    </row>
    <row r="28" spans="1:9" ht="26">
      <c r="A28" s="1007" t="s">
        <v>275</v>
      </c>
      <c r="B28" s="978" t="s">
        <v>402</v>
      </c>
      <c r="C28" s="979"/>
      <c r="D28" s="979"/>
      <c r="E28" s="979"/>
      <c r="F28" s="979"/>
      <c r="G28" s="979"/>
      <c r="H28" s="980"/>
      <c r="I28" s="721" t="s">
        <v>219</v>
      </c>
    </row>
    <row r="29" spans="1:9" ht="55" customHeight="1">
      <c r="A29" s="1008"/>
      <c r="B29" s="1009" t="s">
        <v>401</v>
      </c>
      <c r="C29" s="1009"/>
      <c r="D29" s="1009"/>
      <c r="E29" s="1009"/>
      <c r="F29" s="1009"/>
      <c r="G29" s="1009"/>
      <c r="H29" s="654" t="s">
        <v>220</v>
      </c>
      <c r="I29" s="722" t="s">
        <v>220</v>
      </c>
    </row>
    <row r="30" spans="1:9" ht="40" customHeight="1">
      <c r="A30" s="1008"/>
      <c r="B30" s="1003" t="s">
        <v>348</v>
      </c>
      <c r="C30" s="1003"/>
      <c r="D30" s="1003"/>
      <c r="E30" s="1003"/>
      <c r="F30" s="1003"/>
      <c r="G30" s="1003"/>
      <c r="H30" s="723">
        <v>200</v>
      </c>
      <c r="I30" s="704"/>
    </row>
    <row r="31" spans="1:9" ht="41" customHeight="1">
      <c r="A31" s="1008"/>
      <c r="B31" s="1004" t="s">
        <v>400</v>
      </c>
      <c r="C31" s="1005"/>
      <c r="D31" s="1005"/>
      <c r="E31" s="1005"/>
      <c r="F31" s="1005"/>
      <c r="G31" s="1006"/>
      <c r="H31" s="572">
        <f>Skemaoplysninger!AN38+Skemaoplysninger!AN39</f>
        <v>152.41666666666669</v>
      </c>
      <c r="I31" s="600"/>
    </row>
    <row r="32" spans="1:9" ht="16" customHeight="1">
      <c r="A32" s="422"/>
      <c r="B32" s="422"/>
      <c r="C32" s="633"/>
      <c r="D32" s="633"/>
      <c r="E32" s="633"/>
      <c r="F32" s="633"/>
      <c r="G32" s="633"/>
      <c r="H32" s="633"/>
      <c r="I32" s="600"/>
    </row>
    <row r="33" spans="1:8" ht="16" customHeight="1">
      <c r="A33" s="998"/>
      <c r="B33" s="998"/>
      <c r="C33" s="997" t="s">
        <v>431</v>
      </c>
      <c r="D33" s="997"/>
      <c r="E33" s="997"/>
      <c r="F33" s="997"/>
      <c r="G33" s="997"/>
      <c r="H33" s="997"/>
    </row>
    <row r="34" spans="1:8" ht="16" customHeight="1">
      <c r="A34" s="998"/>
      <c r="B34" s="998"/>
      <c r="C34" s="997"/>
      <c r="D34" s="997"/>
      <c r="E34" s="997"/>
      <c r="F34" s="997"/>
      <c r="G34" s="997"/>
      <c r="H34" s="997"/>
    </row>
    <row r="35" spans="1:8" ht="31" customHeight="1">
      <c r="A35" s="998"/>
      <c r="B35" s="998"/>
      <c r="C35" s="997"/>
      <c r="D35" s="997"/>
      <c r="E35" s="997"/>
      <c r="F35" s="997"/>
      <c r="G35" s="997"/>
      <c r="H35" s="997"/>
    </row>
    <row r="36" spans="1:8" ht="16" customHeight="1">
      <c r="A36" s="998"/>
      <c r="B36" s="998"/>
      <c r="C36" s="997"/>
      <c r="D36" s="997"/>
      <c r="E36" s="997"/>
      <c r="F36" s="997"/>
      <c r="G36" s="997"/>
      <c r="H36" s="997"/>
    </row>
    <row r="37" spans="1:8">
      <c r="A37" s="998"/>
      <c r="B37" s="998"/>
      <c r="C37" s="997"/>
      <c r="D37" s="997"/>
      <c r="E37" s="997"/>
      <c r="F37" s="997"/>
      <c r="G37" s="997"/>
      <c r="H37" s="997"/>
    </row>
  </sheetData>
  <sheetProtection sheet="1" objects="1" scenarios="1"/>
  <mergeCells count="45">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 ref="B21:H21"/>
    <mergeCell ref="A17:A26"/>
    <mergeCell ref="E13:H13"/>
    <mergeCell ref="B17:H17"/>
    <mergeCell ref="B19:H19"/>
    <mergeCell ref="B20:H20"/>
    <mergeCell ref="B23:H23"/>
    <mergeCell ref="B24:H24"/>
    <mergeCell ref="B15:D15"/>
    <mergeCell ref="E15:H15"/>
    <mergeCell ref="B14:D14"/>
    <mergeCell ref="E14:H14"/>
    <mergeCell ref="A16:H16"/>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s>
  <conditionalFormatting sqref="B30">
    <cfRule type="expression" dxfId="863" priority="5">
      <formula>OR($H29="Nej",)</formula>
    </cfRule>
  </conditionalFormatting>
  <conditionalFormatting sqref="B31">
    <cfRule type="expression" dxfId="862" priority="4">
      <formula>OR($J$8="Ja",)</formula>
    </cfRule>
  </conditionalFormatting>
  <conditionalFormatting sqref="H31">
    <cfRule type="expression" dxfId="861" priority="3">
      <formula>OR($J$8="Ja",)</formula>
    </cfRule>
  </conditionalFormatting>
  <conditionalFormatting sqref="B30:H30">
    <cfRule type="expression" dxfId="860" priority="2">
      <formula>OR($H$29="Nej",)</formula>
    </cfRule>
  </conditionalFormatting>
  <conditionalFormatting sqref="B31 H31">
    <cfRule type="expression" dxfId="859" priority="1">
      <formula>OR($H$29="Ja",)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AO72"/>
  <sheetViews>
    <sheetView showZeros="0" workbookViewId="0">
      <selection activeCell="F23" sqref="F23"/>
    </sheetView>
  </sheetViews>
  <sheetFormatPr baseColWidth="10" defaultRowHeight="16"/>
  <cols>
    <col min="15" max="15" width="12.5" bestFit="1" customWidth="1"/>
  </cols>
  <sheetData>
    <row r="1" spans="1:41" ht="132" customHeight="1">
      <c r="A1" s="1046"/>
      <c r="B1" s="1046"/>
      <c r="C1" s="1013" t="s">
        <v>621</v>
      </c>
      <c r="D1" s="1013"/>
      <c r="E1" s="1013"/>
      <c r="F1" s="1013"/>
      <c r="G1" s="1013"/>
      <c r="H1" s="1013"/>
      <c r="I1" s="1013"/>
      <c r="AO1" s="45"/>
    </row>
    <row r="2" spans="1:41" ht="50" customHeight="1" thickBot="1">
      <c r="A2" s="1047"/>
      <c r="B2" s="1047"/>
      <c r="C2" s="1045" t="s">
        <v>470</v>
      </c>
      <c r="D2" s="1045"/>
      <c r="E2" s="1045"/>
      <c r="F2" s="1045"/>
      <c r="G2" s="1045"/>
      <c r="H2" s="1045"/>
      <c r="I2" s="1045"/>
      <c r="AO2" s="45"/>
    </row>
    <row r="3" spans="1:41" ht="30" customHeight="1">
      <c r="A3" s="1014" t="s">
        <v>241</v>
      </c>
      <c r="B3" s="1015"/>
      <c r="C3" s="1015"/>
      <c r="D3" s="1015"/>
      <c r="E3" s="1015"/>
      <c r="F3" s="1015"/>
      <c r="G3" s="1015"/>
      <c r="H3" s="1015"/>
      <c r="I3" s="1016"/>
      <c r="K3" s="1014" t="s">
        <v>242</v>
      </c>
      <c r="L3" s="1015"/>
      <c r="M3" s="1015"/>
      <c r="N3" s="1015"/>
      <c r="O3" s="1015"/>
      <c r="P3" s="1015"/>
      <c r="Q3" s="1015"/>
      <c r="R3" s="1015"/>
      <c r="S3" s="1016"/>
      <c r="U3" s="1014" t="s">
        <v>243</v>
      </c>
      <c r="V3" s="1015"/>
      <c r="W3" s="1015"/>
      <c r="X3" s="1015"/>
      <c r="Y3" s="1015"/>
      <c r="Z3" s="1015"/>
      <c r="AA3" s="1015"/>
      <c r="AB3" s="1015"/>
      <c r="AC3" s="1016"/>
      <c r="AE3" s="1014" t="s">
        <v>244</v>
      </c>
      <c r="AF3" s="1015"/>
      <c r="AG3" s="1015"/>
      <c r="AH3" s="1015"/>
      <c r="AI3" s="1015"/>
      <c r="AJ3" s="1015"/>
      <c r="AK3" s="1015"/>
      <c r="AL3" s="1015"/>
      <c r="AM3" s="1016"/>
      <c r="AO3" s="45" t="s">
        <v>241</v>
      </c>
    </row>
    <row r="4" spans="1:41" ht="18" customHeight="1">
      <c r="A4" s="485"/>
      <c r="B4" s="483"/>
      <c r="C4" s="483"/>
      <c r="D4" s="483"/>
      <c r="E4" s="483"/>
      <c r="F4" s="1042" t="s">
        <v>27</v>
      </c>
      <c r="G4" s="1042"/>
      <c r="H4" s="1042" t="s">
        <v>350</v>
      </c>
      <c r="I4" s="1043"/>
      <c r="K4" s="485"/>
      <c r="L4" s="483"/>
      <c r="M4" s="483"/>
      <c r="N4" s="483"/>
      <c r="O4" s="483"/>
      <c r="P4" s="1042" t="s">
        <v>27</v>
      </c>
      <c r="Q4" s="1042"/>
      <c r="R4" s="1042" t="s">
        <v>350</v>
      </c>
      <c r="S4" s="1043"/>
      <c r="U4" s="485"/>
      <c r="V4" s="483"/>
      <c r="W4" s="483"/>
      <c r="X4" s="483"/>
      <c r="Y4" s="483"/>
      <c r="Z4" s="1042" t="s">
        <v>27</v>
      </c>
      <c r="AA4" s="1042"/>
      <c r="AB4" s="1042" t="s">
        <v>350</v>
      </c>
      <c r="AC4" s="1043"/>
      <c r="AE4" s="485"/>
      <c r="AF4" s="483"/>
      <c r="AG4" s="483"/>
      <c r="AH4" s="483"/>
      <c r="AI4" s="483"/>
      <c r="AJ4" s="1042" t="s">
        <v>27</v>
      </c>
      <c r="AK4" s="1042"/>
      <c r="AL4" s="1042" t="s">
        <v>350</v>
      </c>
      <c r="AM4" s="1043"/>
      <c r="AO4" s="45"/>
    </row>
    <row r="5" spans="1:41" ht="30" customHeight="1">
      <c r="A5" s="1036" t="s">
        <v>261</v>
      </c>
      <c r="B5" s="1037"/>
      <c r="C5" s="1037"/>
      <c r="D5" s="1037"/>
      <c r="E5" s="1037"/>
      <c r="F5" s="1038" t="s">
        <v>562</v>
      </c>
      <c r="G5" s="1038"/>
      <c r="H5" s="1038" t="s">
        <v>575</v>
      </c>
      <c r="I5" s="1039"/>
      <c r="K5" s="1040" t="str">
        <f>A5</f>
        <v>Skemaet dækker perioden:</v>
      </c>
      <c r="L5" s="1041"/>
      <c r="M5" s="1041"/>
      <c r="N5" s="1041"/>
      <c r="O5" s="1041"/>
      <c r="P5" s="1038" t="s">
        <v>586</v>
      </c>
      <c r="Q5" s="1038"/>
      <c r="R5" s="1038" t="s">
        <v>563</v>
      </c>
      <c r="S5" s="1039"/>
      <c r="U5" s="1040" t="str">
        <f>K5</f>
        <v>Skemaet dækker perioden:</v>
      </c>
      <c r="V5" s="1041"/>
      <c r="W5" s="1041"/>
      <c r="X5" s="1041"/>
      <c r="Y5" s="1041"/>
      <c r="Z5" s="1038"/>
      <c r="AA5" s="1038"/>
      <c r="AB5" s="1038"/>
      <c r="AC5" s="1039"/>
      <c r="AE5" s="1040" t="str">
        <f>U5</f>
        <v>Skemaet dækker perioden:</v>
      </c>
      <c r="AF5" s="1041"/>
      <c r="AG5" s="1041"/>
      <c r="AH5" s="1041"/>
      <c r="AI5" s="1041"/>
      <c r="AJ5" s="1038"/>
      <c r="AK5" s="1038"/>
      <c r="AL5" s="1038"/>
      <c r="AM5" s="1039"/>
      <c r="AO5" s="45" t="s">
        <v>242</v>
      </c>
    </row>
    <row r="6" spans="1:41" ht="64" customHeight="1">
      <c r="A6" s="1017" t="s">
        <v>555</v>
      </c>
      <c r="B6" s="1018"/>
      <c r="C6" s="1018"/>
      <c r="D6" s="1018"/>
      <c r="E6" s="1018"/>
      <c r="F6" s="1018"/>
      <c r="G6" s="1018"/>
      <c r="H6" s="1018"/>
      <c r="I6" s="1019"/>
      <c r="K6" s="1017" t="s">
        <v>554</v>
      </c>
      <c r="L6" s="1018"/>
      <c r="M6" s="1018"/>
      <c r="N6" s="1018"/>
      <c r="O6" s="1018"/>
      <c r="P6" s="1018"/>
      <c r="Q6" s="1018"/>
      <c r="R6" s="1018"/>
      <c r="S6" s="1019"/>
      <c r="U6" s="1017" t="s">
        <v>556</v>
      </c>
      <c r="V6" s="1018"/>
      <c r="W6" s="1018"/>
      <c r="X6" s="1018"/>
      <c r="Y6" s="1018"/>
      <c r="Z6" s="1018"/>
      <c r="AA6" s="1018"/>
      <c r="AB6" s="1018"/>
      <c r="AC6" s="1019"/>
      <c r="AE6" s="1017" t="s">
        <v>557</v>
      </c>
      <c r="AF6" s="1018"/>
      <c r="AG6" s="1018"/>
      <c r="AH6" s="1018"/>
      <c r="AI6" s="1018"/>
      <c r="AJ6" s="1018"/>
      <c r="AK6" s="1018"/>
      <c r="AL6" s="1018"/>
      <c r="AM6" s="1019"/>
      <c r="AO6" s="45" t="s">
        <v>243</v>
      </c>
    </row>
    <row r="7" spans="1:41" ht="25" customHeight="1">
      <c r="A7" s="486" t="s">
        <v>32</v>
      </c>
      <c r="B7" s="379" t="s">
        <v>67</v>
      </c>
      <c r="C7" s="46" t="s">
        <v>65</v>
      </c>
      <c r="D7" s="46" t="s">
        <v>66</v>
      </c>
      <c r="E7" s="95" t="s">
        <v>34</v>
      </c>
      <c r="F7" s="95" t="s">
        <v>35</v>
      </c>
      <c r="G7" s="95" t="s">
        <v>36</v>
      </c>
      <c r="H7" s="95" t="s">
        <v>37</v>
      </c>
      <c r="I7" s="41" t="s">
        <v>38</v>
      </c>
      <c r="K7" s="487" t="s">
        <v>64</v>
      </c>
      <c r="L7" s="46" t="str">
        <f t="shared" ref="L7:S7" si="0">B7</f>
        <v>Antal min</v>
      </c>
      <c r="M7" s="95" t="str">
        <f t="shared" si="0"/>
        <v>Kl. Fra:</v>
      </c>
      <c r="N7" s="95" t="str">
        <f t="shared" si="0"/>
        <v>Kl. Til:</v>
      </c>
      <c r="O7" s="95" t="str">
        <f t="shared" si="0"/>
        <v>Mandag</v>
      </c>
      <c r="P7" s="95" t="str">
        <f t="shared" si="0"/>
        <v>Tirsdag</v>
      </c>
      <c r="Q7" s="95" t="str">
        <f t="shared" si="0"/>
        <v>Onsdag</v>
      </c>
      <c r="R7" s="95" t="str">
        <f t="shared" si="0"/>
        <v>Torsdag</v>
      </c>
      <c r="S7" s="41" t="str">
        <f t="shared" si="0"/>
        <v>Fredag</v>
      </c>
      <c r="U7" s="487" t="s">
        <v>64</v>
      </c>
      <c r="V7" s="46" t="str">
        <f t="shared" ref="V7:AC7" si="1">L7</f>
        <v>Antal min</v>
      </c>
      <c r="W7" s="95" t="str">
        <f t="shared" si="1"/>
        <v>Kl. Fra:</v>
      </c>
      <c r="X7" s="95" t="str">
        <f t="shared" si="1"/>
        <v>Kl. Til:</v>
      </c>
      <c r="Y7" s="95" t="str">
        <f t="shared" si="1"/>
        <v>Mandag</v>
      </c>
      <c r="Z7" s="95" t="str">
        <f t="shared" si="1"/>
        <v>Tirsdag</v>
      </c>
      <c r="AA7" s="95" t="str">
        <f t="shared" si="1"/>
        <v>Onsdag</v>
      </c>
      <c r="AB7" s="95" t="str">
        <f t="shared" si="1"/>
        <v>Torsdag</v>
      </c>
      <c r="AC7" s="41" t="str">
        <f t="shared" si="1"/>
        <v>Fredag</v>
      </c>
      <c r="AE7" s="487" t="s">
        <v>64</v>
      </c>
      <c r="AF7" s="46" t="str">
        <f t="shared" ref="AF7:AM7" si="2">V7</f>
        <v>Antal min</v>
      </c>
      <c r="AG7" s="95" t="str">
        <f t="shared" si="2"/>
        <v>Kl. Fra:</v>
      </c>
      <c r="AH7" s="95" t="str">
        <f t="shared" si="2"/>
        <v>Kl. Til:</v>
      </c>
      <c r="AI7" s="95" t="str">
        <f t="shared" si="2"/>
        <v>Mandag</v>
      </c>
      <c r="AJ7" s="95" t="str">
        <f t="shared" si="2"/>
        <v>Tirsdag</v>
      </c>
      <c r="AK7" s="95" t="str">
        <f t="shared" si="2"/>
        <v>Onsdag</v>
      </c>
      <c r="AL7" s="95" t="str">
        <f t="shared" si="2"/>
        <v>Torsdag</v>
      </c>
      <c r="AM7" s="41" t="str">
        <f t="shared" si="2"/>
        <v>Fredag</v>
      </c>
      <c r="AO7" s="45" t="s">
        <v>244</v>
      </c>
    </row>
    <row r="8" spans="1:41" ht="15" customHeight="1">
      <c r="A8" s="1031" t="s">
        <v>69</v>
      </c>
      <c r="B8" s="1032"/>
      <c r="C8" s="43">
        <v>0.33333333333333331</v>
      </c>
      <c r="D8" s="1033"/>
      <c r="E8" s="1034"/>
      <c r="F8" s="1034"/>
      <c r="G8" s="1034"/>
      <c r="H8" s="1034"/>
      <c r="I8" s="1035"/>
      <c r="K8" s="1031" t="s">
        <v>69</v>
      </c>
      <c r="L8" s="1032"/>
      <c r="M8" s="43">
        <v>0.33333333333333331</v>
      </c>
      <c r="N8" s="1033"/>
      <c r="O8" s="1034"/>
      <c r="P8" s="1034"/>
      <c r="Q8" s="1034"/>
      <c r="R8" s="1034"/>
      <c r="S8" s="1035"/>
      <c r="U8" s="1031" t="s">
        <v>69</v>
      </c>
      <c r="V8" s="1032"/>
      <c r="W8" s="43"/>
      <c r="X8" s="1033"/>
      <c r="Y8" s="1034"/>
      <c r="Z8" s="1034"/>
      <c r="AA8" s="1034"/>
      <c r="AB8" s="1034"/>
      <c r="AC8" s="1035"/>
      <c r="AE8" s="1031" t="s">
        <v>69</v>
      </c>
      <c r="AF8" s="1032"/>
      <c r="AG8" s="43"/>
      <c r="AH8" s="1033"/>
      <c r="AI8" s="1034"/>
      <c r="AJ8" s="1034"/>
      <c r="AK8" s="1034"/>
      <c r="AL8" s="1034"/>
      <c r="AM8" s="1035"/>
    </row>
    <row r="9" spans="1:41" ht="33" customHeight="1">
      <c r="A9" s="487">
        <v>1</v>
      </c>
      <c r="B9" s="44">
        <v>3.125E-2</v>
      </c>
      <c r="C9" s="39">
        <f>C8</f>
        <v>0.33333333333333331</v>
      </c>
      <c r="D9" s="39">
        <f t="shared" ref="D9:D27" si="3">C9+B9</f>
        <v>0.36458333333333331</v>
      </c>
      <c r="E9" s="657" t="s">
        <v>5</v>
      </c>
      <c r="F9" s="658" t="s">
        <v>8</v>
      </c>
      <c r="G9" s="658" t="s">
        <v>5</v>
      </c>
      <c r="H9" s="658" t="s">
        <v>5</v>
      </c>
      <c r="I9" s="666"/>
      <c r="K9" s="487">
        <v>1</v>
      </c>
      <c r="L9" s="44"/>
      <c r="M9" s="39">
        <f>M8</f>
        <v>0.33333333333333331</v>
      </c>
      <c r="N9" s="39">
        <f t="shared" ref="N9:N27" si="4">M9+L9</f>
        <v>0.33333333333333331</v>
      </c>
      <c r="O9" s="657"/>
      <c r="P9" s="658"/>
      <c r="Q9" s="658"/>
      <c r="R9" s="658"/>
      <c r="S9" s="666"/>
      <c r="U9" s="487">
        <v>1</v>
      </c>
      <c r="V9" s="44"/>
      <c r="W9" s="39">
        <f>W8</f>
        <v>0</v>
      </c>
      <c r="X9" s="39">
        <f t="shared" ref="X9:X27" si="5">W9+V9</f>
        <v>0</v>
      </c>
      <c r="Y9" s="657"/>
      <c r="Z9" s="658"/>
      <c r="AA9" s="658"/>
      <c r="AB9" s="658"/>
      <c r="AC9" s="666"/>
      <c r="AE9" s="487">
        <v>1</v>
      </c>
      <c r="AF9" s="44"/>
      <c r="AG9" s="39">
        <f>AG8</f>
        <v>0</v>
      </c>
      <c r="AH9" s="39">
        <f t="shared" ref="AH9:AH27" si="6">AG9+AF9</f>
        <v>0</v>
      </c>
      <c r="AI9" s="657"/>
      <c r="AJ9" s="658"/>
      <c r="AK9" s="658"/>
      <c r="AL9" s="658"/>
      <c r="AM9" s="666"/>
    </row>
    <row r="10" spans="1:41" ht="15" customHeight="1">
      <c r="A10" s="488" t="s">
        <v>622</v>
      </c>
      <c r="B10" s="44">
        <v>6.9444444444444441E-3</v>
      </c>
      <c r="C10" s="40">
        <f t="shared" ref="C10:C27" si="7">D9</f>
        <v>0.36458333333333331</v>
      </c>
      <c r="D10" s="40">
        <f t="shared" si="3"/>
        <v>0.37152777777777773</v>
      </c>
      <c r="E10" s="481" t="s">
        <v>580</v>
      </c>
      <c r="F10" s="481" t="s">
        <v>580</v>
      </c>
      <c r="G10" s="481" t="s">
        <v>580</v>
      </c>
      <c r="H10" s="481" t="s">
        <v>580</v>
      </c>
      <c r="I10" s="482"/>
      <c r="K10" s="488" t="s">
        <v>622</v>
      </c>
      <c r="L10" s="44">
        <v>1.0416666666666666E-2</v>
      </c>
      <c r="M10" s="40">
        <f t="shared" ref="M10:M27" si="8">N9</f>
        <v>0.33333333333333331</v>
      </c>
      <c r="N10" s="40">
        <f t="shared" si="4"/>
        <v>0.34375</v>
      </c>
      <c r="O10" s="481" t="s">
        <v>579</v>
      </c>
      <c r="P10" s="481" t="s">
        <v>579</v>
      </c>
      <c r="Q10" s="481" t="s">
        <v>579</v>
      </c>
      <c r="R10" s="481" t="s">
        <v>579</v>
      </c>
      <c r="S10" s="482" t="s">
        <v>579</v>
      </c>
      <c r="U10" s="488" t="s">
        <v>622</v>
      </c>
      <c r="V10" s="44"/>
      <c r="W10" s="40">
        <f t="shared" ref="W10:W27" si="9">X9</f>
        <v>0</v>
      </c>
      <c r="X10" s="40">
        <f t="shared" si="5"/>
        <v>0</v>
      </c>
      <c r="Y10" s="481"/>
      <c r="Z10" s="481"/>
      <c r="AA10" s="481"/>
      <c r="AB10" s="481"/>
      <c r="AC10" s="482"/>
      <c r="AE10" s="488" t="s">
        <v>622</v>
      </c>
      <c r="AF10" s="44"/>
      <c r="AG10" s="40">
        <f t="shared" ref="AG10:AG27" si="10">AH9</f>
        <v>0</v>
      </c>
      <c r="AH10" s="40">
        <f t="shared" si="6"/>
        <v>0</v>
      </c>
      <c r="AI10" s="481"/>
      <c r="AJ10" s="481"/>
      <c r="AK10" s="481"/>
      <c r="AL10" s="481"/>
      <c r="AM10" s="482"/>
    </row>
    <row r="11" spans="1:41" ht="33" customHeight="1">
      <c r="A11" s="487">
        <v>2</v>
      </c>
      <c r="B11" s="44">
        <v>3.125E-2</v>
      </c>
      <c r="C11" s="39">
        <f t="shared" si="7"/>
        <v>0.37152777777777773</v>
      </c>
      <c r="D11" s="39">
        <f t="shared" si="3"/>
        <v>0.40277777777777773</v>
      </c>
      <c r="E11" s="657" t="s">
        <v>7</v>
      </c>
      <c r="F11" s="657" t="s">
        <v>8</v>
      </c>
      <c r="G11" s="657" t="s">
        <v>5</v>
      </c>
      <c r="H11" s="657" t="s">
        <v>8</v>
      </c>
      <c r="I11" s="659" t="s">
        <v>41</v>
      </c>
      <c r="K11" s="487">
        <v>2</v>
      </c>
      <c r="L11" s="44">
        <v>3.125E-2</v>
      </c>
      <c r="M11" s="39">
        <f t="shared" si="8"/>
        <v>0.34375</v>
      </c>
      <c r="N11" s="39">
        <f t="shared" si="4"/>
        <v>0.375</v>
      </c>
      <c r="O11" s="657" t="s">
        <v>5</v>
      </c>
      <c r="P11" s="657" t="s">
        <v>8</v>
      </c>
      <c r="Q11" s="657" t="s">
        <v>578</v>
      </c>
      <c r="R11" s="657" t="s">
        <v>41</v>
      </c>
      <c r="S11" s="659" t="s">
        <v>7</v>
      </c>
      <c r="U11" s="487">
        <v>2</v>
      </c>
      <c r="V11" s="44"/>
      <c r="W11" s="39">
        <f t="shared" si="9"/>
        <v>0</v>
      </c>
      <c r="X11" s="39">
        <f t="shared" si="5"/>
        <v>0</v>
      </c>
      <c r="Y11" s="657"/>
      <c r="Z11" s="657"/>
      <c r="AA11" s="657"/>
      <c r="AB11" s="657"/>
      <c r="AC11" s="659"/>
      <c r="AE11" s="487">
        <v>2</v>
      </c>
      <c r="AF11" s="44"/>
      <c r="AG11" s="39">
        <f t="shared" si="10"/>
        <v>0</v>
      </c>
      <c r="AH11" s="39">
        <f t="shared" si="6"/>
        <v>0</v>
      </c>
      <c r="AI11" s="657"/>
      <c r="AJ11" s="657"/>
      <c r="AK11" s="657"/>
      <c r="AL11" s="657"/>
      <c r="AM11" s="659"/>
    </row>
    <row r="12" spans="1:41" ht="15" customHeight="1">
      <c r="A12" s="488" t="s">
        <v>622</v>
      </c>
      <c r="B12" s="44">
        <v>3.472222222222222E-3</v>
      </c>
      <c r="C12" s="40">
        <f t="shared" si="7"/>
        <v>0.40277777777777773</v>
      </c>
      <c r="D12" s="40">
        <f t="shared" si="3"/>
        <v>0.40624999999999994</v>
      </c>
      <c r="E12" s="481" t="s">
        <v>580</v>
      </c>
      <c r="F12" s="481" t="s">
        <v>580</v>
      </c>
      <c r="G12" s="481" t="s">
        <v>580</v>
      </c>
      <c r="H12" s="481" t="s">
        <v>580</v>
      </c>
      <c r="I12" s="482" t="s">
        <v>580</v>
      </c>
      <c r="K12" s="488" t="s">
        <v>622</v>
      </c>
      <c r="L12" s="44">
        <v>3.472222222222222E-3</v>
      </c>
      <c r="M12" s="40">
        <f t="shared" si="8"/>
        <v>0.375</v>
      </c>
      <c r="N12" s="40">
        <f t="shared" si="4"/>
        <v>0.37847222222222221</v>
      </c>
      <c r="O12" s="481" t="s">
        <v>583</v>
      </c>
      <c r="P12" s="481" t="s">
        <v>583</v>
      </c>
      <c r="Q12" s="481" t="s">
        <v>583</v>
      </c>
      <c r="R12" s="481" t="s">
        <v>583</v>
      </c>
      <c r="S12" s="482" t="s">
        <v>584</v>
      </c>
      <c r="U12" s="488" t="s">
        <v>622</v>
      </c>
      <c r="V12" s="44"/>
      <c r="W12" s="40">
        <f t="shared" si="9"/>
        <v>0</v>
      </c>
      <c r="X12" s="40">
        <f t="shared" si="5"/>
        <v>0</v>
      </c>
      <c r="Y12" s="481"/>
      <c r="Z12" s="481"/>
      <c r="AA12" s="481"/>
      <c r="AB12" s="481"/>
      <c r="AC12" s="482"/>
      <c r="AE12" s="488" t="s">
        <v>622</v>
      </c>
      <c r="AF12" s="44"/>
      <c r="AG12" s="40">
        <f t="shared" si="10"/>
        <v>0</v>
      </c>
      <c r="AH12" s="40">
        <f t="shared" si="6"/>
        <v>0</v>
      </c>
      <c r="AI12" s="481"/>
      <c r="AJ12" s="481"/>
      <c r="AK12" s="481"/>
      <c r="AL12" s="481"/>
      <c r="AM12" s="482"/>
    </row>
    <row r="13" spans="1:41" ht="33" customHeight="1">
      <c r="A13" s="487">
        <v>3</v>
      </c>
      <c r="B13" s="44">
        <v>3.125E-2</v>
      </c>
      <c r="C13" s="39">
        <f t="shared" si="7"/>
        <v>0.40624999999999994</v>
      </c>
      <c r="D13" s="39">
        <f t="shared" si="3"/>
        <v>0.43749999999999994</v>
      </c>
      <c r="E13" s="657" t="s">
        <v>7</v>
      </c>
      <c r="F13" s="657" t="s">
        <v>44</v>
      </c>
      <c r="G13" s="657" t="s">
        <v>5</v>
      </c>
      <c r="H13" s="657" t="s">
        <v>8</v>
      </c>
      <c r="I13" s="659" t="s">
        <v>41</v>
      </c>
      <c r="K13" s="487">
        <v>3</v>
      </c>
      <c r="L13" s="44">
        <v>3.125E-2</v>
      </c>
      <c r="M13" s="39">
        <f t="shared" si="8"/>
        <v>0.37847222222222221</v>
      </c>
      <c r="N13" s="39">
        <f t="shared" si="4"/>
        <v>0.40972222222222221</v>
      </c>
      <c r="O13" s="657" t="s">
        <v>5</v>
      </c>
      <c r="P13" s="657" t="s">
        <v>8</v>
      </c>
      <c r="Q13" s="657" t="s">
        <v>578</v>
      </c>
      <c r="R13" s="657" t="s">
        <v>41</v>
      </c>
      <c r="S13" s="659" t="s">
        <v>7</v>
      </c>
      <c r="U13" s="487">
        <v>3</v>
      </c>
      <c r="V13" s="44"/>
      <c r="W13" s="39">
        <f t="shared" si="9"/>
        <v>0</v>
      </c>
      <c r="X13" s="39">
        <f t="shared" si="5"/>
        <v>0</v>
      </c>
      <c r="Y13" s="657"/>
      <c r="Z13" s="657"/>
      <c r="AA13" s="657"/>
      <c r="AB13" s="657"/>
      <c r="AC13" s="659"/>
      <c r="AE13" s="487">
        <v>3</v>
      </c>
      <c r="AF13" s="44"/>
      <c r="AG13" s="39">
        <f t="shared" si="10"/>
        <v>0</v>
      </c>
      <c r="AH13" s="39">
        <f t="shared" si="6"/>
        <v>0</v>
      </c>
      <c r="AI13" s="657"/>
      <c r="AJ13" s="657"/>
      <c r="AK13" s="657"/>
      <c r="AL13" s="657"/>
      <c r="AM13" s="659"/>
    </row>
    <row r="14" spans="1:41" ht="15" customHeight="1">
      <c r="A14" s="488" t="s">
        <v>622</v>
      </c>
      <c r="B14" s="44">
        <v>1.0416666666666666E-2</v>
      </c>
      <c r="C14" s="40">
        <f t="shared" si="7"/>
        <v>0.43749999999999994</v>
      </c>
      <c r="D14" s="40">
        <f t="shared" si="3"/>
        <v>0.44791666666666663</v>
      </c>
      <c r="E14" s="481" t="s">
        <v>580</v>
      </c>
      <c r="F14" s="481" t="s">
        <v>581</v>
      </c>
      <c r="G14" s="481" t="s">
        <v>581</v>
      </c>
      <c r="H14" s="481" t="s">
        <v>580</v>
      </c>
      <c r="I14" s="482" t="s">
        <v>580</v>
      </c>
      <c r="K14" s="488" t="s">
        <v>622</v>
      </c>
      <c r="L14" s="44">
        <v>3.472222222222222E-3</v>
      </c>
      <c r="M14" s="40">
        <f t="shared" si="8"/>
        <v>0.40972222222222221</v>
      </c>
      <c r="N14" s="40">
        <f t="shared" si="4"/>
        <v>0.41319444444444442</v>
      </c>
      <c r="O14" s="481" t="s">
        <v>581</v>
      </c>
      <c r="P14" s="481" t="s">
        <v>581</v>
      </c>
      <c r="Q14" s="481" t="s">
        <v>581</v>
      </c>
      <c r="R14" s="481" t="s">
        <v>581</v>
      </c>
      <c r="S14" s="482" t="s">
        <v>581</v>
      </c>
      <c r="U14" s="488" t="s">
        <v>622</v>
      </c>
      <c r="V14" s="44"/>
      <c r="W14" s="40">
        <f t="shared" si="9"/>
        <v>0</v>
      </c>
      <c r="X14" s="40">
        <f t="shared" si="5"/>
        <v>0</v>
      </c>
      <c r="Y14" s="481"/>
      <c r="Z14" s="481"/>
      <c r="AA14" s="481"/>
      <c r="AB14" s="481"/>
      <c r="AC14" s="482"/>
      <c r="AE14" s="488" t="s">
        <v>622</v>
      </c>
      <c r="AF14" s="44"/>
      <c r="AG14" s="40">
        <f t="shared" si="10"/>
        <v>0</v>
      </c>
      <c r="AH14" s="40">
        <f t="shared" si="6"/>
        <v>0</v>
      </c>
      <c r="AI14" s="481"/>
      <c r="AJ14" s="481"/>
      <c r="AK14" s="481"/>
      <c r="AL14" s="481"/>
      <c r="AM14" s="482"/>
    </row>
    <row r="15" spans="1:41" ht="33" customHeight="1">
      <c r="A15" s="487">
        <v>4</v>
      </c>
      <c r="B15" s="44">
        <v>3.125E-2</v>
      </c>
      <c r="C15" s="39">
        <f t="shared" si="7"/>
        <v>0.44791666666666663</v>
      </c>
      <c r="D15" s="39">
        <f t="shared" si="3"/>
        <v>0.47916666666666663</v>
      </c>
      <c r="E15" s="657" t="s">
        <v>578</v>
      </c>
      <c r="F15" s="657" t="s">
        <v>44</v>
      </c>
      <c r="G15" s="657" t="s">
        <v>41</v>
      </c>
      <c r="H15" s="657" t="s">
        <v>576</v>
      </c>
      <c r="I15" s="659" t="s">
        <v>576</v>
      </c>
      <c r="K15" s="487">
        <v>4</v>
      </c>
      <c r="L15" s="44">
        <v>3.125E-2</v>
      </c>
      <c r="M15" s="39">
        <f t="shared" si="8"/>
        <v>0.41319444444444442</v>
      </c>
      <c r="N15" s="39">
        <f t="shared" si="4"/>
        <v>0.44444444444444442</v>
      </c>
      <c r="O15" s="657" t="s">
        <v>44</v>
      </c>
      <c r="P15" s="657" t="s">
        <v>576</v>
      </c>
      <c r="Q15" s="657" t="s">
        <v>5</v>
      </c>
      <c r="R15" s="657" t="s">
        <v>8</v>
      </c>
      <c r="S15" s="659" t="s">
        <v>44</v>
      </c>
      <c r="U15" s="487">
        <v>4</v>
      </c>
      <c r="V15" s="44"/>
      <c r="W15" s="39">
        <f t="shared" si="9"/>
        <v>0</v>
      </c>
      <c r="X15" s="39">
        <f t="shared" si="5"/>
        <v>0</v>
      </c>
      <c r="Y15" s="657"/>
      <c r="Z15" s="657"/>
      <c r="AA15" s="657"/>
      <c r="AB15" s="657"/>
      <c r="AC15" s="659"/>
      <c r="AE15" s="487">
        <v>4</v>
      </c>
      <c r="AF15" s="44"/>
      <c r="AG15" s="39">
        <f t="shared" si="10"/>
        <v>0</v>
      </c>
      <c r="AH15" s="39">
        <f t="shared" si="6"/>
        <v>0</v>
      </c>
      <c r="AI15" s="657"/>
      <c r="AJ15" s="657"/>
      <c r="AK15" s="657"/>
      <c r="AL15" s="657"/>
      <c r="AM15" s="659"/>
    </row>
    <row r="16" spans="1:41" ht="15" customHeight="1">
      <c r="A16" s="488" t="s">
        <v>622</v>
      </c>
      <c r="B16" s="44">
        <v>1.7361111111111112E-2</v>
      </c>
      <c r="C16" s="40">
        <f t="shared" si="7"/>
        <v>0.47916666666666663</v>
      </c>
      <c r="D16" s="40">
        <f t="shared" si="3"/>
        <v>0.49652777777777773</v>
      </c>
      <c r="E16" s="481" t="s">
        <v>581</v>
      </c>
      <c r="F16" s="481" t="s">
        <v>580</v>
      </c>
      <c r="G16" s="481" t="s">
        <v>580</v>
      </c>
      <c r="H16" s="481" t="s">
        <v>580</v>
      </c>
      <c r="I16" s="482"/>
      <c r="K16" s="488" t="s">
        <v>622</v>
      </c>
      <c r="L16" s="44">
        <v>3.472222222222222E-3</v>
      </c>
      <c r="M16" s="40">
        <f t="shared" si="8"/>
        <v>0.44444444444444442</v>
      </c>
      <c r="N16" s="40">
        <f t="shared" si="4"/>
        <v>0.44791666666666663</v>
      </c>
      <c r="O16" s="481" t="s">
        <v>580</v>
      </c>
      <c r="P16" s="481" t="s">
        <v>580</v>
      </c>
      <c r="Q16" s="481" t="s">
        <v>580</v>
      </c>
      <c r="R16" s="481" t="s">
        <v>580</v>
      </c>
      <c r="S16" s="482" t="s">
        <v>585</v>
      </c>
      <c r="U16" s="488" t="s">
        <v>622</v>
      </c>
      <c r="V16" s="44"/>
      <c r="W16" s="40">
        <f t="shared" si="9"/>
        <v>0</v>
      </c>
      <c r="X16" s="40">
        <f t="shared" si="5"/>
        <v>0</v>
      </c>
      <c r="Y16" s="481"/>
      <c r="Z16" s="481"/>
      <c r="AA16" s="481"/>
      <c r="AB16" s="481"/>
      <c r="AC16" s="482"/>
      <c r="AE16" s="488" t="s">
        <v>622</v>
      </c>
      <c r="AF16" s="44"/>
      <c r="AG16" s="40">
        <f t="shared" si="10"/>
        <v>0</v>
      </c>
      <c r="AH16" s="40">
        <f t="shared" si="6"/>
        <v>0</v>
      </c>
      <c r="AI16" s="481"/>
      <c r="AJ16" s="481"/>
      <c r="AK16" s="481"/>
      <c r="AL16" s="481"/>
      <c r="AM16" s="482"/>
    </row>
    <row r="17" spans="1:40" ht="33" customHeight="1">
      <c r="A17" s="487">
        <v>5</v>
      </c>
      <c r="B17" s="44">
        <v>3.125E-2</v>
      </c>
      <c r="C17" s="39">
        <f t="shared" si="7"/>
        <v>0.49652777777777773</v>
      </c>
      <c r="D17" s="39">
        <f t="shared" si="3"/>
        <v>0.52777777777777768</v>
      </c>
      <c r="E17" s="657" t="s">
        <v>578</v>
      </c>
      <c r="F17" s="657" t="s">
        <v>5</v>
      </c>
      <c r="G17" s="657" t="s">
        <v>41</v>
      </c>
      <c r="H17" s="657" t="s">
        <v>576</v>
      </c>
      <c r="I17" s="659"/>
      <c r="K17" s="487">
        <v>5</v>
      </c>
      <c r="L17" s="44">
        <v>3.125E-2</v>
      </c>
      <c r="M17" s="39">
        <f t="shared" si="8"/>
        <v>0.44791666666666663</v>
      </c>
      <c r="N17" s="39">
        <f t="shared" si="4"/>
        <v>0.47916666666666663</v>
      </c>
      <c r="O17" s="657" t="s">
        <v>44</v>
      </c>
      <c r="P17" s="657" t="s">
        <v>576</v>
      </c>
      <c r="Q17" s="657" t="s">
        <v>5</v>
      </c>
      <c r="R17" s="657" t="s">
        <v>8</v>
      </c>
      <c r="S17" s="659" t="s">
        <v>44</v>
      </c>
      <c r="U17" s="487">
        <v>5</v>
      </c>
      <c r="V17" s="44"/>
      <c r="W17" s="39">
        <f t="shared" si="9"/>
        <v>0</v>
      </c>
      <c r="X17" s="39">
        <f t="shared" si="5"/>
        <v>0</v>
      </c>
      <c r="Y17" s="657"/>
      <c r="Z17" s="657"/>
      <c r="AA17" s="657"/>
      <c r="AB17" s="657"/>
      <c r="AC17" s="659"/>
      <c r="AE17" s="487">
        <v>5</v>
      </c>
      <c r="AF17" s="44"/>
      <c r="AG17" s="39">
        <f t="shared" si="10"/>
        <v>0</v>
      </c>
      <c r="AH17" s="39">
        <f t="shared" si="6"/>
        <v>0</v>
      </c>
      <c r="AI17" s="657"/>
      <c r="AJ17" s="657"/>
      <c r="AK17" s="657"/>
      <c r="AL17" s="657"/>
      <c r="AM17" s="659"/>
    </row>
    <row r="18" spans="1:40" ht="15" customHeight="1">
      <c r="A18" s="488" t="s">
        <v>622</v>
      </c>
      <c r="B18" s="44">
        <v>3.472222222222222E-3</v>
      </c>
      <c r="C18" s="40">
        <f t="shared" si="7"/>
        <v>0.52777777777777768</v>
      </c>
      <c r="D18" s="40">
        <f t="shared" si="3"/>
        <v>0.53124999999999989</v>
      </c>
      <c r="E18" s="481"/>
      <c r="F18" s="481" t="s">
        <v>580</v>
      </c>
      <c r="G18" s="481"/>
      <c r="H18" s="481"/>
      <c r="I18" s="482"/>
      <c r="K18" s="488" t="s">
        <v>622</v>
      </c>
      <c r="L18" s="44">
        <v>1.7361111111111112E-2</v>
      </c>
      <c r="M18" s="40">
        <f t="shared" si="8"/>
        <v>0.47916666666666663</v>
      </c>
      <c r="N18" s="40">
        <f t="shared" si="4"/>
        <v>0.49652777777777773</v>
      </c>
      <c r="O18" s="481" t="s">
        <v>580</v>
      </c>
      <c r="P18" s="481" t="s">
        <v>580</v>
      </c>
      <c r="Q18" s="481"/>
      <c r="R18" s="481"/>
      <c r="S18" s="482"/>
      <c r="U18" s="488" t="s">
        <v>622</v>
      </c>
      <c r="V18" s="44"/>
      <c r="W18" s="40">
        <f t="shared" si="9"/>
        <v>0</v>
      </c>
      <c r="X18" s="40">
        <f t="shared" si="5"/>
        <v>0</v>
      </c>
      <c r="Y18" s="481"/>
      <c r="Z18" s="481"/>
      <c r="AA18" s="481"/>
      <c r="AB18" s="481"/>
      <c r="AC18" s="482"/>
      <c r="AE18" s="488" t="s">
        <v>622</v>
      </c>
      <c r="AF18" s="44"/>
      <c r="AG18" s="40">
        <f t="shared" si="10"/>
        <v>0</v>
      </c>
      <c r="AH18" s="40">
        <f t="shared" si="6"/>
        <v>0</v>
      </c>
      <c r="AI18" s="481"/>
      <c r="AJ18" s="481"/>
      <c r="AK18" s="481"/>
      <c r="AL18" s="481"/>
      <c r="AM18" s="482"/>
    </row>
    <row r="19" spans="1:40" ht="33" customHeight="1">
      <c r="A19" s="489">
        <v>6</v>
      </c>
      <c r="B19" s="44">
        <v>3.125E-2</v>
      </c>
      <c r="C19" s="39">
        <f t="shared" si="7"/>
        <v>0.53124999999999989</v>
      </c>
      <c r="D19" s="39">
        <f t="shared" si="3"/>
        <v>0.56249999999999989</v>
      </c>
      <c r="E19" s="657"/>
      <c r="F19" s="657" t="s">
        <v>577</v>
      </c>
      <c r="G19" s="657"/>
      <c r="H19" s="657"/>
      <c r="I19" s="659"/>
      <c r="K19" s="489">
        <v>6</v>
      </c>
      <c r="L19" s="44">
        <v>3.125E-2</v>
      </c>
      <c r="M19" s="39">
        <f t="shared" si="8"/>
        <v>0.49652777777777773</v>
      </c>
      <c r="N19" s="39">
        <f t="shared" si="4"/>
        <v>0.52777777777777768</v>
      </c>
      <c r="O19" s="657" t="s">
        <v>577</v>
      </c>
      <c r="P19" s="657" t="s">
        <v>582</v>
      </c>
      <c r="Q19" s="657"/>
      <c r="R19" s="657"/>
      <c r="S19" s="659"/>
      <c r="U19" s="489">
        <v>6</v>
      </c>
      <c r="V19" s="44"/>
      <c r="W19" s="39">
        <f t="shared" si="9"/>
        <v>0</v>
      </c>
      <c r="X19" s="39">
        <f t="shared" si="5"/>
        <v>0</v>
      </c>
      <c r="Y19" s="657"/>
      <c r="Z19" s="657"/>
      <c r="AA19" s="657"/>
      <c r="AB19" s="657"/>
      <c r="AC19" s="659"/>
      <c r="AE19" s="489">
        <v>6</v>
      </c>
      <c r="AF19" s="44"/>
      <c r="AG19" s="39">
        <f t="shared" si="10"/>
        <v>0</v>
      </c>
      <c r="AH19" s="39">
        <f t="shared" si="6"/>
        <v>0</v>
      </c>
      <c r="AI19" s="657"/>
      <c r="AJ19" s="657"/>
      <c r="AK19" s="657"/>
      <c r="AL19" s="657"/>
      <c r="AM19" s="659"/>
    </row>
    <row r="20" spans="1:40" ht="15" customHeight="1">
      <c r="A20" s="488" t="s">
        <v>622</v>
      </c>
      <c r="B20" s="44">
        <v>3.472222222222222E-3</v>
      </c>
      <c r="C20" s="40">
        <f t="shared" si="7"/>
        <v>0.56249999999999989</v>
      </c>
      <c r="D20" s="40">
        <f t="shared" si="3"/>
        <v>0.5659722222222221</v>
      </c>
      <c r="E20" s="481"/>
      <c r="F20" s="481" t="s">
        <v>580</v>
      </c>
      <c r="G20" s="481"/>
      <c r="H20" s="481"/>
      <c r="I20" s="482"/>
      <c r="K20" s="488" t="s">
        <v>622</v>
      </c>
      <c r="L20" s="44">
        <v>6.9444444444444441E-3</v>
      </c>
      <c r="M20" s="40">
        <f t="shared" si="8"/>
        <v>0.52777777777777768</v>
      </c>
      <c r="N20" s="40">
        <f t="shared" si="4"/>
        <v>0.5347222222222221</v>
      </c>
      <c r="O20" s="481" t="s">
        <v>580</v>
      </c>
      <c r="P20" s="481" t="s">
        <v>580</v>
      </c>
      <c r="Q20" s="481"/>
      <c r="R20" s="481"/>
      <c r="S20" s="482"/>
      <c r="U20" s="488" t="s">
        <v>622</v>
      </c>
      <c r="V20" s="44"/>
      <c r="W20" s="40">
        <f t="shared" si="9"/>
        <v>0</v>
      </c>
      <c r="X20" s="40">
        <f t="shared" si="5"/>
        <v>0</v>
      </c>
      <c r="Y20" s="481"/>
      <c r="Z20" s="481"/>
      <c r="AA20" s="481"/>
      <c r="AB20" s="481"/>
      <c r="AC20" s="482"/>
      <c r="AE20" s="488" t="s">
        <v>622</v>
      </c>
      <c r="AF20" s="44"/>
      <c r="AG20" s="40">
        <f t="shared" si="10"/>
        <v>0</v>
      </c>
      <c r="AH20" s="40">
        <f t="shared" si="6"/>
        <v>0</v>
      </c>
      <c r="AI20" s="481"/>
      <c r="AJ20" s="481"/>
      <c r="AK20" s="481"/>
      <c r="AL20" s="481"/>
      <c r="AM20" s="482"/>
    </row>
    <row r="21" spans="1:40" ht="33" customHeight="1">
      <c r="A21" s="489">
        <v>7</v>
      </c>
      <c r="B21" s="44">
        <v>3.125E-2</v>
      </c>
      <c r="C21" s="39">
        <f t="shared" si="7"/>
        <v>0.5659722222222221</v>
      </c>
      <c r="D21" s="39">
        <f t="shared" si="3"/>
        <v>0.5972222222222221</v>
      </c>
      <c r="E21" s="657"/>
      <c r="F21" s="657" t="s">
        <v>577</v>
      </c>
      <c r="G21" s="657"/>
      <c r="H21" s="657"/>
      <c r="I21" s="659"/>
      <c r="K21" s="489">
        <v>7</v>
      </c>
      <c r="L21" s="44">
        <v>3.125E-2</v>
      </c>
      <c r="M21" s="39">
        <f t="shared" si="8"/>
        <v>0.5347222222222221</v>
      </c>
      <c r="N21" s="39">
        <f t="shared" si="4"/>
        <v>0.5659722222222221</v>
      </c>
      <c r="O21" s="657" t="s">
        <v>577</v>
      </c>
      <c r="P21" s="657" t="s">
        <v>582</v>
      </c>
      <c r="Q21" s="657"/>
      <c r="R21" s="657"/>
      <c r="S21" s="659"/>
      <c r="U21" s="489">
        <v>7</v>
      </c>
      <c r="V21" s="44"/>
      <c r="W21" s="39">
        <f t="shared" si="9"/>
        <v>0</v>
      </c>
      <c r="X21" s="39">
        <f t="shared" si="5"/>
        <v>0</v>
      </c>
      <c r="Y21" s="657"/>
      <c r="Z21" s="657"/>
      <c r="AA21" s="657"/>
      <c r="AB21" s="657"/>
      <c r="AC21" s="659"/>
      <c r="AE21" s="489">
        <v>7</v>
      </c>
      <c r="AF21" s="44"/>
      <c r="AG21" s="39">
        <f t="shared" si="10"/>
        <v>0</v>
      </c>
      <c r="AH21" s="39">
        <f t="shared" si="6"/>
        <v>0</v>
      </c>
      <c r="AI21" s="657"/>
      <c r="AJ21" s="657"/>
      <c r="AK21" s="657"/>
      <c r="AL21" s="657"/>
      <c r="AM21" s="659"/>
    </row>
    <row r="22" spans="1:40" ht="15" customHeight="1">
      <c r="A22" s="488" t="s">
        <v>622</v>
      </c>
      <c r="B22" s="44"/>
      <c r="C22" s="40">
        <f t="shared" si="7"/>
        <v>0.5972222222222221</v>
      </c>
      <c r="D22" s="40">
        <f t="shared" si="3"/>
        <v>0.5972222222222221</v>
      </c>
      <c r="E22" s="481"/>
      <c r="F22" s="481"/>
      <c r="G22" s="481"/>
      <c r="H22" s="481"/>
      <c r="I22" s="482"/>
      <c r="K22" s="488" t="s">
        <v>622</v>
      </c>
      <c r="L22" s="44">
        <v>3.472222222222222E-3</v>
      </c>
      <c r="M22" s="40">
        <f t="shared" si="8"/>
        <v>0.5659722222222221</v>
      </c>
      <c r="N22" s="40">
        <f t="shared" si="4"/>
        <v>0.56944444444444431</v>
      </c>
      <c r="O22" s="507"/>
      <c r="P22" s="507"/>
      <c r="Q22" s="507"/>
      <c r="R22" s="507"/>
      <c r="S22" s="508"/>
      <c r="U22" s="488" t="s">
        <v>622</v>
      </c>
      <c r="V22" s="44"/>
      <c r="W22" s="40">
        <f t="shared" si="9"/>
        <v>0</v>
      </c>
      <c r="X22" s="40">
        <f t="shared" si="5"/>
        <v>0</v>
      </c>
      <c r="Y22" s="502"/>
      <c r="Z22" s="502"/>
      <c r="AA22" s="502"/>
      <c r="AB22" s="502"/>
      <c r="AC22" s="503"/>
      <c r="AE22" s="488" t="s">
        <v>622</v>
      </c>
      <c r="AF22" s="44"/>
      <c r="AG22" s="40">
        <f t="shared" si="10"/>
        <v>0</v>
      </c>
      <c r="AH22" s="40">
        <f t="shared" si="6"/>
        <v>0</v>
      </c>
      <c r="AI22" s="481"/>
      <c r="AJ22" s="481"/>
      <c r="AK22" s="481"/>
      <c r="AL22" s="481"/>
      <c r="AM22" s="482"/>
    </row>
    <row r="23" spans="1:40" ht="33" customHeight="1">
      <c r="A23" s="489">
        <v>8</v>
      </c>
      <c r="B23" s="44"/>
      <c r="C23" s="39">
        <f t="shared" si="7"/>
        <v>0.5972222222222221</v>
      </c>
      <c r="D23" s="39">
        <f t="shared" si="3"/>
        <v>0.5972222222222221</v>
      </c>
      <c r="E23" s="657"/>
      <c r="F23" s="657"/>
      <c r="G23" s="657"/>
      <c r="H23" s="657"/>
      <c r="I23" s="659"/>
      <c r="K23" s="489">
        <v>8</v>
      </c>
      <c r="L23" s="44">
        <v>3.125E-2</v>
      </c>
      <c r="M23" s="39">
        <f t="shared" si="8"/>
        <v>0.56944444444444431</v>
      </c>
      <c r="N23" s="39">
        <f t="shared" si="4"/>
        <v>0.60069444444444431</v>
      </c>
      <c r="O23" s="658"/>
      <c r="P23" s="658"/>
      <c r="Q23" s="658"/>
      <c r="R23" s="658"/>
      <c r="S23" s="666"/>
      <c r="U23" s="489">
        <v>8</v>
      </c>
      <c r="V23" s="44"/>
      <c r="W23" s="39">
        <f t="shared" si="9"/>
        <v>0</v>
      </c>
      <c r="X23" s="39">
        <f t="shared" si="5"/>
        <v>0</v>
      </c>
      <c r="Y23" s="660"/>
      <c r="Z23" s="660"/>
      <c r="AA23" s="660"/>
      <c r="AB23" s="660"/>
      <c r="AC23" s="661"/>
      <c r="AE23" s="489">
        <v>8</v>
      </c>
      <c r="AF23" s="44"/>
      <c r="AG23" s="39">
        <f t="shared" si="10"/>
        <v>0</v>
      </c>
      <c r="AH23" s="39">
        <f t="shared" si="6"/>
        <v>0</v>
      </c>
      <c r="AI23" s="657"/>
      <c r="AJ23" s="657"/>
      <c r="AK23" s="657"/>
      <c r="AL23" s="657"/>
      <c r="AM23" s="659"/>
    </row>
    <row r="24" spans="1:40" ht="15" customHeight="1">
      <c r="A24" s="488" t="s">
        <v>622</v>
      </c>
      <c r="B24" s="44"/>
      <c r="C24" s="40">
        <f t="shared" si="7"/>
        <v>0.5972222222222221</v>
      </c>
      <c r="D24" s="40">
        <f t="shared" si="3"/>
        <v>0.5972222222222221</v>
      </c>
      <c r="E24" s="481"/>
      <c r="F24" s="481"/>
      <c r="G24" s="481"/>
      <c r="H24" s="481"/>
      <c r="I24" s="482"/>
      <c r="K24" s="488" t="s">
        <v>622</v>
      </c>
      <c r="L24" s="44"/>
      <c r="M24" s="40">
        <f t="shared" si="8"/>
        <v>0.60069444444444431</v>
      </c>
      <c r="N24" s="40">
        <f t="shared" si="4"/>
        <v>0.60069444444444431</v>
      </c>
      <c r="O24" s="507"/>
      <c r="P24" s="507"/>
      <c r="Q24" s="507"/>
      <c r="R24" s="507"/>
      <c r="S24" s="508"/>
      <c r="U24" s="488" t="s">
        <v>622</v>
      </c>
      <c r="V24" s="44"/>
      <c r="W24" s="40">
        <f t="shared" si="9"/>
        <v>0</v>
      </c>
      <c r="X24" s="40">
        <f t="shared" si="5"/>
        <v>0</v>
      </c>
      <c r="Y24" s="502"/>
      <c r="Z24" s="502"/>
      <c r="AA24" s="502"/>
      <c r="AB24" s="502"/>
      <c r="AC24" s="503"/>
      <c r="AE24" s="488" t="s">
        <v>622</v>
      </c>
      <c r="AF24" s="44"/>
      <c r="AG24" s="40">
        <f t="shared" si="10"/>
        <v>0</v>
      </c>
      <c r="AH24" s="40">
        <f t="shared" si="6"/>
        <v>0</v>
      </c>
      <c r="AI24" s="481"/>
      <c r="AJ24" s="481"/>
      <c r="AK24" s="481"/>
      <c r="AL24" s="481"/>
      <c r="AM24" s="482"/>
    </row>
    <row r="25" spans="1:40" ht="33" customHeight="1">
      <c r="A25" s="489">
        <v>9</v>
      </c>
      <c r="B25" s="44"/>
      <c r="C25" s="39">
        <f t="shared" si="7"/>
        <v>0.5972222222222221</v>
      </c>
      <c r="D25" s="39">
        <f t="shared" si="3"/>
        <v>0.5972222222222221</v>
      </c>
      <c r="E25" s="657"/>
      <c r="F25" s="657"/>
      <c r="G25" s="657"/>
      <c r="H25" s="657"/>
      <c r="I25" s="659"/>
      <c r="K25" s="489">
        <v>9</v>
      </c>
      <c r="L25" s="44"/>
      <c r="M25" s="39">
        <f t="shared" si="8"/>
        <v>0.60069444444444431</v>
      </c>
      <c r="N25" s="39">
        <f t="shared" si="4"/>
        <v>0.60069444444444431</v>
      </c>
      <c r="O25" s="658"/>
      <c r="P25" s="658"/>
      <c r="Q25" s="658"/>
      <c r="R25" s="658"/>
      <c r="S25" s="666"/>
      <c r="U25" s="489">
        <v>9</v>
      </c>
      <c r="V25" s="44"/>
      <c r="W25" s="39">
        <f t="shared" si="9"/>
        <v>0</v>
      </c>
      <c r="X25" s="39">
        <f t="shared" si="5"/>
        <v>0</v>
      </c>
      <c r="Y25" s="660"/>
      <c r="Z25" s="660"/>
      <c r="AA25" s="660"/>
      <c r="AB25" s="660"/>
      <c r="AC25" s="661"/>
      <c r="AE25" s="489">
        <v>9</v>
      </c>
      <c r="AF25" s="44"/>
      <c r="AG25" s="39">
        <f t="shared" si="10"/>
        <v>0</v>
      </c>
      <c r="AH25" s="39">
        <f t="shared" si="6"/>
        <v>0</v>
      </c>
      <c r="AI25" s="657"/>
      <c r="AJ25" s="657"/>
      <c r="AK25" s="657"/>
      <c r="AL25" s="657"/>
      <c r="AM25" s="659"/>
    </row>
    <row r="26" spans="1:40" ht="15" customHeight="1">
      <c r="A26" s="488" t="s">
        <v>622</v>
      </c>
      <c r="B26" s="44"/>
      <c r="C26" s="40">
        <f t="shared" si="7"/>
        <v>0.5972222222222221</v>
      </c>
      <c r="D26" s="40">
        <f t="shared" si="3"/>
        <v>0.5972222222222221</v>
      </c>
      <c r="E26" s="481"/>
      <c r="F26" s="481"/>
      <c r="G26" s="481"/>
      <c r="H26" s="481"/>
      <c r="I26" s="482"/>
      <c r="K26" s="488" t="s">
        <v>622</v>
      </c>
      <c r="L26" s="44"/>
      <c r="M26" s="40">
        <f t="shared" si="8"/>
        <v>0.60069444444444431</v>
      </c>
      <c r="N26" s="40">
        <f t="shared" si="4"/>
        <v>0.60069444444444431</v>
      </c>
      <c r="O26" s="507"/>
      <c r="P26" s="507"/>
      <c r="Q26" s="507"/>
      <c r="R26" s="507"/>
      <c r="S26" s="508"/>
      <c r="U26" s="488" t="s">
        <v>622</v>
      </c>
      <c r="V26" s="44"/>
      <c r="W26" s="40">
        <f t="shared" si="9"/>
        <v>0</v>
      </c>
      <c r="X26" s="40">
        <f t="shared" si="5"/>
        <v>0</v>
      </c>
      <c r="Y26" s="502"/>
      <c r="Z26" s="502"/>
      <c r="AA26" s="502"/>
      <c r="AB26" s="502"/>
      <c r="AC26" s="503"/>
      <c r="AE26" s="488" t="s">
        <v>622</v>
      </c>
      <c r="AF26" s="44"/>
      <c r="AG26" s="40">
        <f t="shared" si="10"/>
        <v>0</v>
      </c>
      <c r="AH26" s="40">
        <f t="shared" si="6"/>
        <v>0</v>
      </c>
      <c r="AI26" s="481"/>
      <c r="AJ26" s="481"/>
      <c r="AK26" s="481"/>
      <c r="AL26" s="481"/>
      <c r="AM26" s="482"/>
    </row>
    <row r="27" spans="1:40" ht="33" customHeight="1" thickBot="1">
      <c r="A27" s="490">
        <v>10</v>
      </c>
      <c r="B27" s="491"/>
      <c r="C27" s="492">
        <f t="shared" si="7"/>
        <v>0.5972222222222221</v>
      </c>
      <c r="D27" s="492">
        <f t="shared" si="3"/>
        <v>0.5972222222222221</v>
      </c>
      <c r="E27" s="664"/>
      <c r="F27" s="664"/>
      <c r="G27" s="664"/>
      <c r="H27" s="664"/>
      <c r="I27" s="665"/>
      <c r="K27" s="490">
        <v>10</v>
      </c>
      <c r="L27" s="491"/>
      <c r="M27" s="492">
        <f t="shared" si="8"/>
        <v>0.60069444444444431</v>
      </c>
      <c r="N27" s="492">
        <f t="shared" si="4"/>
        <v>0.60069444444444431</v>
      </c>
      <c r="O27" s="837"/>
      <c r="P27" s="837"/>
      <c r="Q27" s="837"/>
      <c r="R27" s="837"/>
      <c r="S27" s="838"/>
      <c r="U27" s="490">
        <v>10</v>
      </c>
      <c r="V27" s="491"/>
      <c r="W27" s="492">
        <f t="shared" si="9"/>
        <v>0</v>
      </c>
      <c r="X27" s="492">
        <f t="shared" si="5"/>
        <v>0</v>
      </c>
      <c r="Y27" s="662"/>
      <c r="Z27" s="662"/>
      <c r="AA27" s="662"/>
      <c r="AB27" s="662"/>
      <c r="AC27" s="663"/>
      <c r="AE27" s="490">
        <v>10</v>
      </c>
      <c r="AF27" s="491"/>
      <c r="AG27" s="492">
        <f t="shared" si="10"/>
        <v>0</v>
      </c>
      <c r="AH27" s="492">
        <f t="shared" si="6"/>
        <v>0</v>
      </c>
      <c r="AI27" s="664"/>
      <c r="AJ27" s="664"/>
      <c r="AK27" s="664"/>
      <c r="AL27" s="664"/>
      <c r="AM27" s="665"/>
    </row>
    <row r="28" spans="1:40" ht="33" hidden="1" customHeight="1">
      <c r="A28" s="1026" t="s">
        <v>262</v>
      </c>
      <c r="B28" s="1027"/>
      <c r="C28" s="1027"/>
      <c r="D28" s="1027"/>
      <c r="E28" s="484">
        <f>IF(E9&gt;0,B9,0)+IF(E11&gt;0,B11,0)+IF(E13&gt;0,B13,0)+IF(E15&gt;0,B15,0)+IF(E17&gt;0,B17,0)+IF(E19&gt;0,B19,0)+IF(E21&gt;0,B21,0)+IF(E23&gt;0,B23,0)+IF(E25&gt;0,B25,0)+IF(E27&gt;0,B27,0)</f>
        <v>0.15625</v>
      </c>
      <c r="F28" s="484">
        <f t="shared" ref="F28:I28" si="11">IF(F9&gt;0,$B$9,0)+IF(F11&gt;0,$B$11,0)+IF(F13&gt;0,$B$13,0)+IF(F15&gt;0,$B$15,0)+IF(F17&gt;0,$B$17,0)+IF(F19&gt;0,$B$19,0)+IF(F21&gt;0,$B$21,0)+IF(F23&gt;0,$B$23,0)+IF(F25&gt;0,$B$25,0)+IF(F27&gt;0,$B$27,0)</f>
        <v>0.21875</v>
      </c>
      <c r="G28" s="484">
        <f t="shared" si="11"/>
        <v>0.15625</v>
      </c>
      <c r="H28" s="484">
        <f>IF(H9&gt;0,$B$9,0)+IF(H11&gt;0,$B$11,0)+IF(H13&gt;0,$B$13,0)+IF(H15&gt;0,$B$15,0)+IF(H17&gt;0,$B$17,0)+IF(H19&gt;0,$B$19,0)+IF(H21&gt;0,$B$21,0)+IF(H23&gt;0,$B$23,0)+IF(H25&gt;0,$B$25,0)+IF(H27&gt;0,$B$27,0)</f>
        <v>0.15625</v>
      </c>
      <c r="I28" s="484">
        <f t="shared" si="11"/>
        <v>9.375E-2</v>
      </c>
      <c r="J28" s="895">
        <f>SUM(E28:I28)</f>
        <v>0.78125</v>
      </c>
      <c r="K28" s="1027" t="str">
        <f>A28</f>
        <v>Undervisningstimer ifølge skema</v>
      </c>
      <c r="L28" s="1027"/>
      <c r="M28" s="1027"/>
      <c r="N28" s="1027"/>
      <c r="O28" s="484">
        <f>IF(O9&gt;0,$L$9,0)+IF(O11&gt;0,$L$11,0)+IF(O13&gt;0,$L$13,0)+IF(O15&gt;0,$L$15,0)+IF(O17&gt;0,$L$17,0)+IF(O19&gt;0,$L$19,0)+IF(O21&gt;0,$L$21,0)+IF(O23&gt;0,$L$23,0)+IF(O25&gt;0,$L$25,0)+IF(O27&gt;0,$L$27,0)</f>
        <v>0.1875</v>
      </c>
      <c r="P28" s="484">
        <f t="shared" ref="P28:S28" si="12">IF(P9&gt;0,$L$9,0)+IF(P11&gt;0,$L$11,0)+IF(P13&gt;0,$L$13,0)+IF(P15&gt;0,$L$15,0)+IF(P17&gt;0,$L$17,0)+IF(P19&gt;0,$L$19,0)+IF(P21&gt;0,$L$21,0)+IF(P23&gt;0,$L$23,0)+IF(P25&gt;0,$L$25,0)+IF(P27&gt;0,$L$27,0)</f>
        <v>0.1875</v>
      </c>
      <c r="Q28" s="484">
        <f t="shared" si="12"/>
        <v>0.125</v>
      </c>
      <c r="R28" s="484">
        <f t="shared" si="12"/>
        <v>0.125</v>
      </c>
      <c r="S28" s="484">
        <f t="shared" si="12"/>
        <v>0.125</v>
      </c>
      <c r="T28" s="895">
        <f>SUM(O28:S28)</f>
        <v>0.75</v>
      </c>
      <c r="U28" s="1027" t="str">
        <f>K28</f>
        <v>Undervisningstimer ifølge skema</v>
      </c>
      <c r="V28" s="1027"/>
      <c r="W28" s="1027"/>
      <c r="X28" s="1027"/>
      <c r="Y28" s="484">
        <f>IF(Y9&gt;0,$V$9,0)+IF(Y11&gt;0,$V$11,0)+IF(Y13&gt;0,$V$13,0)+IF(Y15&gt;0,$V$15,0)+IF(Y17&gt;0,$V$17,0)+IF(Y19&gt;0,$V$19,0)+IF(Y21&gt;0,$V$21,0)+IF(Y23&gt;0,$V$23,0)+IF(Y25&gt;0,$V$25,0)+IF(Y27&gt;0,$V$27,0)</f>
        <v>0</v>
      </c>
      <c r="Z28" s="484">
        <f t="shared" ref="Z28:AB28" si="13">IF(Z9&gt;0,$V$9,0)+IF(Z11&gt;0,$V$11,0)+IF(Z13&gt;0,$V$13,0)+IF(Z15&gt;0,$V$15,0)+IF(Z17&gt;0,$V$17,0)+IF(Z19&gt;0,$V$19,0)+IF(Z21&gt;0,$V$21,0)+IF(Z23&gt;0,$V$23,0)+IF(Z25&gt;0,$V$25,0)+IF(Z27&gt;0,$V$27,0)</f>
        <v>0</v>
      </c>
      <c r="AA28" s="484">
        <f t="shared" si="13"/>
        <v>0</v>
      </c>
      <c r="AB28" s="484">
        <f t="shared" si="13"/>
        <v>0</v>
      </c>
      <c r="AC28" s="484">
        <f>IF(AC9&gt;0,$V$9,0)+IF(AC11&gt;0,$V$11,0)+IF(AC13&gt;0,$V$13,0)+IF(AC15&gt;0,$V$15,0)+IF(AC17&gt;0,$V$17,0)+IF(AC19&gt;0,$V$19,0)+IF(AC21&gt;0,$V$21,0)+IF(AC23&gt;0,$V$23,0)+IF(AC25&gt;0,$V$25,0)+IF(AC27&gt;0,$V$27,0)</f>
        <v>0</v>
      </c>
      <c r="AD28" s="895">
        <f>SUM(Y28:AC28)</f>
        <v>0</v>
      </c>
      <c r="AE28" s="1027" t="str">
        <f>U28</f>
        <v>Undervisningstimer ifølge skema</v>
      </c>
      <c r="AF28" s="1027"/>
      <c r="AG28" s="1027"/>
      <c r="AH28" s="1027"/>
      <c r="AI28" s="484">
        <f>IF(AI9&gt;0,$AF$9,0)+IF(AI11&gt;0,$AF$11,0)+IF(AI13&gt;0,$AF$13,0)+IF(AI15&gt;0,$AF$15,0)+IF(AI17&gt;0,$AF$17,0)+IF(AI19&gt;0,$AF$19,0)+IF(AI21&gt;0,$AF$21,0)+IF(AI23&gt;0,$AF$23,0)+IF(AI25&gt;0,$AF$25,0)+IF(AI27&gt;0,$AF$27,0)</f>
        <v>0</v>
      </c>
      <c r="AJ28" s="484">
        <f t="shared" ref="AJ28:AM28" si="14">IF(AJ9&gt;0,$AF$9,0)+IF(AJ11&gt;0,$AF$11,0)+IF(AJ13&gt;0,$AF$13,0)+IF(AJ15&gt;0,$AF$15,0)+IF(AJ17&gt;0,$AF$17,0)+IF(AJ19&gt;0,$AF$19,0)+IF(AJ21&gt;0,$AF$21,0)+IF(AJ23&gt;0,$AF$23,0)+IF(AJ25&gt;0,$AF$25,0)+IF(AJ27&gt;0,$AF$27,0)</f>
        <v>0</v>
      </c>
      <c r="AK28" s="484">
        <f t="shared" si="14"/>
        <v>0</v>
      </c>
      <c r="AL28" s="484">
        <f t="shared" si="14"/>
        <v>0</v>
      </c>
      <c r="AM28" s="484">
        <f t="shared" si="14"/>
        <v>0</v>
      </c>
      <c r="AN28" s="895">
        <f>SUM(AI28:AM28)</f>
        <v>0</v>
      </c>
    </row>
    <row r="29" spans="1:40" ht="33" hidden="1" customHeight="1">
      <c r="A29" s="1022" t="s">
        <v>263</v>
      </c>
      <c r="B29" s="1023"/>
      <c r="C29" s="1023"/>
      <c r="D29" s="1023"/>
      <c r="E29" s="381">
        <f>IF(E10&gt;0,B10,0)+IF(E12&gt;0,B12,0)+IF(E14&gt;0,B14,0)+IF(E16&gt;0,B16,0)+IF(E18&gt;0,B18,0)+IF(E20&gt;0,B20,0)+IF(E22&gt;0,B22,0)+IF(E24&gt;0,B24,0)+IF(E26&gt;0,B26,0)</f>
        <v>3.8194444444444448E-2</v>
      </c>
      <c r="F29" s="381">
        <f>IF(F10&gt;0,$B$10,0)+IF(F12&gt;0,$B$12,0)+IF(F14&gt;0,$B$14,0)+IF(F16&gt;0,$B$16,0)+IF(F18&gt;0,$B$18,0)+IF(F20&gt;0,$B$20,0)+IF(F22&gt;0,$B$22,0)+IF(F24&gt;0,$B$24,0)+IF(F26&gt;0,$B$26,0)</f>
        <v>4.5138888888888895E-2</v>
      </c>
      <c r="G29" s="381">
        <f>IF(G10&gt;0,$B$10,0)+IF(G12&gt;0,$B$12,0)+IF(G14&gt;0,$B$14,0)+IF(G16&gt;0,$B$16,0)+IF(G18&gt;0,$B$18,0)+IF(G20&gt;0,$B$20,0)+IF(G22&gt;0,$B$22,0)+IF(G24&gt;0,$B$24,0)+IF(G26&gt;0,$B$26,0)</f>
        <v>3.8194444444444448E-2</v>
      </c>
      <c r="H29" s="381">
        <f>IF(H10&gt;0,$B$10,0)+IF(H12&gt;0,$B$12,0)+IF(H14&gt;0,$B$14,0)+IF(H16&gt;0,$B$16,0)+IF(H18&gt;0,$B$18,0)+IF(H20&gt;0,$B$20,0)+IF(H22&gt;0,$B$22,0)+IF(H24&gt;0,$B$24,0)+IF(H26&gt;0,$B$26,0)</f>
        <v>3.8194444444444448E-2</v>
      </c>
      <c r="I29" s="381">
        <f>IF(I10&gt;0,$B$10,0)+IF(I12&gt;0,$B$12,0)+IF(I14&gt;0,$B$14,0)+IF(I16&gt;0,$B$16,0)+IF(I18&gt;0,$B$18,0)+IF(I20&gt;0,$B$20,0)+IF(I22&gt;0,$B$22,0)+IF(I24&gt;0,$B$24,0)+IF(I26&gt;0,$B$26,0)</f>
        <v>1.3888888888888888E-2</v>
      </c>
      <c r="K29" s="1023" t="str">
        <f>A29</f>
        <v>Pauser/tilsynstid ifølge skema</v>
      </c>
      <c r="L29" s="1023"/>
      <c r="M29" s="1023"/>
      <c r="N29" s="1023"/>
      <c r="O29" s="381">
        <f>IF(O10&gt;0,$L$10,0)+IF(O12&gt;0,$L$12,0)+IF(O14&gt;0,$L$14,0)+IF(O16&gt;0,$L$16,0)+IF(O18&gt;0,$L$18,0)+IF(O20&gt;0,$L$20,0)+IF(O22&gt;0,$L$22,0)+IF(O24&gt;0,$L$24,0)+IF(O26&gt;0,$L$26,0)</f>
        <v>4.5138888888888895E-2</v>
      </c>
      <c r="P29" s="381">
        <f t="shared" ref="P29:R29" si="15">IF(P10&gt;0,$L$10,0)+IF(P12&gt;0,$L$12,0)+IF(P14&gt;0,$L$14,0)+IF(P16&gt;0,$L$16,0)+IF(P18&gt;0,$L$18,0)+IF(P20&gt;0,$L$20,0)+IF(P22&gt;0,$L$22,0)+IF(P24&gt;0,$L$24,0)+IF(P26&gt;0,$L$26,0)</f>
        <v>4.5138888888888895E-2</v>
      </c>
      <c r="Q29" s="381">
        <f t="shared" si="15"/>
        <v>2.0833333333333336E-2</v>
      </c>
      <c r="R29" s="381">
        <f t="shared" si="15"/>
        <v>2.0833333333333336E-2</v>
      </c>
      <c r="S29" s="381">
        <f>IF(S10&gt;0,$L$10,0)+IF(S12&gt;0,$L$12,0)+IF(S14&gt;0,$L$14,0)+IF(S16&gt;0,$L$16,0)+IF(S18&gt;0,$L$18,0)+IF(S20&gt;0,$L$20,0)+IF(S22&gt;0,$L$22,0)+IF(S24&gt;0,$L$24,0)+IF(S26&gt;0,$L$26,0)</f>
        <v>2.0833333333333336E-2</v>
      </c>
      <c r="U29" s="1023" t="str">
        <f>K29</f>
        <v>Pauser/tilsynstid ifølge skema</v>
      </c>
      <c r="V29" s="1023"/>
      <c r="W29" s="1023"/>
      <c r="X29" s="1023"/>
      <c r="Y29" s="381">
        <f>IF(Y10&gt;0,$V$10,0)+IF(Y12&gt;0,$V$12,0)+IF(Y14&gt;0,$V$14,0)+IF(Y16&gt;0,$V$16,0)+IF(Y18&gt;0,$V$18,0)+IF(Y20&gt;0,$V$20,0)+IF(Y22&gt;0,$V$22,0)+IF(Y24&gt;0,$V$24,0)+IF(Y26&gt;0,$V$26,0)</f>
        <v>0</v>
      </c>
      <c r="Z29" s="381">
        <f t="shared" ref="Z29:AC29" si="16">IF(Z10&gt;0,$V$10,0)+IF(Z12&gt;0,$V$12,0)+IF(Z14&gt;0,$V$14,0)+IF(Z16&gt;0,$V$16,0)+IF(Z18&gt;0,$V$18,0)+IF(Z20&gt;0,$V$20,0)+IF(Z22&gt;0,$V$22,0)+IF(Z24&gt;0,$V$24,0)+IF(Z26&gt;0,$V$26,0)</f>
        <v>0</v>
      </c>
      <c r="AA29" s="381">
        <f t="shared" si="16"/>
        <v>0</v>
      </c>
      <c r="AB29" s="381">
        <f t="shared" si="16"/>
        <v>0</v>
      </c>
      <c r="AC29" s="381">
        <f t="shared" si="16"/>
        <v>0</v>
      </c>
      <c r="AE29" s="1023" t="str">
        <f>U29</f>
        <v>Pauser/tilsynstid ifølge skema</v>
      </c>
      <c r="AF29" s="1023"/>
      <c r="AG29" s="1023"/>
      <c r="AH29" s="1023"/>
      <c r="AI29" s="381">
        <f>IF(AI10&gt;0,$AF$10,0)+IF(AI12&gt;0,$AF$12,0)+IF(AI14&gt;0,$AF$14,0)+IF(AI16&gt;0,$AF$16,0)+IF(AI18&gt;0,$AF$18,0)+IF(AI20&gt;0,$AF$20,0)+IF(AI22&gt;0,$AF$22,0)+IF(AI24&gt;0,$AF$24,0)+IF(AI26&gt;0,$AF$26,0)</f>
        <v>0</v>
      </c>
      <c r="AJ29" s="381">
        <f t="shared" ref="AJ29:AM29" si="17">IF(AJ10&gt;0,$AF$10,0)+IF(AJ12&gt;0,$AF$12,0)+IF(AJ14&gt;0,$AF$14,0)+IF(AJ16&gt;0,$AF$16,0)+IF(AJ18&gt;0,$AF$18,0)+IF(AJ20&gt;0,$AF$20,0)+IF(AJ22&gt;0,$AF$22,0)+IF(AJ24&gt;0,$AF$24,0)+IF(AJ26&gt;0,$AF$26,0)</f>
        <v>0</v>
      </c>
      <c r="AK29" s="381">
        <f t="shared" si="17"/>
        <v>0</v>
      </c>
      <c r="AL29" s="381">
        <f t="shared" si="17"/>
        <v>0</v>
      </c>
      <c r="AM29" s="381">
        <f t="shared" si="17"/>
        <v>0</v>
      </c>
    </row>
    <row r="30" spans="1:40" ht="33" hidden="1" customHeight="1">
      <c r="A30" s="1020" t="str">
        <f>"Antal ugedage der læses "&amp;A3&amp;":"</f>
        <v>Antal ugedage der læses Skema 1:</v>
      </c>
      <c r="B30" s="1021"/>
      <c r="C30" s="1021"/>
      <c r="D30" s="1021"/>
      <c r="E30" s="410">
        <f>August!$G$54+September!$G$52+Oktober!$G$53+November!$G$52+December!$G$53+Januar!$G$53+Februar!$G$50+Marts!$G$53+April!$G$52+Maj!$G$53+Juni!$G$52+Juli!$G$53</f>
        <v>15</v>
      </c>
      <c r="F30" s="528">
        <f>August!$G$55+September!$G$53+Oktober!$G$54+November!$G$53+December!$G$54+Januar!$G$54+Februar!$G$51+Marts!$G$54+April!$G$53+Maj!$G$54+Juni!$G$53+Juli!$G$54</f>
        <v>16</v>
      </c>
      <c r="G30" s="528">
        <f>August!$G$56+September!$G$54+Oktober!$G$55+November!$G$54+December!$G$55+Januar!$G$55+Februar!$G$52+Marts!$G$55+April!$G$54+Maj!$G$55+Juni!$G$54+Juli!$G$55</f>
        <v>15</v>
      </c>
      <c r="H30" s="528">
        <f>August!$G$57+September!$G$55+Oktober!$G$56+November!$G$55+December!$G$56+Januar!$G$56+Februar!$G$53+Marts!$G$56+April!$G$55+Maj!$G$56+Juni!$G$55+Juli!$G$56</f>
        <v>15</v>
      </c>
      <c r="I30" s="528">
        <f>August!$G$58+September!$G$56+Oktober!$G$57+November!$G$56+December!$G$57+Januar!$G$57+Februar!$G$54+Marts!$G$57+April!$G$56+Maj!$G$57+Juni!$G$56+Juli!$G$57</f>
        <v>16</v>
      </c>
      <c r="K30" s="411"/>
      <c r="L30" s="412"/>
      <c r="M30" s="413"/>
      <c r="N30" s="413"/>
      <c r="O30" s="410">
        <f>August!$G$60+September!$G$58+Oktober!$G$59+November!$G$58+December!$G$59+Januar!$G$59+Februar!$G$56+Marts!$G$59+April!$G$58+Maj!$G$59+Juni!$G$58+Juli!$G$59</f>
        <v>17</v>
      </c>
      <c r="P30" s="528">
        <f>August!$G$61+September!$G$59+Oktober!$G$60+November!$G$59+December!$G$60+Januar!$G$60+Februar!$G$57+Marts!$G$60+April!$G$59+Maj!$G$60+Juni!$G$59+Juli!$G$60</f>
        <v>19</v>
      </c>
      <c r="Q30" s="528">
        <f>August!$G$62+September!$G$60+Oktober!$G$61+November!$G$60+December!$G$61+Januar!$G$61+Februar!$G$58+Marts!$G$61+April!$G$60+Maj!$G$61+Juni!$G$60+Juli!$G$61</f>
        <v>20</v>
      </c>
      <c r="R30" s="528">
        <f>August!$G$63+September!$G$61+Oktober!$G$62+November!$G$61+December!$G$62+Januar!$G$62+Februar!$G$59+Marts!$G$62+April!$G$61+Maj!$G$62+Juni!$G$61+Juli!$G$62</f>
        <v>19</v>
      </c>
      <c r="S30" s="528">
        <f>August!$G$64+September!$G$62+Oktober!$G$63+November!$G$62+December!$G$63+Januar!$G$63+Februar!$G$60+Marts!$G$63+April!$G$62+Maj!$G$63+Juni!$G$62+Juli!$G$63</f>
        <v>18</v>
      </c>
      <c r="U30" s="411"/>
      <c r="V30" s="412"/>
      <c r="W30" s="413"/>
      <c r="X30" s="413"/>
      <c r="Y30" s="410">
        <f>August!$G$66+September!$G$64+Oktober!$G$65+November!$G$64+December!$G$65+Januar!$G$65+Februar!$G$62+Marts!$G$65+April!$G$64+Maj!$G$65+Juni!$G$64+Juli!$G$65</f>
        <v>0</v>
      </c>
      <c r="Z30" s="528">
        <f>August!$G$67+September!$G$65+Oktober!$G$66+November!$G$65+December!$G$66+Januar!$G$66+Februar!$G$63+Marts!$G$66+April!$G$65+Maj!$G$66+Juni!$G$65+Juli!$G$66</f>
        <v>0</v>
      </c>
      <c r="AA30" s="528">
        <f>August!$G$68+September!$G$66+Oktober!$G$67+November!$G$66+December!$G$67+Januar!$G$67+Februar!$G$64+Marts!$G$67+April!$G$66+Maj!$G$67+Juni!$G$66+Juli!$G$67</f>
        <v>0</v>
      </c>
      <c r="AB30" s="528">
        <f>August!$G$69+September!$G$67+Oktober!$G$68+November!$G$67+December!$G$68+Januar!$G$68+Februar!$G$65+Marts!$G$68+April!$G$67+Maj!$G$68+Juni!$G$67+Juli!$G$68</f>
        <v>0</v>
      </c>
      <c r="AC30" s="528">
        <f>August!$G$70+September!$G$68+Oktober!$G$69+November!$G$68+December!$G$69+Januar!$G$69+Februar!$G$66+Marts!$G$69+April!$G$68+Maj!$G$69+Juni!$G$68+Juli!$G$69</f>
        <v>0</v>
      </c>
      <c r="AE30" s="411"/>
      <c r="AF30" s="412"/>
      <c r="AG30" s="413"/>
      <c r="AH30" s="413"/>
      <c r="AI30" s="410">
        <f>August!$G$72+September!$G$70+Oktober!$G$71+November!$G$70+December!$G$71+Januar!$G$71+Februar!$G$68+Marts!$G$71+April!$G$70+Maj!$G$71+Juni!$G$70+Juli!$G$71</f>
        <v>0</v>
      </c>
      <c r="AJ30" s="528">
        <f>August!$G$73+September!$G$71+Oktober!$G$72+November!$G$71+December!$G$72+Januar!$G$72+Februar!$G$69+Marts!$G$72+April!$G$71+Maj!$G$72+Juni!$G$71+Juli!$G$72</f>
        <v>0</v>
      </c>
      <c r="AK30" s="528">
        <f>August!$G$74+September!$G$72+Oktober!$G$73+November!$G$72+December!$G$73+Januar!$G$73+Februar!$G$70+Marts!$G$73+April!$G$72+Maj!$G$73+Juni!$G$72+Juli!$G$73</f>
        <v>0</v>
      </c>
      <c r="AL30" s="528">
        <f>August!$G$75+September!$G$73+Oktober!$G$74+November!$G$73+December!$G$74+Januar!$G$74+Februar!$G$71+Marts!$G$74+April!$G$73+Maj!$G$74+Juni!$G$73+Juli!$G$74</f>
        <v>0</v>
      </c>
      <c r="AM30" s="528">
        <f>August!$G$76+September!$G$74+Oktober!$G$75+November!$G$74+December!$G$75+Januar!$G$75+Februar!$G$72+Marts!$G$75+April!$G$74+Maj!$G$75+Juni!$G$74+Juli!$G$75</f>
        <v>0</v>
      </c>
      <c r="AN30">
        <f>SUM(D30:AM30)</f>
        <v>170</v>
      </c>
    </row>
    <row r="31" spans="1:40" hidden="1">
      <c r="E31" s="180" t="s">
        <v>289</v>
      </c>
    </row>
    <row r="32" spans="1:40" hidden="1">
      <c r="A32" t="s">
        <v>288</v>
      </c>
      <c r="I32" t="s">
        <v>351</v>
      </c>
    </row>
    <row r="33" spans="1:41" hidden="1"/>
    <row r="34" spans="1:41" hidden="1">
      <c r="E34" s="1">
        <f>E28*24</f>
        <v>3.75</v>
      </c>
      <c r="F34" s="1">
        <f t="shared" ref="F34:AM34" si="18">F28*24</f>
        <v>5.25</v>
      </c>
      <c r="G34" s="1">
        <f t="shared" si="18"/>
        <v>3.75</v>
      </c>
      <c r="H34" s="1">
        <f t="shared" si="18"/>
        <v>3.75</v>
      </c>
      <c r="I34" s="1">
        <f t="shared" si="18"/>
        <v>2.25</v>
      </c>
      <c r="J34" s="1">
        <f t="shared" si="18"/>
        <v>18.75</v>
      </c>
      <c r="K34" s="1"/>
      <c r="L34" s="1">
        <f t="shared" si="18"/>
        <v>0</v>
      </c>
      <c r="M34" s="1">
        <f t="shared" si="18"/>
        <v>0</v>
      </c>
      <c r="N34" s="1">
        <f t="shared" si="18"/>
        <v>0</v>
      </c>
      <c r="O34" s="1">
        <f t="shared" si="18"/>
        <v>4.5</v>
      </c>
      <c r="P34" s="1">
        <f t="shared" si="18"/>
        <v>4.5</v>
      </c>
      <c r="Q34" s="1">
        <f t="shared" si="18"/>
        <v>3</v>
      </c>
      <c r="R34" s="1">
        <f t="shared" si="18"/>
        <v>3</v>
      </c>
      <c r="S34" s="1">
        <f t="shared" si="18"/>
        <v>3</v>
      </c>
      <c r="T34" s="1">
        <f t="shared" si="18"/>
        <v>18</v>
      </c>
      <c r="U34" s="1"/>
      <c r="V34" s="1">
        <f t="shared" si="18"/>
        <v>0</v>
      </c>
      <c r="W34" s="1">
        <f t="shared" si="18"/>
        <v>0</v>
      </c>
      <c r="X34" s="1">
        <f t="shared" si="18"/>
        <v>0</v>
      </c>
      <c r="Y34" s="1">
        <f t="shared" si="18"/>
        <v>0</v>
      </c>
      <c r="Z34" s="1">
        <f t="shared" si="18"/>
        <v>0</v>
      </c>
      <c r="AA34" s="1">
        <f t="shared" si="18"/>
        <v>0</v>
      </c>
      <c r="AB34" s="1">
        <f t="shared" si="18"/>
        <v>0</v>
      </c>
      <c r="AC34" s="1">
        <f t="shared" si="18"/>
        <v>0</v>
      </c>
      <c r="AD34" s="1">
        <f t="shared" si="18"/>
        <v>0</v>
      </c>
      <c r="AE34" s="1"/>
      <c r="AF34" s="1">
        <f t="shared" si="18"/>
        <v>0</v>
      </c>
      <c r="AG34" s="1">
        <f t="shared" si="18"/>
        <v>0</v>
      </c>
      <c r="AH34" s="1">
        <f t="shared" si="18"/>
        <v>0</v>
      </c>
      <c r="AI34" s="1">
        <f t="shared" si="18"/>
        <v>0</v>
      </c>
      <c r="AJ34" s="1">
        <f t="shared" si="18"/>
        <v>0</v>
      </c>
      <c r="AK34" s="1">
        <f t="shared" si="18"/>
        <v>0</v>
      </c>
      <c r="AL34" s="1">
        <f t="shared" si="18"/>
        <v>0</v>
      </c>
      <c r="AM34" s="1">
        <f t="shared" si="18"/>
        <v>0</v>
      </c>
      <c r="AN34" s="421">
        <f>SUM(E34:AM34)</f>
        <v>73.5</v>
      </c>
    </row>
    <row r="35" spans="1:41" hidden="1">
      <c r="A35" t="s">
        <v>293</v>
      </c>
      <c r="E35" s="1">
        <f>E34*E30</f>
        <v>56.25</v>
      </c>
      <c r="F35" s="1">
        <f t="shared" ref="F35:AM35" si="19">F34*F30</f>
        <v>84</v>
      </c>
      <c r="G35" s="1">
        <f t="shared" si="19"/>
        <v>56.25</v>
      </c>
      <c r="H35" s="1">
        <f t="shared" si="19"/>
        <v>56.25</v>
      </c>
      <c r="I35" s="1">
        <f t="shared" si="19"/>
        <v>36</v>
      </c>
      <c r="J35" s="1">
        <f t="shared" si="19"/>
        <v>0</v>
      </c>
      <c r="K35" s="1"/>
      <c r="L35" s="1">
        <f t="shared" si="19"/>
        <v>0</v>
      </c>
      <c r="M35" s="1">
        <f t="shared" si="19"/>
        <v>0</v>
      </c>
      <c r="N35" s="1">
        <f t="shared" si="19"/>
        <v>0</v>
      </c>
      <c r="O35" s="1">
        <f t="shared" si="19"/>
        <v>76.5</v>
      </c>
      <c r="P35" s="1">
        <f t="shared" si="19"/>
        <v>85.5</v>
      </c>
      <c r="Q35" s="1">
        <f t="shared" si="19"/>
        <v>60</v>
      </c>
      <c r="R35" s="1">
        <f t="shared" si="19"/>
        <v>57</v>
      </c>
      <c r="S35" s="1">
        <f t="shared" si="19"/>
        <v>54</v>
      </c>
      <c r="T35" s="1">
        <f t="shared" si="19"/>
        <v>0</v>
      </c>
      <c r="U35" s="1"/>
      <c r="V35" s="1">
        <f t="shared" si="19"/>
        <v>0</v>
      </c>
      <c r="W35" s="1">
        <f t="shared" si="19"/>
        <v>0</v>
      </c>
      <c r="X35" s="1">
        <f t="shared" si="19"/>
        <v>0</v>
      </c>
      <c r="Y35" s="1">
        <f t="shared" si="19"/>
        <v>0</v>
      </c>
      <c r="Z35" s="1">
        <f t="shared" si="19"/>
        <v>0</v>
      </c>
      <c r="AA35" s="1">
        <f t="shared" si="19"/>
        <v>0</v>
      </c>
      <c r="AB35" s="1">
        <f t="shared" si="19"/>
        <v>0</v>
      </c>
      <c r="AC35" s="1">
        <f t="shared" si="19"/>
        <v>0</v>
      </c>
      <c r="AD35" s="1">
        <f t="shared" si="19"/>
        <v>0</v>
      </c>
      <c r="AE35" s="1"/>
      <c r="AF35" s="1">
        <f t="shared" si="19"/>
        <v>0</v>
      </c>
      <c r="AG35" s="1">
        <f t="shared" si="19"/>
        <v>0</v>
      </c>
      <c r="AH35" s="1">
        <f t="shared" si="19"/>
        <v>0</v>
      </c>
      <c r="AI35" s="1">
        <f t="shared" si="19"/>
        <v>0</v>
      </c>
      <c r="AJ35" s="1">
        <f t="shared" si="19"/>
        <v>0</v>
      </c>
      <c r="AK35" s="1">
        <f t="shared" si="19"/>
        <v>0</v>
      </c>
      <c r="AL35" s="1">
        <f t="shared" si="19"/>
        <v>0</v>
      </c>
      <c r="AM35" s="1">
        <f t="shared" si="19"/>
        <v>0</v>
      </c>
      <c r="AN35" s="421">
        <f t="shared" ref="AN35:AN38" si="20">SUM(E35:AM35)</f>
        <v>621.75</v>
      </c>
    </row>
    <row r="36" spans="1:41" hidden="1">
      <c r="AN36" s="421"/>
    </row>
    <row r="37" spans="1:41" hidden="1">
      <c r="A37" t="s">
        <v>296</v>
      </c>
      <c r="E37" s="1">
        <f>E29*24</f>
        <v>0.91666666666666674</v>
      </c>
      <c r="F37" s="1">
        <f t="shared" ref="F37:AM37" si="21">F29*24</f>
        <v>1.0833333333333335</v>
      </c>
      <c r="G37" s="1">
        <f t="shared" si="21"/>
        <v>0.91666666666666674</v>
      </c>
      <c r="H37" s="1">
        <f t="shared" si="21"/>
        <v>0.91666666666666674</v>
      </c>
      <c r="I37" s="1">
        <f t="shared" si="21"/>
        <v>0.33333333333333331</v>
      </c>
      <c r="J37" s="1">
        <f t="shared" si="21"/>
        <v>0</v>
      </c>
      <c r="K37" s="1"/>
      <c r="L37" s="1">
        <f t="shared" si="21"/>
        <v>0</v>
      </c>
      <c r="M37" s="1">
        <f t="shared" si="21"/>
        <v>0</v>
      </c>
      <c r="N37" s="1">
        <f t="shared" si="21"/>
        <v>0</v>
      </c>
      <c r="O37" s="1">
        <f t="shared" si="21"/>
        <v>1.0833333333333335</v>
      </c>
      <c r="P37" s="1">
        <f t="shared" si="21"/>
        <v>1.0833333333333335</v>
      </c>
      <c r="Q37" s="1">
        <f t="shared" si="21"/>
        <v>0.5</v>
      </c>
      <c r="R37" s="1">
        <f t="shared" si="21"/>
        <v>0.5</v>
      </c>
      <c r="S37" s="1">
        <f t="shared" si="21"/>
        <v>0.5</v>
      </c>
      <c r="T37" s="1">
        <f t="shared" si="21"/>
        <v>0</v>
      </c>
      <c r="U37" s="1"/>
      <c r="V37" s="1">
        <f t="shared" si="21"/>
        <v>0</v>
      </c>
      <c r="W37" s="1">
        <f t="shared" si="21"/>
        <v>0</v>
      </c>
      <c r="X37" s="1">
        <f t="shared" si="21"/>
        <v>0</v>
      </c>
      <c r="Y37" s="1">
        <f t="shared" si="21"/>
        <v>0</v>
      </c>
      <c r="Z37" s="1">
        <f t="shared" si="21"/>
        <v>0</v>
      </c>
      <c r="AA37" s="1">
        <f t="shared" si="21"/>
        <v>0</v>
      </c>
      <c r="AB37" s="1">
        <f t="shared" si="21"/>
        <v>0</v>
      </c>
      <c r="AC37" s="1">
        <f t="shared" si="21"/>
        <v>0</v>
      </c>
      <c r="AD37" s="1">
        <f t="shared" si="21"/>
        <v>0</v>
      </c>
      <c r="AE37" s="1"/>
      <c r="AF37" s="1">
        <f t="shared" si="21"/>
        <v>0</v>
      </c>
      <c r="AG37" s="1">
        <f t="shared" si="21"/>
        <v>0</v>
      </c>
      <c r="AH37" s="1">
        <f t="shared" si="21"/>
        <v>0</v>
      </c>
      <c r="AI37" s="1">
        <f t="shared" si="21"/>
        <v>0</v>
      </c>
      <c r="AJ37" s="1">
        <f t="shared" si="21"/>
        <v>0</v>
      </c>
      <c r="AK37" s="1">
        <f t="shared" si="21"/>
        <v>0</v>
      </c>
      <c r="AL37" s="1">
        <f t="shared" si="21"/>
        <v>0</v>
      </c>
      <c r="AM37" s="1">
        <f t="shared" si="21"/>
        <v>0</v>
      </c>
      <c r="AN37" s="421">
        <f t="shared" si="20"/>
        <v>7.8333333333333339</v>
      </c>
    </row>
    <row r="38" spans="1:41" hidden="1">
      <c r="E38" s="1">
        <f>E37*E30</f>
        <v>13.750000000000002</v>
      </c>
      <c r="F38" s="1">
        <f t="shared" ref="F38:AM38" si="22">F37*F30</f>
        <v>17.333333333333336</v>
      </c>
      <c r="G38" s="1">
        <f t="shared" si="22"/>
        <v>13.750000000000002</v>
      </c>
      <c r="H38" s="1">
        <f t="shared" si="22"/>
        <v>13.750000000000002</v>
      </c>
      <c r="I38" s="1">
        <f t="shared" si="22"/>
        <v>5.333333333333333</v>
      </c>
      <c r="J38" s="1">
        <f t="shared" si="22"/>
        <v>0</v>
      </c>
      <c r="K38" s="1"/>
      <c r="L38" s="1">
        <f t="shared" si="22"/>
        <v>0</v>
      </c>
      <c r="M38" s="1">
        <f t="shared" si="22"/>
        <v>0</v>
      </c>
      <c r="N38" s="1">
        <f t="shared" si="22"/>
        <v>0</v>
      </c>
      <c r="O38" s="1">
        <f t="shared" si="22"/>
        <v>18.416666666666668</v>
      </c>
      <c r="P38" s="1">
        <f t="shared" si="22"/>
        <v>20.583333333333336</v>
      </c>
      <c r="Q38" s="1">
        <f t="shared" si="22"/>
        <v>10</v>
      </c>
      <c r="R38" s="1">
        <f t="shared" si="22"/>
        <v>9.5</v>
      </c>
      <c r="S38" s="1">
        <f t="shared" si="22"/>
        <v>9</v>
      </c>
      <c r="T38" s="1">
        <f t="shared" si="22"/>
        <v>0</v>
      </c>
      <c r="U38" s="1"/>
      <c r="V38" s="1">
        <f t="shared" si="22"/>
        <v>0</v>
      </c>
      <c r="W38" s="1">
        <f t="shared" si="22"/>
        <v>0</v>
      </c>
      <c r="X38" s="1">
        <f t="shared" si="22"/>
        <v>0</v>
      </c>
      <c r="Y38" s="1">
        <f t="shared" si="22"/>
        <v>0</v>
      </c>
      <c r="Z38" s="1">
        <f t="shared" si="22"/>
        <v>0</v>
      </c>
      <c r="AA38" s="1">
        <f t="shared" si="22"/>
        <v>0</v>
      </c>
      <c r="AB38" s="1">
        <f t="shared" si="22"/>
        <v>0</v>
      </c>
      <c r="AC38" s="1">
        <f t="shared" si="22"/>
        <v>0</v>
      </c>
      <c r="AD38" s="1">
        <f t="shared" si="22"/>
        <v>0</v>
      </c>
      <c r="AE38" s="1"/>
      <c r="AF38" s="1">
        <f t="shared" si="22"/>
        <v>0</v>
      </c>
      <c r="AG38" s="1">
        <f t="shared" si="22"/>
        <v>0</v>
      </c>
      <c r="AH38" s="1">
        <f t="shared" si="22"/>
        <v>0</v>
      </c>
      <c r="AI38" s="1">
        <f t="shared" si="22"/>
        <v>0</v>
      </c>
      <c r="AJ38" s="1">
        <f t="shared" si="22"/>
        <v>0</v>
      </c>
      <c r="AK38" s="1">
        <f t="shared" si="22"/>
        <v>0</v>
      </c>
      <c r="AL38" s="1">
        <f t="shared" si="22"/>
        <v>0</v>
      </c>
      <c r="AM38" s="1">
        <f t="shared" si="22"/>
        <v>0</v>
      </c>
      <c r="AN38" s="421">
        <f t="shared" si="20"/>
        <v>131.41666666666669</v>
      </c>
    </row>
    <row r="39" spans="1:41" hidden="1">
      <c r="A39" t="s">
        <v>300</v>
      </c>
      <c r="AN39" s="1">
        <f>August!CB41+August!CC41+September!CB39+September!CC39+Oktober!CB40+Oktober!CC40+November!CB39+November!CC39+December!CB40+December!CC40+Januar!CB40+Januar!CC40+Februar!CB37+Februar!CC37+Marts!CB40+Marts!CC40+April!CB39+April!CC39+Maj!CB40+Maj!CC40+Juni!CB39+Juni!CC39+Juli!CB40+Juli!CC40</f>
        <v>21</v>
      </c>
      <c r="AO39" t="s">
        <v>370</v>
      </c>
    </row>
    <row r="40" spans="1:41" ht="17" thickBot="1">
      <c r="AN40" s="1"/>
    </row>
    <row r="41" spans="1:41" ht="52" customHeight="1" thickBot="1">
      <c r="A41" s="1048" t="s">
        <v>349</v>
      </c>
      <c r="B41" s="1049"/>
      <c r="C41" s="1049"/>
      <c r="D41" s="1049"/>
      <c r="E41" s="1049"/>
      <c r="F41" s="1049"/>
      <c r="G41" s="1049"/>
      <c r="H41" s="1049"/>
      <c r="I41" s="1050"/>
      <c r="J41" s="724"/>
      <c r="K41" s="655" t="s">
        <v>277</v>
      </c>
      <c r="L41" s="656" t="s">
        <v>279</v>
      </c>
      <c r="M41" s="655" t="s">
        <v>280</v>
      </c>
      <c r="N41" s="656" t="s">
        <v>281</v>
      </c>
      <c r="O41" s="655" t="s">
        <v>331</v>
      </c>
      <c r="P41" s="656" t="s">
        <v>332</v>
      </c>
      <c r="Q41" s="655" t="s">
        <v>333</v>
      </c>
      <c r="R41" s="656" t="s">
        <v>334</v>
      </c>
      <c r="S41" s="655" t="s">
        <v>335</v>
      </c>
      <c r="T41" s="656" t="s">
        <v>336</v>
      </c>
      <c r="U41" s="655" t="s">
        <v>337</v>
      </c>
      <c r="V41" s="656" t="s">
        <v>338</v>
      </c>
      <c r="W41" s="580"/>
    </row>
    <row r="42" spans="1:41" ht="44" customHeight="1">
      <c r="A42" s="1051" t="s">
        <v>421</v>
      </c>
      <c r="B42" s="1052"/>
      <c r="C42" s="1052"/>
      <c r="D42" s="1052"/>
      <c r="E42" s="1052"/>
      <c r="F42" s="1053"/>
      <c r="G42" s="1044" t="s">
        <v>276</v>
      </c>
      <c r="H42" s="1044"/>
      <c r="I42" s="637" t="s">
        <v>278</v>
      </c>
      <c r="J42" s="724"/>
      <c r="K42" s="655"/>
      <c r="L42" s="656"/>
      <c r="M42" s="655"/>
      <c r="N42" s="656"/>
      <c r="O42" s="655"/>
      <c r="P42" s="656"/>
      <c r="Q42" s="655"/>
      <c r="R42" s="656"/>
      <c r="S42" s="655"/>
      <c r="T42" s="656"/>
      <c r="U42" s="655"/>
      <c r="V42" s="656"/>
      <c r="W42" s="580"/>
    </row>
    <row r="43" spans="1:41" ht="16" customHeight="1">
      <c r="A43" s="1028" t="s">
        <v>587</v>
      </c>
      <c r="B43" s="1029"/>
      <c r="C43" s="1029"/>
      <c r="D43" s="1029"/>
      <c r="E43" s="1029"/>
      <c r="F43" s="1025"/>
      <c r="G43" s="1024" t="s">
        <v>277</v>
      </c>
      <c r="H43" s="1025"/>
      <c r="I43" s="653">
        <v>10</v>
      </c>
      <c r="J43" s="724"/>
      <c r="K43" s="655">
        <f t="shared" ref="K43:K66" si="23">IF(G43="August",I43,0)</f>
        <v>10</v>
      </c>
      <c r="L43" s="655">
        <f t="shared" ref="L43:L66" si="24">IF(G43="September",I43,0)</f>
        <v>0</v>
      </c>
      <c r="M43" s="655">
        <f t="shared" ref="M43:M66" si="25">IF(G43="Oktober",I43,0)</f>
        <v>0</v>
      </c>
      <c r="N43" s="655">
        <f t="shared" ref="N43:N66" si="26">IF(G43="November",I43,0)</f>
        <v>0</v>
      </c>
      <c r="O43" s="655">
        <f t="shared" ref="O43:O66" si="27">IF(G43="December",I43,0)</f>
        <v>0</v>
      </c>
      <c r="P43" s="655">
        <f t="shared" ref="P43:P66" si="28">IF(G43="Januar",I43,0)</f>
        <v>0</v>
      </c>
      <c r="Q43" s="655">
        <f t="shared" ref="Q43:Q66" si="29">IF(G43="Februar",I43,0)</f>
        <v>0</v>
      </c>
      <c r="R43" s="655">
        <f t="shared" ref="R43:R66" si="30">IF(G43="Marts",I43,0)</f>
        <v>0</v>
      </c>
      <c r="S43" s="655">
        <f t="shared" ref="S43:S66" si="31">IF(G43="April",I43,0)</f>
        <v>0</v>
      </c>
      <c r="T43" s="655">
        <f t="shared" ref="T43:T66" si="32">IF(G43="Maj",I43,0)</f>
        <v>0</v>
      </c>
      <c r="U43" s="655">
        <f t="shared" ref="U43:U66" si="33">IF(G43="Juni",I43,0)</f>
        <v>0</v>
      </c>
      <c r="V43" s="655">
        <f t="shared" ref="V43:V66" si="34">IF(G43="Juli",I43,0)</f>
        <v>0</v>
      </c>
      <c r="W43" s="580"/>
    </row>
    <row r="44" spans="1:41">
      <c r="A44" s="1028" t="s">
        <v>588</v>
      </c>
      <c r="B44" s="1029"/>
      <c r="C44" s="1029"/>
      <c r="D44" s="1029"/>
      <c r="E44" s="1029"/>
      <c r="F44" s="1025"/>
      <c r="G44" s="1024" t="s">
        <v>332</v>
      </c>
      <c r="H44" s="1025"/>
      <c r="I44" s="653">
        <v>10</v>
      </c>
      <c r="J44" s="724"/>
      <c r="K44" s="655">
        <f t="shared" si="23"/>
        <v>0</v>
      </c>
      <c r="L44" s="655">
        <f t="shared" si="24"/>
        <v>0</v>
      </c>
      <c r="M44" s="655">
        <f t="shared" si="25"/>
        <v>0</v>
      </c>
      <c r="N44" s="655">
        <f t="shared" si="26"/>
        <v>0</v>
      </c>
      <c r="O44" s="655">
        <f t="shared" si="27"/>
        <v>0</v>
      </c>
      <c r="P44" s="655">
        <f t="shared" si="28"/>
        <v>10</v>
      </c>
      <c r="Q44" s="655">
        <f t="shared" si="29"/>
        <v>0</v>
      </c>
      <c r="R44" s="655">
        <f t="shared" si="30"/>
        <v>0</v>
      </c>
      <c r="S44" s="655">
        <f t="shared" si="31"/>
        <v>0</v>
      </c>
      <c r="T44" s="655">
        <f t="shared" si="32"/>
        <v>0</v>
      </c>
      <c r="U44" s="655">
        <f t="shared" si="33"/>
        <v>0</v>
      </c>
      <c r="V44" s="655">
        <f t="shared" si="34"/>
        <v>0</v>
      </c>
      <c r="W44" s="580"/>
    </row>
    <row r="45" spans="1:41">
      <c r="A45" s="1028"/>
      <c r="B45" s="1029"/>
      <c r="C45" s="1029"/>
      <c r="D45" s="1029"/>
      <c r="E45" s="1029"/>
      <c r="F45" s="1025"/>
      <c r="G45" s="1024"/>
      <c r="H45" s="1025"/>
      <c r="I45" s="653"/>
      <c r="J45" s="724"/>
      <c r="K45" s="655">
        <f t="shared" si="23"/>
        <v>0</v>
      </c>
      <c r="L45" s="655">
        <f t="shared" si="24"/>
        <v>0</v>
      </c>
      <c r="M45" s="655">
        <f t="shared" si="25"/>
        <v>0</v>
      </c>
      <c r="N45" s="655">
        <f t="shared" si="26"/>
        <v>0</v>
      </c>
      <c r="O45" s="655">
        <f t="shared" si="27"/>
        <v>0</v>
      </c>
      <c r="P45" s="655">
        <f t="shared" si="28"/>
        <v>0</v>
      </c>
      <c r="Q45" s="655">
        <f t="shared" si="29"/>
        <v>0</v>
      </c>
      <c r="R45" s="655">
        <f t="shared" si="30"/>
        <v>0</v>
      </c>
      <c r="S45" s="655">
        <f t="shared" si="31"/>
        <v>0</v>
      </c>
      <c r="T45" s="655">
        <f t="shared" si="32"/>
        <v>0</v>
      </c>
      <c r="U45" s="655">
        <f t="shared" si="33"/>
        <v>0</v>
      </c>
      <c r="V45" s="655">
        <f t="shared" si="34"/>
        <v>0</v>
      </c>
      <c r="W45" s="580"/>
    </row>
    <row r="46" spans="1:41">
      <c r="A46" s="1028"/>
      <c r="B46" s="1029"/>
      <c r="C46" s="1029"/>
      <c r="D46" s="1029"/>
      <c r="E46" s="1029"/>
      <c r="F46" s="1025"/>
      <c r="G46" s="1024"/>
      <c r="H46" s="1025"/>
      <c r="I46" s="653"/>
      <c r="J46" s="724"/>
      <c r="K46" s="655">
        <f t="shared" si="23"/>
        <v>0</v>
      </c>
      <c r="L46" s="655">
        <f t="shared" si="24"/>
        <v>0</v>
      </c>
      <c r="M46" s="655">
        <f t="shared" si="25"/>
        <v>0</v>
      </c>
      <c r="N46" s="655">
        <f t="shared" si="26"/>
        <v>0</v>
      </c>
      <c r="O46" s="655">
        <f t="shared" si="27"/>
        <v>0</v>
      </c>
      <c r="P46" s="655">
        <f t="shared" si="28"/>
        <v>0</v>
      </c>
      <c r="Q46" s="655">
        <f t="shared" si="29"/>
        <v>0</v>
      </c>
      <c r="R46" s="655">
        <f t="shared" si="30"/>
        <v>0</v>
      </c>
      <c r="S46" s="655">
        <f t="shared" si="31"/>
        <v>0</v>
      </c>
      <c r="T46" s="655">
        <f t="shared" si="32"/>
        <v>0</v>
      </c>
      <c r="U46" s="655">
        <f t="shared" si="33"/>
        <v>0</v>
      </c>
      <c r="V46" s="655">
        <f t="shared" si="34"/>
        <v>0</v>
      </c>
      <c r="W46" s="580"/>
    </row>
    <row r="47" spans="1:41">
      <c r="A47" s="1028"/>
      <c r="B47" s="1029"/>
      <c r="C47" s="1029"/>
      <c r="D47" s="1029"/>
      <c r="E47" s="1029"/>
      <c r="F47" s="1025"/>
      <c r="G47" s="1024"/>
      <c r="H47" s="1025"/>
      <c r="I47" s="653"/>
      <c r="J47" s="724"/>
      <c r="K47" s="655">
        <f t="shared" si="23"/>
        <v>0</v>
      </c>
      <c r="L47" s="655">
        <f t="shared" si="24"/>
        <v>0</v>
      </c>
      <c r="M47" s="655">
        <f t="shared" si="25"/>
        <v>0</v>
      </c>
      <c r="N47" s="655">
        <f t="shared" si="26"/>
        <v>0</v>
      </c>
      <c r="O47" s="655">
        <f t="shared" si="27"/>
        <v>0</v>
      </c>
      <c r="P47" s="655">
        <f t="shared" si="28"/>
        <v>0</v>
      </c>
      <c r="Q47" s="655">
        <f t="shared" si="29"/>
        <v>0</v>
      </c>
      <c r="R47" s="655">
        <f t="shared" si="30"/>
        <v>0</v>
      </c>
      <c r="S47" s="655">
        <f t="shared" si="31"/>
        <v>0</v>
      </c>
      <c r="T47" s="655">
        <f t="shared" si="32"/>
        <v>0</v>
      </c>
      <c r="U47" s="655">
        <f t="shared" si="33"/>
        <v>0</v>
      </c>
      <c r="V47" s="655">
        <f t="shared" si="34"/>
        <v>0</v>
      </c>
      <c r="W47" s="580"/>
    </row>
    <row r="48" spans="1:41">
      <c r="A48" s="1028"/>
      <c r="B48" s="1029"/>
      <c r="C48" s="1029"/>
      <c r="D48" s="1029"/>
      <c r="E48" s="1029"/>
      <c r="F48" s="1025"/>
      <c r="G48" s="1024"/>
      <c r="H48" s="1025"/>
      <c r="I48" s="653"/>
      <c r="J48" s="724"/>
      <c r="K48" s="655">
        <f t="shared" si="23"/>
        <v>0</v>
      </c>
      <c r="L48" s="655">
        <f t="shared" si="24"/>
        <v>0</v>
      </c>
      <c r="M48" s="655">
        <f t="shared" si="25"/>
        <v>0</v>
      </c>
      <c r="N48" s="655">
        <f t="shared" si="26"/>
        <v>0</v>
      </c>
      <c r="O48" s="655">
        <f t="shared" si="27"/>
        <v>0</v>
      </c>
      <c r="P48" s="655">
        <f t="shared" si="28"/>
        <v>0</v>
      </c>
      <c r="Q48" s="655">
        <f t="shared" si="29"/>
        <v>0</v>
      </c>
      <c r="R48" s="655">
        <f t="shared" si="30"/>
        <v>0</v>
      </c>
      <c r="S48" s="655">
        <f t="shared" si="31"/>
        <v>0</v>
      </c>
      <c r="T48" s="655">
        <f t="shared" si="32"/>
        <v>0</v>
      </c>
      <c r="U48" s="655">
        <f t="shared" si="33"/>
        <v>0</v>
      </c>
      <c r="V48" s="655">
        <f t="shared" si="34"/>
        <v>0</v>
      </c>
      <c r="W48" s="580"/>
    </row>
    <row r="49" spans="1:23">
      <c r="A49" s="1028"/>
      <c r="B49" s="1029"/>
      <c r="C49" s="1029"/>
      <c r="D49" s="1029"/>
      <c r="E49" s="1029"/>
      <c r="F49" s="1025"/>
      <c r="G49" s="1024"/>
      <c r="H49" s="1025"/>
      <c r="I49" s="653"/>
      <c r="J49" s="724"/>
      <c r="K49" s="655">
        <f t="shared" si="23"/>
        <v>0</v>
      </c>
      <c r="L49" s="655">
        <f t="shared" si="24"/>
        <v>0</v>
      </c>
      <c r="M49" s="655">
        <f t="shared" si="25"/>
        <v>0</v>
      </c>
      <c r="N49" s="655">
        <f t="shared" si="26"/>
        <v>0</v>
      </c>
      <c r="O49" s="655">
        <f t="shared" si="27"/>
        <v>0</v>
      </c>
      <c r="P49" s="655">
        <f t="shared" si="28"/>
        <v>0</v>
      </c>
      <c r="Q49" s="655">
        <f t="shared" si="29"/>
        <v>0</v>
      </c>
      <c r="R49" s="655">
        <f t="shared" si="30"/>
        <v>0</v>
      </c>
      <c r="S49" s="655">
        <f t="shared" si="31"/>
        <v>0</v>
      </c>
      <c r="T49" s="655">
        <f t="shared" si="32"/>
        <v>0</v>
      </c>
      <c r="U49" s="655">
        <f t="shared" si="33"/>
        <v>0</v>
      </c>
      <c r="V49" s="655">
        <f t="shared" si="34"/>
        <v>0</v>
      </c>
      <c r="W49" s="580"/>
    </row>
    <row r="50" spans="1:23">
      <c r="A50" s="1028"/>
      <c r="B50" s="1029"/>
      <c r="C50" s="1029"/>
      <c r="D50" s="1029"/>
      <c r="E50" s="1029"/>
      <c r="F50" s="1025"/>
      <c r="G50" s="1024"/>
      <c r="H50" s="1025"/>
      <c r="I50" s="653"/>
      <c r="J50" s="724"/>
      <c r="K50" s="655">
        <f t="shared" si="23"/>
        <v>0</v>
      </c>
      <c r="L50" s="655">
        <f t="shared" si="24"/>
        <v>0</v>
      </c>
      <c r="M50" s="655">
        <f t="shared" si="25"/>
        <v>0</v>
      </c>
      <c r="N50" s="655">
        <f t="shared" si="26"/>
        <v>0</v>
      </c>
      <c r="O50" s="655">
        <f t="shared" si="27"/>
        <v>0</v>
      </c>
      <c r="P50" s="655">
        <f t="shared" si="28"/>
        <v>0</v>
      </c>
      <c r="Q50" s="655">
        <f t="shared" si="29"/>
        <v>0</v>
      </c>
      <c r="R50" s="655">
        <f t="shared" si="30"/>
        <v>0</v>
      </c>
      <c r="S50" s="655">
        <f t="shared" si="31"/>
        <v>0</v>
      </c>
      <c r="T50" s="655">
        <f t="shared" si="32"/>
        <v>0</v>
      </c>
      <c r="U50" s="655">
        <f t="shared" si="33"/>
        <v>0</v>
      </c>
      <c r="V50" s="655">
        <f t="shared" si="34"/>
        <v>0</v>
      </c>
      <c r="W50" s="580"/>
    </row>
    <row r="51" spans="1:23">
      <c r="A51" s="1028"/>
      <c r="B51" s="1029"/>
      <c r="C51" s="1029"/>
      <c r="D51" s="1029"/>
      <c r="E51" s="1029"/>
      <c r="F51" s="1025"/>
      <c r="G51" s="1024"/>
      <c r="H51" s="1025"/>
      <c r="I51" s="653"/>
      <c r="J51" s="724"/>
      <c r="K51" s="655">
        <f t="shared" si="23"/>
        <v>0</v>
      </c>
      <c r="L51" s="655">
        <f t="shared" si="24"/>
        <v>0</v>
      </c>
      <c r="M51" s="655">
        <f t="shared" si="25"/>
        <v>0</v>
      </c>
      <c r="N51" s="655">
        <f t="shared" si="26"/>
        <v>0</v>
      </c>
      <c r="O51" s="655">
        <f t="shared" si="27"/>
        <v>0</v>
      </c>
      <c r="P51" s="655">
        <f t="shared" si="28"/>
        <v>0</v>
      </c>
      <c r="Q51" s="655">
        <f t="shared" si="29"/>
        <v>0</v>
      </c>
      <c r="R51" s="655">
        <f t="shared" si="30"/>
        <v>0</v>
      </c>
      <c r="S51" s="655">
        <f t="shared" si="31"/>
        <v>0</v>
      </c>
      <c r="T51" s="655">
        <f t="shared" si="32"/>
        <v>0</v>
      </c>
      <c r="U51" s="655">
        <f t="shared" si="33"/>
        <v>0</v>
      </c>
      <c r="V51" s="655">
        <f t="shared" si="34"/>
        <v>0</v>
      </c>
      <c r="W51" s="580"/>
    </row>
    <row r="52" spans="1:23">
      <c r="A52" s="1028"/>
      <c r="B52" s="1029"/>
      <c r="C52" s="1029"/>
      <c r="D52" s="1029"/>
      <c r="E52" s="1029"/>
      <c r="F52" s="1025"/>
      <c r="G52" s="1024"/>
      <c r="H52" s="1025"/>
      <c r="I52" s="653"/>
      <c r="J52" s="724"/>
      <c r="K52" s="655">
        <f t="shared" si="23"/>
        <v>0</v>
      </c>
      <c r="L52" s="655">
        <f t="shared" si="24"/>
        <v>0</v>
      </c>
      <c r="M52" s="655">
        <f t="shared" si="25"/>
        <v>0</v>
      </c>
      <c r="N52" s="655">
        <f t="shared" si="26"/>
        <v>0</v>
      </c>
      <c r="O52" s="655">
        <f t="shared" si="27"/>
        <v>0</v>
      </c>
      <c r="P52" s="655">
        <f t="shared" si="28"/>
        <v>0</v>
      </c>
      <c r="Q52" s="655">
        <f t="shared" si="29"/>
        <v>0</v>
      </c>
      <c r="R52" s="655">
        <f t="shared" si="30"/>
        <v>0</v>
      </c>
      <c r="S52" s="655">
        <f t="shared" si="31"/>
        <v>0</v>
      </c>
      <c r="T52" s="655">
        <f t="shared" si="32"/>
        <v>0</v>
      </c>
      <c r="U52" s="655">
        <f t="shared" si="33"/>
        <v>0</v>
      </c>
      <c r="V52" s="655">
        <f t="shared" si="34"/>
        <v>0</v>
      </c>
      <c r="W52" s="580"/>
    </row>
    <row r="53" spans="1:23">
      <c r="A53" s="1028"/>
      <c r="B53" s="1029"/>
      <c r="C53" s="1029"/>
      <c r="D53" s="1029"/>
      <c r="E53" s="1029"/>
      <c r="F53" s="1025"/>
      <c r="G53" s="1024"/>
      <c r="H53" s="1025"/>
      <c r="I53" s="653"/>
      <c r="J53" s="724"/>
      <c r="K53" s="655">
        <f t="shared" si="23"/>
        <v>0</v>
      </c>
      <c r="L53" s="655">
        <f t="shared" si="24"/>
        <v>0</v>
      </c>
      <c r="M53" s="655">
        <f t="shared" si="25"/>
        <v>0</v>
      </c>
      <c r="N53" s="655">
        <f t="shared" si="26"/>
        <v>0</v>
      </c>
      <c r="O53" s="655">
        <f t="shared" si="27"/>
        <v>0</v>
      </c>
      <c r="P53" s="655">
        <f t="shared" si="28"/>
        <v>0</v>
      </c>
      <c r="Q53" s="655">
        <f t="shared" si="29"/>
        <v>0</v>
      </c>
      <c r="R53" s="655">
        <f t="shared" si="30"/>
        <v>0</v>
      </c>
      <c r="S53" s="655">
        <f t="shared" si="31"/>
        <v>0</v>
      </c>
      <c r="T53" s="655">
        <f t="shared" si="32"/>
        <v>0</v>
      </c>
      <c r="U53" s="655">
        <f t="shared" si="33"/>
        <v>0</v>
      </c>
      <c r="V53" s="655">
        <f t="shared" si="34"/>
        <v>0</v>
      </c>
      <c r="W53" s="580"/>
    </row>
    <row r="54" spans="1:23">
      <c r="A54" s="1028"/>
      <c r="B54" s="1029"/>
      <c r="C54" s="1029"/>
      <c r="D54" s="1029"/>
      <c r="E54" s="1029"/>
      <c r="F54" s="1025"/>
      <c r="G54" s="1024"/>
      <c r="H54" s="1025"/>
      <c r="I54" s="653"/>
      <c r="J54" s="724"/>
      <c r="K54" s="655">
        <f t="shared" si="23"/>
        <v>0</v>
      </c>
      <c r="L54" s="655">
        <f t="shared" si="24"/>
        <v>0</v>
      </c>
      <c r="M54" s="655">
        <f t="shared" si="25"/>
        <v>0</v>
      </c>
      <c r="N54" s="655">
        <f t="shared" si="26"/>
        <v>0</v>
      </c>
      <c r="O54" s="655">
        <f t="shared" si="27"/>
        <v>0</v>
      </c>
      <c r="P54" s="655">
        <f t="shared" si="28"/>
        <v>0</v>
      </c>
      <c r="Q54" s="655">
        <f t="shared" si="29"/>
        <v>0</v>
      </c>
      <c r="R54" s="655">
        <f t="shared" si="30"/>
        <v>0</v>
      </c>
      <c r="S54" s="655">
        <f t="shared" si="31"/>
        <v>0</v>
      </c>
      <c r="T54" s="655">
        <f t="shared" si="32"/>
        <v>0</v>
      </c>
      <c r="U54" s="655">
        <f t="shared" si="33"/>
        <v>0</v>
      </c>
      <c r="V54" s="655">
        <f t="shared" si="34"/>
        <v>0</v>
      </c>
      <c r="W54" s="580"/>
    </row>
    <row r="55" spans="1:23" ht="16" customHeight="1">
      <c r="A55" s="1028"/>
      <c r="B55" s="1029"/>
      <c r="C55" s="1029"/>
      <c r="D55" s="1029"/>
      <c r="E55" s="1029"/>
      <c r="F55" s="1025"/>
      <c r="G55" s="1024"/>
      <c r="H55" s="1025"/>
      <c r="I55" s="653"/>
      <c r="J55" s="724"/>
      <c r="K55" s="655">
        <f t="shared" si="23"/>
        <v>0</v>
      </c>
      <c r="L55" s="655">
        <f t="shared" si="24"/>
        <v>0</v>
      </c>
      <c r="M55" s="655">
        <f t="shared" si="25"/>
        <v>0</v>
      </c>
      <c r="N55" s="655">
        <f t="shared" si="26"/>
        <v>0</v>
      </c>
      <c r="O55" s="655">
        <f t="shared" si="27"/>
        <v>0</v>
      </c>
      <c r="P55" s="655">
        <f t="shared" si="28"/>
        <v>0</v>
      </c>
      <c r="Q55" s="655">
        <f t="shared" si="29"/>
        <v>0</v>
      </c>
      <c r="R55" s="655">
        <f t="shared" si="30"/>
        <v>0</v>
      </c>
      <c r="S55" s="655">
        <f t="shared" si="31"/>
        <v>0</v>
      </c>
      <c r="T55" s="655">
        <f t="shared" si="32"/>
        <v>0</v>
      </c>
      <c r="U55" s="655">
        <f t="shared" si="33"/>
        <v>0</v>
      </c>
      <c r="V55" s="655">
        <f t="shared" si="34"/>
        <v>0</v>
      </c>
      <c r="W55" s="580"/>
    </row>
    <row r="56" spans="1:23">
      <c r="A56" s="1028"/>
      <c r="B56" s="1029"/>
      <c r="C56" s="1029"/>
      <c r="D56" s="1029"/>
      <c r="E56" s="1029"/>
      <c r="F56" s="1025"/>
      <c r="G56" s="1024"/>
      <c r="H56" s="1025"/>
      <c r="I56" s="653"/>
      <c r="J56" s="724"/>
      <c r="K56" s="655">
        <f t="shared" si="23"/>
        <v>0</v>
      </c>
      <c r="L56" s="655">
        <f t="shared" si="24"/>
        <v>0</v>
      </c>
      <c r="M56" s="655">
        <f t="shared" si="25"/>
        <v>0</v>
      </c>
      <c r="N56" s="655">
        <f t="shared" si="26"/>
        <v>0</v>
      </c>
      <c r="O56" s="655">
        <f t="shared" si="27"/>
        <v>0</v>
      </c>
      <c r="P56" s="655">
        <f t="shared" si="28"/>
        <v>0</v>
      </c>
      <c r="Q56" s="655">
        <f t="shared" si="29"/>
        <v>0</v>
      </c>
      <c r="R56" s="655">
        <f t="shared" si="30"/>
        <v>0</v>
      </c>
      <c r="S56" s="655">
        <f t="shared" si="31"/>
        <v>0</v>
      </c>
      <c r="T56" s="655">
        <f t="shared" si="32"/>
        <v>0</v>
      </c>
      <c r="U56" s="655">
        <f t="shared" si="33"/>
        <v>0</v>
      </c>
      <c r="V56" s="655">
        <f t="shared" si="34"/>
        <v>0</v>
      </c>
      <c r="W56" s="580"/>
    </row>
    <row r="57" spans="1:23">
      <c r="A57" s="1028"/>
      <c r="B57" s="1029"/>
      <c r="C57" s="1029"/>
      <c r="D57" s="1029"/>
      <c r="E57" s="1029"/>
      <c r="F57" s="1025"/>
      <c r="G57" s="1024"/>
      <c r="H57" s="1025"/>
      <c r="I57" s="653"/>
      <c r="J57" s="724"/>
      <c r="K57" s="655">
        <f t="shared" si="23"/>
        <v>0</v>
      </c>
      <c r="L57" s="655">
        <f t="shared" si="24"/>
        <v>0</v>
      </c>
      <c r="M57" s="655">
        <f t="shared" si="25"/>
        <v>0</v>
      </c>
      <c r="N57" s="655">
        <f t="shared" si="26"/>
        <v>0</v>
      </c>
      <c r="O57" s="655">
        <f t="shared" si="27"/>
        <v>0</v>
      </c>
      <c r="P57" s="655">
        <f t="shared" si="28"/>
        <v>0</v>
      </c>
      <c r="Q57" s="655">
        <f t="shared" si="29"/>
        <v>0</v>
      </c>
      <c r="R57" s="655">
        <f t="shared" si="30"/>
        <v>0</v>
      </c>
      <c r="S57" s="655">
        <f t="shared" si="31"/>
        <v>0</v>
      </c>
      <c r="T57" s="655">
        <f t="shared" si="32"/>
        <v>0</v>
      </c>
      <c r="U57" s="655">
        <f t="shared" si="33"/>
        <v>0</v>
      </c>
      <c r="V57" s="655">
        <f t="shared" si="34"/>
        <v>0</v>
      </c>
      <c r="W57" s="580"/>
    </row>
    <row r="58" spans="1:23">
      <c r="A58" s="1028"/>
      <c r="B58" s="1029"/>
      <c r="C58" s="1029"/>
      <c r="D58" s="1029"/>
      <c r="E58" s="1029"/>
      <c r="F58" s="1025"/>
      <c r="G58" s="1024"/>
      <c r="H58" s="1025"/>
      <c r="I58" s="653"/>
      <c r="J58" s="724"/>
      <c r="K58" s="655">
        <f t="shared" si="23"/>
        <v>0</v>
      </c>
      <c r="L58" s="655">
        <f t="shared" si="24"/>
        <v>0</v>
      </c>
      <c r="M58" s="655">
        <f t="shared" si="25"/>
        <v>0</v>
      </c>
      <c r="N58" s="655">
        <f t="shared" si="26"/>
        <v>0</v>
      </c>
      <c r="O58" s="655">
        <f t="shared" si="27"/>
        <v>0</v>
      </c>
      <c r="P58" s="655">
        <f t="shared" si="28"/>
        <v>0</v>
      </c>
      <c r="Q58" s="655">
        <f t="shared" si="29"/>
        <v>0</v>
      </c>
      <c r="R58" s="655">
        <f t="shared" si="30"/>
        <v>0</v>
      </c>
      <c r="S58" s="655">
        <f t="shared" si="31"/>
        <v>0</v>
      </c>
      <c r="T58" s="655">
        <f t="shared" si="32"/>
        <v>0</v>
      </c>
      <c r="U58" s="655">
        <f t="shared" si="33"/>
        <v>0</v>
      </c>
      <c r="V58" s="655">
        <f t="shared" si="34"/>
        <v>0</v>
      </c>
      <c r="W58" s="580"/>
    </row>
    <row r="59" spans="1:23">
      <c r="A59" s="1028"/>
      <c r="B59" s="1029"/>
      <c r="C59" s="1029"/>
      <c r="D59" s="1029"/>
      <c r="E59" s="1029"/>
      <c r="F59" s="1025"/>
      <c r="G59" s="1024"/>
      <c r="H59" s="1025"/>
      <c r="I59" s="653"/>
      <c r="J59" s="724"/>
      <c r="K59" s="655">
        <f t="shared" si="23"/>
        <v>0</v>
      </c>
      <c r="L59" s="655">
        <f t="shared" si="24"/>
        <v>0</v>
      </c>
      <c r="M59" s="655">
        <f t="shared" si="25"/>
        <v>0</v>
      </c>
      <c r="N59" s="655">
        <f t="shared" si="26"/>
        <v>0</v>
      </c>
      <c r="O59" s="655">
        <f t="shared" si="27"/>
        <v>0</v>
      </c>
      <c r="P59" s="655">
        <f t="shared" si="28"/>
        <v>0</v>
      </c>
      <c r="Q59" s="655">
        <f t="shared" si="29"/>
        <v>0</v>
      </c>
      <c r="R59" s="655">
        <f t="shared" si="30"/>
        <v>0</v>
      </c>
      <c r="S59" s="655">
        <f t="shared" si="31"/>
        <v>0</v>
      </c>
      <c r="T59" s="655">
        <f t="shared" si="32"/>
        <v>0</v>
      </c>
      <c r="U59" s="655">
        <f t="shared" si="33"/>
        <v>0</v>
      </c>
      <c r="V59" s="655">
        <f t="shared" si="34"/>
        <v>0</v>
      </c>
      <c r="W59" s="580"/>
    </row>
    <row r="60" spans="1:23">
      <c r="A60" s="1028"/>
      <c r="B60" s="1029"/>
      <c r="C60" s="1029"/>
      <c r="D60" s="1029"/>
      <c r="E60" s="1029"/>
      <c r="F60" s="1025"/>
      <c r="G60" s="1024"/>
      <c r="H60" s="1025"/>
      <c r="I60" s="653"/>
      <c r="J60" s="724"/>
      <c r="K60" s="655">
        <f t="shared" si="23"/>
        <v>0</v>
      </c>
      <c r="L60" s="655">
        <f t="shared" si="24"/>
        <v>0</v>
      </c>
      <c r="M60" s="655">
        <f t="shared" si="25"/>
        <v>0</v>
      </c>
      <c r="N60" s="655">
        <f t="shared" si="26"/>
        <v>0</v>
      </c>
      <c r="O60" s="655">
        <f t="shared" si="27"/>
        <v>0</v>
      </c>
      <c r="P60" s="655">
        <f t="shared" si="28"/>
        <v>0</v>
      </c>
      <c r="Q60" s="655">
        <f t="shared" si="29"/>
        <v>0</v>
      </c>
      <c r="R60" s="655">
        <f t="shared" si="30"/>
        <v>0</v>
      </c>
      <c r="S60" s="655">
        <f t="shared" si="31"/>
        <v>0</v>
      </c>
      <c r="T60" s="655">
        <f t="shared" si="32"/>
        <v>0</v>
      </c>
      <c r="U60" s="655">
        <f t="shared" si="33"/>
        <v>0</v>
      </c>
      <c r="V60" s="655">
        <f t="shared" si="34"/>
        <v>0</v>
      </c>
      <c r="W60" s="580"/>
    </row>
    <row r="61" spans="1:23">
      <c r="A61" s="1028"/>
      <c r="B61" s="1029"/>
      <c r="C61" s="1029"/>
      <c r="D61" s="1029"/>
      <c r="E61" s="1029"/>
      <c r="F61" s="1025"/>
      <c r="G61" s="1024"/>
      <c r="H61" s="1025"/>
      <c r="I61" s="653"/>
      <c r="J61" s="724"/>
      <c r="K61" s="655">
        <f t="shared" si="23"/>
        <v>0</v>
      </c>
      <c r="L61" s="655">
        <f t="shared" si="24"/>
        <v>0</v>
      </c>
      <c r="M61" s="655">
        <f t="shared" si="25"/>
        <v>0</v>
      </c>
      <c r="N61" s="655">
        <f t="shared" si="26"/>
        <v>0</v>
      </c>
      <c r="O61" s="655">
        <f t="shared" si="27"/>
        <v>0</v>
      </c>
      <c r="P61" s="655">
        <f t="shared" si="28"/>
        <v>0</v>
      </c>
      <c r="Q61" s="655">
        <f t="shared" si="29"/>
        <v>0</v>
      </c>
      <c r="R61" s="655">
        <f t="shared" si="30"/>
        <v>0</v>
      </c>
      <c r="S61" s="655">
        <f t="shared" si="31"/>
        <v>0</v>
      </c>
      <c r="T61" s="655">
        <f t="shared" si="32"/>
        <v>0</v>
      </c>
      <c r="U61" s="655">
        <f t="shared" si="33"/>
        <v>0</v>
      </c>
      <c r="V61" s="655">
        <f t="shared" si="34"/>
        <v>0</v>
      </c>
      <c r="W61" s="580"/>
    </row>
    <row r="62" spans="1:23">
      <c r="A62" s="1028"/>
      <c r="B62" s="1029"/>
      <c r="C62" s="1029"/>
      <c r="D62" s="1029"/>
      <c r="E62" s="1029"/>
      <c r="F62" s="1025"/>
      <c r="G62" s="1024"/>
      <c r="H62" s="1025"/>
      <c r="I62" s="653"/>
      <c r="J62" s="724"/>
      <c r="K62" s="655">
        <f t="shared" si="23"/>
        <v>0</v>
      </c>
      <c r="L62" s="655">
        <f t="shared" si="24"/>
        <v>0</v>
      </c>
      <c r="M62" s="655">
        <f t="shared" si="25"/>
        <v>0</v>
      </c>
      <c r="N62" s="655">
        <f t="shared" si="26"/>
        <v>0</v>
      </c>
      <c r="O62" s="655">
        <f t="shared" si="27"/>
        <v>0</v>
      </c>
      <c r="P62" s="655">
        <f t="shared" si="28"/>
        <v>0</v>
      </c>
      <c r="Q62" s="655">
        <f t="shared" si="29"/>
        <v>0</v>
      </c>
      <c r="R62" s="655">
        <f t="shared" si="30"/>
        <v>0</v>
      </c>
      <c r="S62" s="655">
        <f t="shared" si="31"/>
        <v>0</v>
      </c>
      <c r="T62" s="655">
        <f t="shared" si="32"/>
        <v>0</v>
      </c>
      <c r="U62" s="655">
        <f t="shared" si="33"/>
        <v>0</v>
      </c>
      <c r="V62" s="655">
        <f t="shared" si="34"/>
        <v>0</v>
      </c>
      <c r="W62" s="580"/>
    </row>
    <row r="63" spans="1:23">
      <c r="A63" s="1028"/>
      <c r="B63" s="1029"/>
      <c r="C63" s="1029"/>
      <c r="D63" s="1029"/>
      <c r="E63" s="1029"/>
      <c r="F63" s="1025"/>
      <c r="G63" s="1024"/>
      <c r="H63" s="1025"/>
      <c r="I63" s="653"/>
      <c r="J63" s="724"/>
      <c r="K63" s="655">
        <f t="shared" si="23"/>
        <v>0</v>
      </c>
      <c r="L63" s="655">
        <f t="shared" si="24"/>
        <v>0</v>
      </c>
      <c r="M63" s="655">
        <f t="shared" si="25"/>
        <v>0</v>
      </c>
      <c r="N63" s="655">
        <f t="shared" si="26"/>
        <v>0</v>
      </c>
      <c r="O63" s="655">
        <f t="shared" si="27"/>
        <v>0</v>
      </c>
      <c r="P63" s="655">
        <f t="shared" si="28"/>
        <v>0</v>
      </c>
      <c r="Q63" s="655">
        <f t="shared" si="29"/>
        <v>0</v>
      </c>
      <c r="R63" s="655">
        <f t="shared" si="30"/>
        <v>0</v>
      </c>
      <c r="S63" s="655">
        <f t="shared" si="31"/>
        <v>0</v>
      </c>
      <c r="T63" s="655">
        <f t="shared" si="32"/>
        <v>0</v>
      </c>
      <c r="U63" s="655">
        <f t="shared" si="33"/>
        <v>0</v>
      </c>
      <c r="V63" s="655">
        <f t="shared" si="34"/>
        <v>0</v>
      </c>
      <c r="W63" s="580"/>
    </row>
    <row r="64" spans="1:23">
      <c r="A64" s="1028"/>
      <c r="B64" s="1029"/>
      <c r="C64" s="1029"/>
      <c r="D64" s="1029"/>
      <c r="E64" s="1029"/>
      <c r="F64" s="1025"/>
      <c r="G64" s="1024"/>
      <c r="H64" s="1025"/>
      <c r="I64" s="653"/>
      <c r="J64" s="724"/>
      <c r="K64" s="655">
        <f t="shared" si="23"/>
        <v>0</v>
      </c>
      <c r="L64" s="655">
        <f t="shared" si="24"/>
        <v>0</v>
      </c>
      <c r="M64" s="655">
        <f t="shared" si="25"/>
        <v>0</v>
      </c>
      <c r="N64" s="655">
        <f t="shared" si="26"/>
        <v>0</v>
      </c>
      <c r="O64" s="655">
        <f t="shared" si="27"/>
        <v>0</v>
      </c>
      <c r="P64" s="655">
        <f t="shared" si="28"/>
        <v>0</v>
      </c>
      <c r="Q64" s="655">
        <f t="shared" si="29"/>
        <v>0</v>
      </c>
      <c r="R64" s="655">
        <f t="shared" si="30"/>
        <v>0</v>
      </c>
      <c r="S64" s="655">
        <f t="shared" si="31"/>
        <v>0</v>
      </c>
      <c r="T64" s="655">
        <f t="shared" si="32"/>
        <v>0</v>
      </c>
      <c r="U64" s="655">
        <f t="shared" si="33"/>
        <v>0</v>
      </c>
      <c r="V64" s="655">
        <f t="shared" si="34"/>
        <v>0</v>
      </c>
      <c r="W64" s="580"/>
    </row>
    <row r="65" spans="1:23">
      <c r="A65" s="1028"/>
      <c r="B65" s="1029"/>
      <c r="C65" s="1029"/>
      <c r="D65" s="1029"/>
      <c r="E65" s="1029"/>
      <c r="F65" s="1025"/>
      <c r="G65" s="1024"/>
      <c r="H65" s="1025"/>
      <c r="I65" s="653"/>
      <c r="J65" s="724"/>
      <c r="K65" s="655">
        <f t="shared" si="23"/>
        <v>0</v>
      </c>
      <c r="L65" s="655">
        <f t="shared" si="24"/>
        <v>0</v>
      </c>
      <c r="M65" s="655">
        <f t="shared" si="25"/>
        <v>0</v>
      </c>
      <c r="N65" s="655">
        <f t="shared" si="26"/>
        <v>0</v>
      </c>
      <c r="O65" s="655">
        <f t="shared" si="27"/>
        <v>0</v>
      </c>
      <c r="P65" s="655">
        <f t="shared" si="28"/>
        <v>0</v>
      </c>
      <c r="Q65" s="655">
        <f t="shared" si="29"/>
        <v>0</v>
      </c>
      <c r="R65" s="655">
        <f t="shared" si="30"/>
        <v>0</v>
      </c>
      <c r="S65" s="655">
        <f t="shared" si="31"/>
        <v>0</v>
      </c>
      <c r="T65" s="655">
        <f t="shared" si="32"/>
        <v>0</v>
      </c>
      <c r="U65" s="655">
        <f t="shared" si="33"/>
        <v>0</v>
      </c>
      <c r="V65" s="655">
        <f t="shared" si="34"/>
        <v>0</v>
      </c>
      <c r="W65" s="580"/>
    </row>
    <row r="66" spans="1:23" ht="17" thickBot="1">
      <c r="A66" s="1028"/>
      <c r="B66" s="1029"/>
      <c r="C66" s="1029"/>
      <c r="D66" s="1029"/>
      <c r="E66" s="1029"/>
      <c r="F66" s="1025"/>
      <c r="G66" s="1024"/>
      <c r="H66" s="1025"/>
      <c r="I66" s="653"/>
      <c r="J66" s="724"/>
      <c r="K66" s="655">
        <f t="shared" si="23"/>
        <v>0</v>
      </c>
      <c r="L66" s="655">
        <f t="shared" si="24"/>
        <v>0</v>
      </c>
      <c r="M66" s="655">
        <f t="shared" si="25"/>
        <v>0</v>
      </c>
      <c r="N66" s="655">
        <f t="shared" si="26"/>
        <v>0</v>
      </c>
      <c r="O66" s="655">
        <f t="shared" si="27"/>
        <v>0</v>
      </c>
      <c r="P66" s="655">
        <f t="shared" si="28"/>
        <v>0</v>
      </c>
      <c r="Q66" s="655">
        <f t="shared" si="29"/>
        <v>0</v>
      </c>
      <c r="R66" s="655">
        <f t="shared" si="30"/>
        <v>0</v>
      </c>
      <c r="S66" s="655">
        <f t="shared" si="31"/>
        <v>0</v>
      </c>
      <c r="T66" s="655">
        <f t="shared" si="32"/>
        <v>0</v>
      </c>
      <c r="U66" s="655">
        <f t="shared" si="33"/>
        <v>0</v>
      </c>
      <c r="V66" s="655">
        <f t="shared" si="34"/>
        <v>0</v>
      </c>
      <c r="W66" s="580"/>
    </row>
    <row r="67" spans="1:23" ht="16" customHeight="1" thickBot="1">
      <c r="A67" s="634" t="s">
        <v>284</v>
      </c>
      <c r="B67" s="635"/>
      <c r="C67" s="635"/>
      <c r="D67" s="635"/>
      <c r="E67" s="635"/>
      <c r="F67" s="635"/>
      <c r="G67" s="635"/>
      <c r="H67" s="636"/>
      <c r="I67" s="480">
        <f>SUM(I43:I66)</f>
        <v>20</v>
      </c>
      <c r="J67" s="580"/>
      <c r="K67" s="655">
        <f>SUM(K43:K66)</f>
        <v>10</v>
      </c>
      <c r="L67" s="655">
        <f t="shared" ref="L67:V67" si="35">SUM(L43:L66)</f>
        <v>0</v>
      </c>
      <c r="M67" s="655">
        <f t="shared" si="35"/>
        <v>0</v>
      </c>
      <c r="N67" s="655">
        <f t="shared" si="35"/>
        <v>0</v>
      </c>
      <c r="O67" s="655">
        <f t="shared" si="35"/>
        <v>0</v>
      </c>
      <c r="P67" s="655">
        <f t="shared" si="35"/>
        <v>10</v>
      </c>
      <c r="Q67" s="655">
        <f t="shared" si="35"/>
        <v>0</v>
      </c>
      <c r="R67" s="655">
        <f t="shared" si="35"/>
        <v>0</v>
      </c>
      <c r="S67" s="655">
        <f t="shared" si="35"/>
        <v>0</v>
      </c>
      <c r="T67" s="655">
        <f t="shared" si="35"/>
        <v>0</v>
      </c>
      <c r="U67" s="655">
        <f t="shared" si="35"/>
        <v>0</v>
      </c>
      <c r="V67" s="655">
        <f t="shared" si="35"/>
        <v>0</v>
      </c>
      <c r="W67" s="580"/>
    </row>
    <row r="68" spans="1:23" ht="16" customHeight="1">
      <c r="A68" s="998"/>
      <c r="B68" s="998"/>
      <c r="C68" s="1030" t="s">
        <v>530</v>
      </c>
      <c r="D68" s="1030"/>
      <c r="E68" s="1030"/>
      <c r="F68" s="1030"/>
      <c r="G68" s="1030"/>
      <c r="H68" s="1030"/>
      <c r="I68" s="1030"/>
      <c r="J68" s="580"/>
      <c r="K68" s="696"/>
      <c r="L68" s="696"/>
      <c r="M68" s="696"/>
      <c r="N68" s="696"/>
      <c r="O68" s="696"/>
      <c r="P68" s="696"/>
      <c r="Q68" s="696"/>
      <c r="R68" s="696"/>
      <c r="S68" s="696"/>
      <c r="T68" s="696"/>
      <c r="U68" s="696"/>
      <c r="V68" s="696"/>
      <c r="W68" s="580"/>
    </row>
    <row r="69" spans="1:23" ht="16" customHeight="1">
      <c r="A69" s="998"/>
      <c r="B69" s="998"/>
      <c r="C69" s="1013"/>
      <c r="D69" s="1013"/>
      <c r="E69" s="1013"/>
      <c r="F69" s="1013"/>
      <c r="G69" s="1013"/>
      <c r="H69" s="1013"/>
      <c r="I69" s="1013"/>
    </row>
    <row r="70" spans="1:23" ht="16" customHeight="1">
      <c r="A70" s="998"/>
      <c r="B70" s="998"/>
      <c r="C70" s="1013"/>
      <c r="D70" s="1013"/>
      <c r="E70" s="1013"/>
      <c r="F70" s="1013"/>
      <c r="G70" s="1013"/>
      <c r="H70" s="1013"/>
      <c r="I70" s="1013"/>
    </row>
    <row r="71" spans="1:23" ht="16" customHeight="1">
      <c r="A71" s="998"/>
      <c r="B71" s="998"/>
      <c r="C71" s="1013"/>
      <c r="D71" s="1013"/>
      <c r="E71" s="1013"/>
      <c r="F71" s="1013"/>
      <c r="G71" s="1013"/>
      <c r="H71" s="1013"/>
      <c r="I71" s="1013"/>
    </row>
    <row r="72" spans="1:23" ht="19" customHeight="1">
      <c r="A72" s="998"/>
      <c r="B72" s="998"/>
      <c r="C72" s="1013"/>
      <c r="D72" s="1013"/>
      <c r="E72" s="1013"/>
      <c r="F72" s="1013"/>
      <c r="G72" s="1013"/>
      <c r="H72" s="1013"/>
      <c r="I72" s="1013"/>
    </row>
  </sheetData>
  <sheetProtection sheet="1" objects="1" scenarios="1"/>
  <mergeCells count="101">
    <mergeCell ref="A61:F61"/>
    <mergeCell ref="G61:H61"/>
    <mergeCell ref="A65:F65"/>
    <mergeCell ref="G65:H65"/>
    <mergeCell ref="A66:F66"/>
    <mergeCell ref="G66:H66"/>
    <mergeCell ref="C2:I2"/>
    <mergeCell ref="A1:B2"/>
    <mergeCell ref="A62:F62"/>
    <mergeCell ref="G62:H62"/>
    <mergeCell ref="A63:F63"/>
    <mergeCell ref="G63:H63"/>
    <mergeCell ref="A64:F64"/>
    <mergeCell ref="G64:H64"/>
    <mergeCell ref="A54:F54"/>
    <mergeCell ref="G54:H54"/>
    <mergeCell ref="A41:I41"/>
    <mergeCell ref="A42:F42"/>
    <mergeCell ref="A43:F43"/>
    <mergeCell ref="A44:F44"/>
    <mergeCell ref="A45:F45"/>
    <mergeCell ref="A46:F46"/>
    <mergeCell ref="A47:F47"/>
    <mergeCell ref="A48:F48"/>
    <mergeCell ref="G56:H56"/>
    <mergeCell ref="A57:F57"/>
    <mergeCell ref="G57:H57"/>
    <mergeCell ref="A58:F58"/>
    <mergeCell ref="G58:H58"/>
    <mergeCell ref="A59:F59"/>
    <mergeCell ref="G59:H59"/>
    <mergeCell ref="A49:F49"/>
    <mergeCell ref="A50:F50"/>
    <mergeCell ref="A60:F60"/>
    <mergeCell ref="G60:H60"/>
    <mergeCell ref="AE29:AH29"/>
    <mergeCell ref="G42:H42"/>
    <mergeCell ref="G43:H43"/>
    <mergeCell ref="K29:N29"/>
    <mergeCell ref="U29:X29"/>
    <mergeCell ref="R4:S4"/>
    <mergeCell ref="Z4:AA4"/>
    <mergeCell ref="AB4:AC4"/>
    <mergeCell ref="AE8:AF8"/>
    <mergeCell ref="AH8:AM8"/>
    <mergeCell ref="K6:S6"/>
    <mergeCell ref="U6:AC6"/>
    <mergeCell ref="AE6:AM6"/>
    <mergeCell ref="P5:Q5"/>
    <mergeCell ref="R5:S5"/>
    <mergeCell ref="U5:Y5"/>
    <mergeCell ref="Z5:AA5"/>
    <mergeCell ref="AB5:AC5"/>
    <mergeCell ref="AE5:AI5"/>
    <mergeCell ref="K28:N28"/>
    <mergeCell ref="U28:X28"/>
    <mergeCell ref="AE28:AH28"/>
    <mergeCell ref="A8:B8"/>
    <mergeCell ref="D8:I8"/>
    <mergeCell ref="K8:L8"/>
    <mergeCell ref="N8:S8"/>
    <mergeCell ref="U8:V8"/>
    <mergeCell ref="X8:AC8"/>
    <mergeCell ref="K3:S3"/>
    <mergeCell ref="U3:AC3"/>
    <mergeCell ref="AE3:AM3"/>
    <mergeCell ref="A5:E5"/>
    <mergeCell ref="F5:G5"/>
    <mergeCell ref="H5:I5"/>
    <mergeCell ref="K5:O5"/>
    <mergeCell ref="AJ5:AK5"/>
    <mergeCell ref="AL5:AM5"/>
    <mergeCell ref="F4:G4"/>
    <mergeCell ref="H4:I4"/>
    <mergeCell ref="P4:Q4"/>
    <mergeCell ref="AL4:AM4"/>
    <mergeCell ref="AJ4:AK4"/>
    <mergeCell ref="C1:I1"/>
    <mergeCell ref="A68:B72"/>
    <mergeCell ref="A3:I3"/>
    <mergeCell ref="A6:I6"/>
    <mergeCell ref="A30:D30"/>
    <mergeCell ref="A29:D29"/>
    <mergeCell ref="G44:H44"/>
    <mergeCell ref="G45:H45"/>
    <mergeCell ref="G46:H46"/>
    <mergeCell ref="G47:H47"/>
    <mergeCell ref="A28:D28"/>
    <mergeCell ref="A51:F51"/>
    <mergeCell ref="A52:F52"/>
    <mergeCell ref="A53:F53"/>
    <mergeCell ref="G51:H51"/>
    <mergeCell ref="G52:H52"/>
    <mergeCell ref="G53:H53"/>
    <mergeCell ref="G48:H48"/>
    <mergeCell ref="G49:H49"/>
    <mergeCell ref="G50:H50"/>
    <mergeCell ref="C68:I72"/>
    <mergeCell ref="A55:F55"/>
    <mergeCell ref="G55:H55"/>
    <mergeCell ref="A56:F56"/>
  </mergeCells>
  <phoneticPr fontId="5" type="noConversion"/>
  <conditionalFormatting sqref="G45:I54 E9:I27">
    <cfRule type="expression" dxfId="858" priority="20">
      <formula>OR($B9&gt;0,)</formula>
    </cfRule>
  </conditionalFormatting>
  <conditionalFormatting sqref="O22:S27">
    <cfRule type="expression" dxfId="857" priority="19">
      <formula>OR($L22&gt;0,)</formula>
    </cfRule>
  </conditionalFormatting>
  <conditionalFormatting sqref="Y22:AC27">
    <cfRule type="expression" dxfId="856" priority="15">
      <formula>OR($V22&gt;0,)</formula>
    </cfRule>
  </conditionalFormatting>
  <conditionalFormatting sqref="AI22:AM27">
    <cfRule type="expression" dxfId="855" priority="14">
      <formula>OR($AF22&gt;0,)</formula>
    </cfRule>
  </conditionalFormatting>
  <conditionalFormatting sqref="G43:I54">
    <cfRule type="expression" dxfId="854" priority="9">
      <formula>OR($A43&gt;0,)</formula>
    </cfRule>
  </conditionalFormatting>
  <conditionalFormatting sqref="O9:S27">
    <cfRule type="expression" dxfId="853" priority="8">
      <formula>OR($L9&gt;0,)</formula>
    </cfRule>
  </conditionalFormatting>
  <conditionalFormatting sqref="Y9:AC27">
    <cfRule type="expression" dxfId="852" priority="7">
      <formula>OR($V9&gt;0,)</formula>
    </cfRule>
  </conditionalFormatting>
  <conditionalFormatting sqref="AI9:AM27">
    <cfRule type="expression" dxfId="851" priority="6">
      <formula>OR($AF9&gt;0,)</formula>
    </cfRule>
  </conditionalFormatting>
  <conditionalFormatting sqref="G57:I66">
    <cfRule type="expression" dxfId="850" priority="5">
      <formula>OR($B57&gt;0,)</formula>
    </cfRule>
  </conditionalFormatting>
  <conditionalFormatting sqref="G55:I66">
    <cfRule type="expression" dxfId="849" priority="4">
      <formula>OR($A55&gt;0,)</formula>
    </cfRule>
  </conditionalFormatting>
  <dataValidations count="3">
    <dataValidation type="list" allowBlank="1" showInputMessage="1" showErrorMessage="1" sqref="K3:S3 A3:I3 AE3:AM3" xr:uid="{F131008B-2AC7-DE42-9ECB-47DE2A973D85}">
      <formula1>$AO$3:$AO$7</formula1>
    </dataValidation>
    <dataValidation type="list" allowBlank="1" showInputMessage="1" showErrorMessage="1" sqref="U3:AC3" xr:uid="{D2691C8E-12C1-D14D-A735-E94A498CBB42}">
      <formula1>AO3:AO7</formula1>
    </dataValidation>
    <dataValidation type="list" allowBlank="1" showInputMessage="1" showErrorMessage="1" sqref="G43:H66" xr:uid="{B959E193-F64B-2646-AE0E-B939BAAB1791}">
      <formula1>$K$41:$V$41</formula1>
    </dataValidation>
  </dataValidations>
  <pageMargins left="0.7" right="0.7" top="0.75" bottom="0.75" header="0.3" footer="0.3"/>
  <pageSetup paperSize="9" scale="67" fitToWidth="4"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HC132"/>
  <sheetViews>
    <sheetView zoomScale="75" workbookViewId="0">
      <selection activeCell="E17" sqref="E17:G1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 min="112" max="117" width="10.83203125" customWidth="1"/>
  </cols>
  <sheetData>
    <row r="1" spans="1:211" ht="16" customHeight="1">
      <c r="A1" s="621" t="e">
        <f>#REF!</f>
        <v>#REF!</v>
      </c>
      <c r="B1" s="113"/>
      <c r="C1" s="113"/>
      <c r="D1" s="113"/>
      <c r="E1" s="113"/>
      <c r="F1" s="113"/>
      <c r="G1" s="113"/>
      <c r="H1" s="505"/>
      <c r="I1" s="504"/>
      <c r="J1" s="113"/>
      <c r="K1" s="423"/>
      <c r="L1" s="423"/>
      <c r="M1" s="423"/>
      <c r="N1" s="423"/>
      <c r="O1" s="423"/>
      <c r="P1" s="113"/>
      <c r="Q1" s="113"/>
      <c r="R1" s="113"/>
      <c r="S1" s="113"/>
      <c r="T1" s="113"/>
      <c r="U1" s="113"/>
      <c r="V1" s="113"/>
      <c r="W1" s="113"/>
      <c r="Y1" s="453"/>
      <c r="Z1" s="113"/>
      <c r="AB1" s="113"/>
      <c r="AC1" s="113"/>
      <c r="AH1" s="113"/>
      <c r="AI1" s="113"/>
      <c r="CX1" s="455"/>
      <c r="CZ1"/>
    </row>
    <row r="2" spans="1:211" ht="128" customHeight="1">
      <c r="A2" s="1060">
        <v>8</v>
      </c>
      <c r="B2" s="1060"/>
      <c r="C2" s="1060"/>
      <c r="D2" s="1060"/>
      <c r="E2" s="1056" t="s">
        <v>616</v>
      </c>
      <c r="F2" s="1056"/>
      <c r="G2" s="1056"/>
      <c r="H2" s="1056"/>
      <c r="I2" s="1056"/>
      <c r="J2" s="1056"/>
      <c r="K2" s="1056"/>
      <c r="L2" s="1056"/>
      <c r="M2" s="1056"/>
      <c r="N2" s="1056"/>
      <c r="O2" s="1056"/>
      <c r="P2" s="113"/>
      <c r="Q2" s="113"/>
      <c r="R2" s="113"/>
      <c r="S2" s="113"/>
      <c r="T2" s="113"/>
      <c r="U2" s="113"/>
      <c r="V2" s="113"/>
      <c r="W2" s="299" t="s">
        <v>31</v>
      </c>
      <c r="X2" s="113"/>
      <c r="Y2" s="453"/>
      <c r="Z2" s="113"/>
      <c r="AB2" s="113"/>
      <c r="AC2" s="113"/>
      <c r="AH2" s="113"/>
      <c r="AI2" s="113"/>
      <c r="CX2" s="455"/>
      <c r="CZ2"/>
    </row>
    <row r="3" spans="1:211" ht="68" customHeight="1" thickBot="1">
      <c r="A3" s="1061"/>
      <c r="B3" s="1061"/>
      <c r="C3" s="1061"/>
      <c r="D3" s="1061"/>
      <c r="E3" s="1056" t="s">
        <v>531</v>
      </c>
      <c r="F3" s="1056"/>
      <c r="G3" s="1056"/>
      <c r="H3" s="1056"/>
      <c r="I3" s="1056"/>
      <c r="J3" s="1056"/>
      <c r="K3" s="1056"/>
      <c r="L3" s="1056"/>
      <c r="M3" s="1056"/>
      <c r="N3" s="1056"/>
      <c r="O3" s="1056"/>
      <c r="P3" s="113"/>
      <c r="Q3" s="113"/>
      <c r="R3" s="113"/>
      <c r="S3" s="113"/>
      <c r="T3" s="113"/>
      <c r="U3" s="113"/>
      <c r="V3" s="113"/>
      <c r="W3" s="299"/>
      <c r="X3" s="299"/>
      <c r="Y3" s="453"/>
      <c r="Z3" s="113"/>
      <c r="AB3" s="113"/>
      <c r="AC3" s="113"/>
      <c r="AH3" s="113"/>
      <c r="AI3" s="113"/>
      <c r="CX3" s="455"/>
      <c r="CZ3"/>
    </row>
    <row r="4" spans="1:211">
      <c r="A4" s="1062" t="s">
        <v>365</v>
      </c>
      <c r="B4" s="1063"/>
      <c r="C4" s="1063"/>
      <c r="D4" s="1063"/>
      <c r="E4" s="1063"/>
      <c r="F4" s="1063"/>
      <c r="G4" s="1063"/>
      <c r="H4" s="1063"/>
      <c r="I4" s="1063"/>
      <c r="J4" s="1063"/>
      <c r="K4" s="1063"/>
      <c r="L4" s="1063"/>
      <c r="M4" s="1063"/>
      <c r="N4" s="1063"/>
      <c r="O4" s="1063"/>
      <c r="P4" s="1063"/>
      <c r="Q4" s="1063"/>
      <c r="R4" s="1063"/>
      <c r="S4" s="1063"/>
      <c r="T4" s="1063"/>
      <c r="U4" s="1063"/>
      <c r="V4" s="1063"/>
      <c r="W4" s="1063"/>
      <c r="X4" s="1064"/>
      <c r="Y4"/>
      <c r="Z4" s="113"/>
      <c r="AA4" s="113"/>
      <c r="AE4" s="113"/>
      <c r="AF4" s="113"/>
      <c r="AG4" s="113"/>
      <c r="CV4" s="455"/>
      <c r="CW4" s="455"/>
      <c r="CY4"/>
      <c r="CZ4"/>
    </row>
    <row r="5" spans="1:211" ht="254" thickBot="1">
      <c r="A5" s="1054" t="s">
        <v>532</v>
      </c>
      <c r="B5" s="1055"/>
      <c r="C5" s="1055"/>
      <c r="D5" s="1055"/>
      <c r="E5" s="1057" t="s">
        <v>366</v>
      </c>
      <c r="F5" s="1057"/>
      <c r="G5" s="1057"/>
      <c r="H5" s="506" t="s">
        <v>502</v>
      </c>
      <c r="I5" s="1460" t="s">
        <v>639</v>
      </c>
      <c r="J5" s="1460" t="s">
        <v>640</v>
      </c>
      <c r="K5" s="1071" t="s">
        <v>534</v>
      </c>
      <c r="L5" s="1071"/>
      <c r="M5" s="893" t="s">
        <v>623</v>
      </c>
      <c r="N5" s="886" t="s">
        <v>533</v>
      </c>
      <c r="O5" s="886" t="s">
        <v>535</v>
      </c>
      <c r="P5" s="894" t="s">
        <v>625</v>
      </c>
      <c r="Q5" s="892" t="s">
        <v>364</v>
      </c>
      <c r="R5" s="887" t="s">
        <v>536</v>
      </c>
      <c r="S5" s="897" t="s">
        <v>636</v>
      </c>
      <c r="T5" s="888" t="s">
        <v>537</v>
      </c>
      <c r="U5" s="888" t="s">
        <v>538</v>
      </c>
      <c r="V5" s="889" t="s">
        <v>627</v>
      </c>
      <c r="W5" s="890" t="s">
        <v>486</v>
      </c>
      <c r="X5" s="891" t="s">
        <v>485</v>
      </c>
      <c r="Y5" s="453"/>
      <c r="Z5" s="113"/>
      <c r="AB5" s="113"/>
      <c r="AC5" s="113"/>
      <c r="AH5" s="113"/>
      <c r="AI5" s="113"/>
      <c r="CX5" s="455"/>
      <c r="CZ5"/>
      <c r="DN5" s="580"/>
      <c r="DO5" s="580"/>
      <c r="DP5" s="580"/>
      <c r="DQ5" s="580"/>
      <c r="DR5" s="580"/>
      <c r="DS5" s="580"/>
      <c r="DT5" s="580"/>
      <c r="DU5" s="580"/>
      <c r="DV5" s="580"/>
      <c r="DW5" s="580"/>
      <c r="DX5" s="580"/>
      <c r="DY5" s="580"/>
      <c r="DZ5" s="580"/>
      <c r="EA5" s="580"/>
      <c r="EB5" s="580"/>
      <c r="EC5" s="580"/>
      <c r="ED5" s="580"/>
      <c r="EE5" s="580"/>
      <c r="EF5" s="580"/>
      <c r="EG5" s="580"/>
      <c r="EH5" s="580"/>
      <c r="EI5" s="580"/>
      <c r="EJ5" s="580"/>
      <c r="EK5" s="580"/>
      <c r="EL5" s="580"/>
      <c r="EM5" s="580"/>
      <c r="EN5" s="580"/>
      <c r="EO5" s="580"/>
      <c r="EP5" s="580"/>
      <c r="EQ5" s="580"/>
      <c r="ER5" s="580"/>
      <c r="ES5" s="580"/>
      <c r="ET5" s="580"/>
      <c r="EU5" s="580"/>
      <c r="EV5" s="580"/>
      <c r="EW5" s="580"/>
      <c r="EX5" s="580"/>
      <c r="EY5" s="580"/>
      <c r="EZ5" s="580"/>
      <c r="FA5" s="580"/>
      <c r="FB5" s="580"/>
      <c r="FC5" s="580"/>
      <c r="FD5" s="580"/>
      <c r="FE5" s="580"/>
      <c r="FF5" s="580"/>
      <c r="FG5" s="580"/>
      <c r="FH5" s="580"/>
      <c r="FI5" s="580"/>
      <c r="FJ5" s="580"/>
      <c r="FK5" s="580"/>
      <c r="FL5" s="580"/>
      <c r="FM5" s="580"/>
      <c r="FN5" s="580"/>
      <c r="FO5" s="580"/>
      <c r="FP5" s="580"/>
      <c r="FQ5" s="580"/>
      <c r="FR5" s="580"/>
      <c r="FS5" s="580"/>
      <c r="FT5" s="580"/>
      <c r="FU5" s="580"/>
      <c r="FV5" s="580"/>
      <c r="FW5" s="580"/>
      <c r="FX5" s="580"/>
      <c r="FY5" s="580"/>
      <c r="FZ5" s="580"/>
      <c r="GA5" s="580"/>
      <c r="GB5" s="580"/>
      <c r="GC5" s="580"/>
      <c r="GD5" s="580"/>
      <c r="GE5" s="580"/>
      <c r="GF5" s="580"/>
      <c r="GG5" s="580"/>
      <c r="GH5" s="580"/>
      <c r="GI5" s="580"/>
      <c r="GJ5" s="580"/>
      <c r="GK5" s="580"/>
      <c r="GL5" s="580"/>
      <c r="GM5" s="580"/>
      <c r="GN5" s="580"/>
      <c r="GO5" s="580"/>
      <c r="GP5" s="580"/>
      <c r="GQ5" s="580"/>
      <c r="GR5" s="580"/>
      <c r="GS5" s="580"/>
      <c r="GT5" s="580"/>
      <c r="GU5" s="580"/>
      <c r="GV5" s="580"/>
      <c r="GW5" s="580"/>
      <c r="GX5" s="580"/>
      <c r="GY5" s="580"/>
      <c r="GZ5" s="580"/>
      <c r="HA5" s="580"/>
      <c r="HB5" s="580"/>
      <c r="HC5" s="580"/>
    </row>
    <row r="6" spans="1:211" ht="26" thickBot="1">
      <c r="A6" s="1072" t="str">
        <f>""&amp;A8&amp;" måneds kalender for: "&amp;Stamoplysninger!E8&amp;". Måneden vedr. normperioden: "&amp;Stamoplysninger!E11&amp;" - "&amp;Stamoplysninger!G11&amp;"."</f>
        <v>August måneds kalender for: Beate Simonsen. Måneden vedr. normperioden: 01.08.2022 - 31.07.2023.</v>
      </c>
      <c r="B6" s="1073"/>
      <c r="C6" s="1073"/>
      <c r="D6" s="1073"/>
      <c r="E6" s="1073"/>
      <c r="F6" s="1073"/>
      <c r="G6" s="1073"/>
      <c r="H6" s="1073"/>
      <c r="I6" s="1073"/>
      <c r="J6" s="1073"/>
      <c r="K6" s="1073"/>
      <c r="L6" s="1073"/>
      <c r="M6" s="1073"/>
      <c r="N6" s="1073"/>
      <c r="O6" s="1073"/>
      <c r="P6" s="1073"/>
      <c r="Q6" s="1073"/>
      <c r="R6" s="1073"/>
      <c r="S6" s="1065" t="s">
        <v>360</v>
      </c>
      <c r="T6" s="1066"/>
      <c r="U6" s="1066"/>
      <c r="V6" s="1066"/>
      <c r="W6" s="1066"/>
      <c r="X6" s="1067"/>
      <c r="Y6" s="453"/>
      <c r="Z6" s="113"/>
      <c r="AB6" s="113"/>
      <c r="AC6" s="113"/>
      <c r="AH6" s="113"/>
      <c r="AI6" s="113"/>
      <c r="CX6" s="455"/>
      <c r="CZ6"/>
      <c r="DN6" s="580"/>
      <c r="DO6" s="580"/>
      <c r="DP6" s="580"/>
      <c r="DQ6" s="580"/>
      <c r="DR6" s="580"/>
      <c r="DS6" s="580"/>
      <c r="DT6" s="580"/>
      <c r="DU6" s="580"/>
      <c r="DV6" s="580"/>
      <c r="DW6" s="580"/>
      <c r="DX6" s="580"/>
      <c r="DY6" s="580"/>
      <c r="DZ6" s="580"/>
      <c r="EA6" s="580"/>
      <c r="EB6" s="580"/>
      <c r="EC6" s="580"/>
      <c r="ED6" s="580"/>
      <c r="EE6" s="580"/>
      <c r="EF6" s="580"/>
      <c r="EG6" s="580"/>
      <c r="EH6" s="580"/>
      <c r="EI6" s="580"/>
      <c r="EJ6" s="580"/>
      <c r="EK6" s="580"/>
      <c r="EL6" s="580"/>
      <c r="EM6" s="580"/>
      <c r="EN6" s="580"/>
      <c r="EO6" s="580"/>
      <c r="EP6" s="580"/>
      <c r="EQ6" s="580"/>
      <c r="ER6" s="580"/>
      <c r="ES6" s="580"/>
      <c r="ET6" s="580"/>
      <c r="EU6" s="580"/>
      <c r="EV6" s="580"/>
      <c r="EW6" s="580"/>
      <c r="EX6" s="580"/>
      <c r="EY6" s="580"/>
      <c r="EZ6" s="580"/>
      <c r="FA6" s="580"/>
      <c r="FB6" s="580"/>
      <c r="FC6" s="580"/>
      <c r="FD6" s="580"/>
      <c r="FE6" s="580"/>
      <c r="FF6" s="580"/>
      <c r="FG6" s="580"/>
      <c r="FH6" s="580"/>
      <c r="FI6" s="580"/>
      <c r="FJ6" s="580"/>
      <c r="FK6" s="580"/>
      <c r="FL6" s="580"/>
      <c r="FM6" s="580"/>
      <c r="FN6" s="580"/>
      <c r="FO6" s="580"/>
      <c r="FP6" s="580"/>
      <c r="FQ6" s="580"/>
      <c r="FR6" s="580"/>
      <c r="FS6" s="580"/>
      <c r="FT6" s="580"/>
      <c r="FU6" s="580"/>
      <c r="FV6" s="580"/>
      <c r="FW6" s="580"/>
      <c r="FX6" s="580"/>
      <c r="FY6" s="580"/>
      <c r="FZ6" s="580"/>
      <c r="GA6" s="580"/>
      <c r="GB6" s="580"/>
      <c r="GC6" s="580"/>
      <c r="GD6" s="580"/>
      <c r="GE6" s="580"/>
      <c r="GF6" s="580"/>
      <c r="GG6" s="580"/>
      <c r="GH6" s="580"/>
      <c r="GI6" s="580"/>
      <c r="GJ6" s="580"/>
      <c r="GK6" s="580"/>
      <c r="GL6" s="580"/>
      <c r="GM6" s="580"/>
      <c r="GN6" s="580"/>
      <c r="GO6" s="580"/>
      <c r="GP6" s="580"/>
      <c r="GQ6" s="580"/>
      <c r="GR6" s="580"/>
      <c r="GS6" s="580"/>
      <c r="GT6" s="580"/>
      <c r="GU6" s="580"/>
      <c r="GV6" s="580"/>
      <c r="GW6" s="580"/>
      <c r="GX6" s="580"/>
      <c r="GY6" s="580"/>
      <c r="GZ6" s="580"/>
      <c r="HA6" s="580"/>
      <c r="HB6" s="580"/>
      <c r="HC6" s="580"/>
    </row>
    <row r="7" spans="1:211" ht="47" customHeight="1">
      <c r="A7" s="570">
        <v>2022</v>
      </c>
      <c r="B7" s="440"/>
      <c r="C7" s="441"/>
      <c r="D7" s="442"/>
      <c r="E7" s="1092" t="s">
        <v>396</v>
      </c>
      <c r="F7" s="1093"/>
      <c r="G7" s="1094"/>
      <c r="H7" s="566" t="s">
        <v>397</v>
      </c>
      <c r="I7" s="1058" t="s">
        <v>638</v>
      </c>
      <c r="J7" s="1458" t="s">
        <v>637</v>
      </c>
      <c r="K7" s="1074" t="s">
        <v>355</v>
      </c>
      <c r="L7" s="1075"/>
      <c r="M7" s="567" t="s">
        <v>358</v>
      </c>
      <c r="N7" s="1058" t="s">
        <v>551</v>
      </c>
      <c r="O7" s="1058" t="s">
        <v>363</v>
      </c>
      <c r="P7" s="1058" t="s">
        <v>626</v>
      </c>
      <c r="Q7" s="1058" t="s">
        <v>472</v>
      </c>
      <c r="R7" s="1085" t="s">
        <v>361</v>
      </c>
      <c r="S7" s="1088" t="s">
        <v>359</v>
      </c>
      <c r="T7" s="1089"/>
      <c r="U7" s="1089"/>
      <c r="V7" s="1089"/>
      <c r="W7" s="1089"/>
      <c r="X7" s="1090"/>
      <c r="Y7" s="385"/>
      <c r="Z7" s="385"/>
      <c r="AA7" s="1084" t="s">
        <v>309</v>
      </c>
      <c r="AB7" s="1084"/>
      <c r="AC7" s="1084"/>
      <c r="AD7" s="1084"/>
      <c r="AE7" s="1084"/>
      <c r="AF7" s="622"/>
      <c r="AG7" s="1084" t="s">
        <v>265</v>
      </c>
      <c r="AH7" s="1084"/>
      <c r="AI7" s="1084"/>
      <c r="AJ7" s="1084"/>
      <c r="AK7" s="1084"/>
      <c r="AL7" s="1084" t="s">
        <v>266</v>
      </c>
      <c r="AM7" s="1084"/>
      <c r="AN7" s="1084"/>
      <c r="AO7" s="1084"/>
      <c r="AP7" s="1084"/>
      <c r="AQ7" s="1084" t="s">
        <v>267</v>
      </c>
      <c r="AR7" s="1084"/>
      <c r="AS7" s="1084"/>
      <c r="AT7" s="1084"/>
      <c r="AU7" s="1084"/>
      <c r="AV7" s="1084" t="s">
        <v>268</v>
      </c>
      <c r="AW7" s="1084"/>
      <c r="AX7" s="1084"/>
      <c r="AY7" s="1084"/>
      <c r="AZ7" s="1084"/>
      <c r="BA7" s="527"/>
      <c r="BB7" s="529"/>
      <c r="BC7" s="1084" t="s">
        <v>312</v>
      </c>
      <c r="BD7" s="1084"/>
      <c r="BE7" s="1084"/>
      <c r="BF7" s="1084"/>
      <c r="BG7" s="1084" t="s">
        <v>270</v>
      </c>
      <c r="BH7" s="1084"/>
      <c r="BI7" s="1084"/>
      <c r="BJ7" s="1084"/>
      <c r="BK7" s="1084"/>
      <c r="BL7" s="1084" t="s">
        <v>271</v>
      </c>
      <c r="BM7" s="1084"/>
      <c r="BN7" s="1084"/>
      <c r="BO7" s="1084"/>
      <c r="BP7" s="1084"/>
      <c r="BQ7" s="1084" t="s">
        <v>272</v>
      </c>
      <c r="BR7" s="1084"/>
      <c r="BS7" s="1084"/>
      <c r="BT7" s="1084"/>
      <c r="BU7" s="1084"/>
      <c r="BV7" s="1084" t="s">
        <v>273</v>
      </c>
      <c r="BW7" s="1084"/>
      <c r="BX7" s="1084"/>
      <c r="BY7" s="1084"/>
      <c r="BZ7" s="1084"/>
      <c r="CA7" s="422"/>
      <c r="CD7" s="1084" t="s">
        <v>313</v>
      </c>
      <c r="CE7" s="1084"/>
      <c r="CF7" s="1084"/>
      <c r="CG7" s="1084"/>
      <c r="CH7" s="1084"/>
      <c r="CI7" s="1084" t="s">
        <v>315</v>
      </c>
      <c r="CJ7" s="1084"/>
      <c r="CK7" s="1084"/>
      <c r="CL7" s="1084"/>
      <c r="CM7" s="1084"/>
      <c r="CN7" s="1084" t="s">
        <v>314</v>
      </c>
      <c r="CO7" s="1084"/>
      <c r="CP7" s="1084"/>
      <c r="CQ7" s="1084"/>
      <c r="CR7" s="1084"/>
      <c r="CS7" s="1084" t="s">
        <v>316</v>
      </c>
      <c r="CT7" s="1084"/>
      <c r="CU7" s="1084"/>
      <c r="CV7" s="1084"/>
      <c r="CW7" s="1084"/>
      <c r="CX7" s="456"/>
      <c r="CY7" s="456"/>
      <c r="CZ7" s="422"/>
      <c r="DA7" s="998" t="s">
        <v>247</v>
      </c>
      <c r="DB7" s="998"/>
      <c r="DC7" s="998"/>
      <c r="DD7" s="998"/>
      <c r="DE7" s="998"/>
      <c r="DN7" s="580"/>
      <c r="DO7" s="580"/>
      <c r="DP7" s="580"/>
      <c r="DQ7" s="580"/>
      <c r="DR7" s="580"/>
      <c r="DS7" s="580"/>
      <c r="DT7" s="580"/>
      <c r="DU7" s="580"/>
      <c r="DV7" s="580"/>
      <c r="DW7" s="580"/>
      <c r="DX7" s="580"/>
      <c r="DY7" s="580"/>
      <c r="DZ7" s="580"/>
      <c r="EA7" s="580"/>
      <c r="EB7" s="580"/>
      <c r="EC7" s="580"/>
      <c r="ED7" s="580"/>
      <c r="EE7" s="580"/>
      <c r="EF7" s="580"/>
      <c r="EG7" s="580"/>
      <c r="EH7" s="580"/>
      <c r="EI7" s="580"/>
      <c r="EJ7" s="580"/>
      <c r="EK7" s="580"/>
      <c r="EL7" s="580"/>
      <c r="EM7" s="580"/>
      <c r="EN7" s="580"/>
      <c r="EO7" s="580"/>
      <c r="EP7" s="580"/>
      <c r="EQ7" s="580"/>
      <c r="ER7" s="580"/>
      <c r="ES7" s="580"/>
      <c r="ET7" s="580"/>
      <c r="EU7" s="580"/>
      <c r="EV7" s="580"/>
      <c r="EW7" s="580"/>
      <c r="EX7" s="580"/>
      <c r="EY7" s="580"/>
      <c r="EZ7" s="580"/>
      <c r="FA7" s="580"/>
      <c r="FB7" s="580"/>
      <c r="FC7" s="580"/>
      <c r="FD7" s="580"/>
      <c r="FE7" s="580"/>
      <c r="FF7" s="580"/>
      <c r="FG7" s="580"/>
      <c r="FH7" s="580"/>
      <c r="FI7" s="580"/>
      <c r="FJ7" s="580"/>
      <c r="FK7" s="580"/>
      <c r="FL7" s="580"/>
      <c r="FM7" s="580"/>
      <c r="FN7" s="580"/>
      <c r="FO7" s="580"/>
      <c r="FP7" s="580"/>
      <c r="FQ7" s="580"/>
      <c r="FR7" s="580"/>
      <c r="FS7" s="580"/>
      <c r="FT7" s="580"/>
      <c r="FU7" s="580"/>
      <c r="FV7" s="580"/>
      <c r="FW7" s="580"/>
      <c r="FX7" s="580"/>
      <c r="FY7" s="580"/>
      <c r="FZ7" s="580"/>
      <c r="GA7" s="580"/>
      <c r="GB7" s="580"/>
      <c r="GC7" s="580"/>
      <c r="GD7" s="580"/>
      <c r="GE7" s="580"/>
      <c r="GF7" s="580"/>
      <c r="GG7" s="580"/>
      <c r="GH7" s="580"/>
      <c r="GI7" s="580"/>
      <c r="GJ7" s="580"/>
      <c r="GK7" s="580"/>
      <c r="GL7" s="580"/>
      <c r="GM7" s="580"/>
      <c r="GN7" s="580"/>
      <c r="GO7" s="580"/>
      <c r="GP7" s="580"/>
      <c r="GQ7" s="580"/>
      <c r="GR7" s="580"/>
      <c r="GS7" s="580"/>
      <c r="GT7" s="580"/>
      <c r="GU7" s="580"/>
      <c r="GV7" s="580"/>
      <c r="GW7" s="580"/>
      <c r="GX7" s="580"/>
      <c r="GY7" s="580"/>
      <c r="GZ7" s="580"/>
      <c r="HA7" s="580"/>
      <c r="HB7" s="580"/>
      <c r="HC7" s="580"/>
    </row>
    <row r="8" spans="1:211" ht="160" customHeight="1">
      <c r="A8" s="1078" t="s">
        <v>277</v>
      </c>
      <c r="B8" s="1079"/>
      <c r="C8" s="1079"/>
      <c r="D8" s="1080"/>
      <c r="E8" s="1095"/>
      <c r="F8" s="1096"/>
      <c r="G8" s="1097"/>
      <c r="H8" s="1087" t="s">
        <v>496</v>
      </c>
      <c r="I8" s="1077"/>
      <c r="J8" s="1459"/>
      <c r="K8" s="596" t="s">
        <v>356</v>
      </c>
      <c r="L8" s="596" t="s">
        <v>357</v>
      </c>
      <c r="M8" s="885" t="s">
        <v>624</v>
      </c>
      <c r="N8" s="1059"/>
      <c r="O8" s="1059"/>
      <c r="P8" s="1059"/>
      <c r="Q8" s="1059"/>
      <c r="R8" s="1086"/>
      <c r="S8" s="569" t="s">
        <v>635</v>
      </c>
      <c r="T8" s="567" t="s">
        <v>362</v>
      </c>
      <c r="U8" s="567" t="s">
        <v>487</v>
      </c>
      <c r="V8" s="766" t="s">
        <v>540</v>
      </c>
      <c r="W8" s="766" t="s">
        <v>539</v>
      </c>
      <c r="X8" s="767" t="s">
        <v>484</v>
      </c>
      <c r="Y8" s="385" t="s">
        <v>328</v>
      </c>
      <c r="Z8" s="385" t="s">
        <v>329</v>
      </c>
      <c r="AA8" s="531" t="s">
        <v>246</v>
      </c>
      <c r="AB8" t="s">
        <v>155</v>
      </c>
      <c r="AC8" t="s">
        <v>158</v>
      </c>
      <c r="AD8" t="s">
        <v>157</v>
      </c>
      <c r="AE8" t="s">
        <v>156</v>
      </c>
      <c r="AF8" t="s">
        <v>505</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269</v>
      </c>
      <c r="BB8" s="420" t="s">
        <v>248</v>
      </c>
      <c r="BC8" t="s">
        <v>311</v>
      </c>
      <c r="BD8" t="s">
        <v>310</v>
      </c>
      <c r="BE8" t="s">
        <v>294</v>
      </c>
      <c r="BF8" t="s">
        <v>295</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80" t="s">
        <v>274</v>
      </c>
      <c r="CB8" s="430" t="s">
        <v>297</v>
      </c>
      <c r="CC8" s="531" t="s">
        <v>298</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455" t="s">
        <v>326</v>
      </c>
      <c r="CY8" s="455" t="s">
        <v>318</v>
      </c>
      <c r="CZ8" s="455" t="s">
        <v>319</v>
      </c>
      <c r="DA8" s="455" t="s">
        <v>320</v>
      </c>
      <c r="DB8" s="455" t="s">
        <v>321</v>
      </c>
      <c r="DC8" s="455" t="s">
        <v>322</v>
      </c>
      <c r="DD8" s="455" t="s">
        <v>323</v>
      </c>
      <c r="DE8" s="455" t="s">
        <v>324</v>
      </c>
      <c r="DF8" s="455" t="s">
        <v>325</v>
      </c>
      <c r="DG8" s="455"/>
      <c r="DN8" s="580"/>
      <c r="DO8" s="580"/>
      <c r="DP8" s="580"/>
      <c r="DQ8" s="580"/>
      <c r="DR8" s="580"/>
      <c r="DS8" s="580"/>
      <c r="DT8" s="580"/>
      <c r="DU8" s="580"/>
      <c r="DV8" s="580"/>
      <c r="DW8" s="580"/>
      <c r="DX8" s="580"/>
      <c r="DY8" s="580"/>
      <c r="DZ8" s="580"/>
      <c r="EA8" s="580"/>
      <c r="EB8" s="580"/>
      <c r="EC8" s="580"/>
      <c r="ED8" s="580"/>
      <c r="EE8" s="580"/>
      <c r="EF8" s="580"/>
      <c r="EG8" s="580"/>
      <c r="EH8" s="580"/>
      <c r="EI8" s="580"/>
      <c r="EJ8" s="580"/>
      <c r="EK8" s="580"/>
      <c r="EL8" s="580"/>
      <c r="EM8" s="580"/>
      <c r="EN8" s="580"/>
      <c r="EO8" s="580"/>
      <c r="EP8" s="580"/>
      <c r="EQ8" s="580"/>
      <c r="ER8" s="580"/>
      <c r="ES8" s="580"/>
      <c r="ET8" s="580"/>
      <c r="EU8" s="580"/>
      <c r="EV8" s="580"/>
      <c r="EW8" s="580"/>
      <c r="EX8" s="580"/>
      <c r="EY8" s="580"/>
      <c r="EZ8" s="580"/>
      <c r="FA8" s="580"/>
      <c r="FB8" s="580"/>
      <c r="FC8" s="580"/>
      <c r="FD8" s="580"/>
      <c r="FE8" s="580"/>
      <c r="FF8" s="580"/>
      <c r="FG8" s="580"/>
      <c r="FH8" s="580"/>
      <c r="FI8" s="580"/>
      <c r="FJ8" s="580"/>
      <c r="FK8" s="580"/>
      <c r="FL8" s="580"/>
      <c r="FM8" s="580"/>
      <c r="FN8" s="580"/>
      <c r="FO8" s="580"/>
      <c r="FP8" s="580"/>
      <c r="FQ8" s="580"/>
      <c r="FR8" s="580"/>
      <c r="FS8" s="580"/>
      <c r="FT8" s="580"/>
      <c r="FU8" s="580"/>
      <c r="FV8" s="580"/>
      <c r="FW8" s="580"/>
      <c r="FX8" s="580"/>
      <c r="FY8" s="580"/>
      <c r="FZ8" s="580"/>
      <c r="GA8" s="580"/>
      <c r="GB8" s="580"/>
      <c r="GC8" s="580"/>
      <c r="GD8" s="580"/>
      <c r="GE8" s="580"/>
      <c r="GF8" s="580"/>
      <c r="GG8" s="580"/>
      <c r="GH8" s="580"/>
      <c r="GI8" s="580"/>
      <c r="GJ8" s="580"/>
      <c r="GK8" s="580"/>
      <c r="GL8" s="580"/>
      <c r="GM8" s="580"/>
      <c r="GN8" s="580"/>
      <c r="GO8" s="580"/>
      <c r="GP8" s="580"/>
      <c r="GQ8" s="580"/>
      <c r="GR8" s="580"/>
      <c r="GS8" s="580"/>
      <c r="GT8" s="580"/>
      <c r="GU8" s="580"/>
      <c r="GV8" s="580"/>
      <c r="GW8" s="580"/>
      <c r="GX8" s="580"/>
      <c r="GY8" s="580"/>
      <c r="GZ8" s="580"/>
      <c r="HA8" s="580"/>
      <c r="HB8" s="580"/>
      <c r="HC8" s="580"/>
    </row>
    <row r="9" spans="1:211" ht="20" customHeight="1">
      <c r="A9" s="1081"/>
      <c r="B9" s="1082"/>
      <c r="C9" s="1082"/>
      <c r="D9" s="1083"/>
      <c r="E9" s="1098"/>
      <c r="F9" s="1099"/>
      <c r="G9" s="1100"/>
      <c r="H9" s="1059"/>
      <c r="I9" s="1068" t="s">
        <v>468</v>
      </c>
      <c r="J9" s="1076"/>
      <c r="K9" s="1068" t="s">
        <v>399</v>
      </c>
      <c r="L9" s="1069"/>
      <c r="M9" s="1069"/>
      <c r="N9" s="1069"/>
      <c r="O9" s="1069"/>
      <c r="P9" s="1069"/>
      <c r="Q9" s="1069"/>
      <c r="R9" s="1069"/>
      <c r="S9" s="1091" t="s">
        <v>468</v>
      </c>
      <c r="T9" s="1069"/>
      <c r="U9" s="1076"/>
      <c r="V9" s="1068" t="s">
        <v>469</v>
      </c>
      <c r="W9" s="1069"/>
      <c r="X9" s="1070"/>
      <c r="Y9" s="385"/>
      <c r="Z9" s="385"/>
      <c r="AA9" s="531"/>
      <c r="BB9" s="420"/>
      <c r="CA9" s="180"/>
      <c r="CB9" s="430"/>
      <c r="CC9" s="531"/>
      <c r="CX9" s="455"/>
      <c r="DA9" s="455"/>
      <c r="DB9" s="455"/>
      <c r="DC9" s="455"/>
      <c r="DD9" s="455"/>
      <c r="DE9" s="455"/>
      <c r="DF9" s="455"/>
      <c r="DG9" s="455"/>
      <c r="DN9" s="580"/>
      <c r="DO9" s="580"/>
      <c r="DP9" s="580"/>
      <c r="DQ9" s="580"/>
      <c r="DR9" s="580"/>
      <c r="DS9" s="580"/>
      <c r="DT9" s="580"/>
      <c r="DU9" s="580"/>
      <c r="DV9" s="580"/>
      <c r="DW9" s="580"/>
      <c r="DX9" s="580"/>
      <c r="DY9" s="580"/>
      <c r="DZ9" s="580"/>
      <c r="EA9" s="580"/>
      <c r="EB9" s="580"/>
      <c r="EC9" s="580"/>
      <c r="ED9" s="580"/>
      <c r="EE9" s="580"/>
      <c r="EF9" s="580"/>
      <c r="EG9" s="580"/>
      <c r="EH9" s="580"/>
      <c r="EI9" s="580"/>
      <c r="EJ9" s="580"/>
      <c r="EK9" s="580"/>
      <c r="EL9" s="580"/>
      <c r="EM9" s="580"/>
      <c r="EN9" s="580"/>
      <c r="EO9" s="580"/>
      <c r="EP9" s="580"/>
      <c r="EQ9" s="580"/>
      <c r="ER9" s="580"/>
      <c r="ES9" s="580"/>
      <c r="ET9" s="580"/>
      <c r="EU9" s="580"/>
      <c r="EV9" s="580"/>
      <c r="EW9" s="580"/>
      <c r="EX9" s="580"/>
      <c r="EY9" s="580"/>
      <c r="EZ9" s="580"/>
      <c r="FA9" s="580"/>
      <c r="FB9" s="580"/>
      <c r="FC9" s="580"/>
      <c r="FD9" s="580"/>
      <c r="FE9" s="580"/>
      <c r="FF9" s="580"/>
      <c r="FG9" s="580"/>
      <c r="FH9" s="580"/>
      <c r="FI9" s="580"/>
      <c r="FJ9" s="580"/>
      <c r="FK9" s="580"/>
      <c r="FL9" s="580"/>
      <c r="FM9" s="580"/>
      <c r="FN9" s="580"/>
      <c r="FO9" s="580"/>
      <c r="FP9" s="580"/>
      <c r="FQ9" s="580"/>
      <c r="FR9" s="580"/>
      <c r="FS9" s="580"/>
      <c r="FT9" s="580"/>
      <c r="FU9" s="580"/>
      <c r="FV9" s="580"/>
      <c r="FW9" s="580"/>
      <c r="FX9" s="580"/>
      <c r="FY9" s="580"/>
      <c r="FZ9" s="580"/>
      <c r="GA9" s="580"/>
      <c r="GB9" s="580"/>
      <c r="GC9" s="580"/>
      <c r="GD9" s="580"/>
      <c r="GE9" s="580"/>
      <c r="GF9" s="580"/>
      <c r="GG9" s="580"/>
      <c r="GH9" s="580"/>
      <c r="GI9" s="580"/>
      <c r="GJ9" s="580"/>
      <c r="GK9" s="580"/>
      <c r="GL9" s="580"/>
      <c r="GM9" s="580"/>
      <c r="GN9" s="580"/>
      <c r="GO9" s="580"/>
      <c r="GP9" s="580"/>
      <c r="GQ9" s="580"/>
      <c r="GR9" s="580"/>
      <c r="GS9" s="580"/>
      <c r="GT9" s="580"/>
      <c r="GU9" s="580"/>
      <c r="GV9" s="580"/>
      <c r="GW9" s="580"/>
      <c r="GX9" s="580"/>
      <c r="GY9" s="580"/>
      <c r="GZ9" s="580"/>
      <c r="HA9" s="580"/>
      <c r="HB9" s="580"/>
      <c r="HC9" s="580"/>
    </row>
    <row r="10" spans="1:211">
      <c r="A10" s="443">
        <f>IF(ISNUMBER(A8),A8+1,1)</f>
        <v>1</v>
      </c>
      <c r="B10" s="218" t="str">
        <f t="shared" ref="B10:B40" si="0">CHOOSE(MOD(WEEKDAY(DATE(A$7,A$2,A10)),7)+1,"lø","sø","ma","ti","on","to","fr",)</f>
        <v>ma</v>
      </c>
      <c r="C10" s="219" t="s">
        <v>245</v>
      </c>
      <c r="D10" s="220">
        <f t="shared" ref="D10:D40" si="1">IF(B10="ma",(DATE(A$7,A$2,A10)-DATE(A$7,1,1)+7)/7,"")</f>
        <v>31.285714285714285</v>
      </c>
      <c r="E10" s="906" t="s">
        <v>121</v>
      </c>
      <c r="F10" s="907"/>
      <c r="G10" s="908"/>
      <c r="H10" s="594"/>
      <c r="I10" s="855"/>
      <c r="J10" s="726"/>
      <c r="K10" s="669"/>
      <c r="L10" s="669"/>
      <c r="M10" s="669"/>
      <c r="N10" s="557">
        <f>BA10</f>
        <v>0</v>
      </c>
      <c r="O10" s="557">
        <f>CA10</f>
        <v>0</v>
      </c>
      <c r="P10" s="557">
        <f>IF(Stamoplysninger!$H$29="JA",August!DG10,CX10)</f>
        <v>0</v>
      </c>
      <c r="Q10" s="557">
        <f>IF(OR(C10="Lejrskole",C10="Ekskursion"),0,N10-O10-P10)</f>
        <v>0</v>
      </c>
      <c r="R10" s="725"/>
      <c r="S10" s="564"/>
      <c r="T10" s="565"/>
      <c r="U10" s="565"/>
      <c r="V10" s="559"/>
      <c r="W10" s="763"/>
      <c r="X10" s="560"/>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40" si="8">SUM(AA10:AZ10)</f>
        <v>0</v>
      </c>
      <c r="BB10" s="421">
        <f t="shared" ref="BB10:BB40" si="9">SUM(AG10:AK10)*24</f>
        <v>0</v>
      </c>
      <c r="BC10" s="1">
        <f>IF($C$10="Lejrskole",$L$10,0)</f>
        <v>0</v>
      </c>
      <c r="BD10" s="1">
        <f t="shared" ref="BD10:BD40" si="10">IF(C10="Ekskursion",L10,0)</f>
        <v>0</v>
      </c>
      <c r="BE10" s="1">
        <f t="shared" ref="BE10:BE40" si="11">IF(C10="fagdag",L10,0)</f>
        <v>0</v>
      </c>
      <c r="BF10" s="1">
        <f t="shared" ref="BF10:BF40" si="12">IF(C10="emnedag",L10,0)</f>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SUM(BG10:BZ10)*24+SUM(BC10:BF10)</f>
        <v>0</v>
      </c>
      <c r="CB10" s="1">
        <f t="shared" ref="CB10:CB40" si="13">IF(C10="fagdag",M10,0)</f>
        <v>0</v>
      </c>
      <c r="CC10" s="1">
        <f t="shared" ref="CC10:CC40" si="14">IF(C10="emnedag",M10,0)</f>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2",B10="fr"),Skemaoplysninger!$S$637,"")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v>
      </c>
      <c r="CY10" s="457">
        <f>IF(C10="Skema 1",Stamoplysninger!$H$30/200,0)</f>
        <v>0</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SUM(CY10:DF10)</f>
        <v>0</v>
      </c>
      <c r="DN10" s="580"/>
      <c r="DO10" s="580"/>
      <c r="DP10" s="580"/>
      <c r="DQ10" s="580"/>
      <c r="DR10" s="580"/>
      <c r="DS10" s="580"/>
      <c r="DT10" s="580"/>
      <c r="DU10" s="580"/>
      <c r="DV10" s="580"/>
      <c r="DW10" s="580"/>
      <c r="DX10" s="580"/>
      <c r="DY10" s="580"/>
      <c r="DZ10" s="580"/>
      <c r="EA10" s="580"/>
      <c r="EB10" s="580"/>
      <c r="EC10" s="580"/>
      <c r="ED10" s="580"/>
      <c r="EE10" s="580"/>
      <c r="EF10" s="580"/>
      <c r="EG10" s="580"/>
      <c r="EH10" s="580"/>
      <c r="EI10" s="580"/>
      <c r="EJ10" s="580"/>
      <c r="EK10" s="580"/>
      <c r="EL10" s="580"/>
      <c r="EM10" s="580"/>
      <c r="EN10" s="580"/>
      <c r="EO10" s="580"/>
      <c r="EP10" s="580"/>
      <c r="EQ10" s="580"/>
      <c r="ER10" s="580"/>
      <c r="ES10" s="580"/>
      <c r="ET10" s="580"/>
      <c r="EU10" s="580"/>
      <c r="EV10" s="580"/>
      <c r="EW10" s="580"/>
      <c r="EX10" s="580"/>
      <c r="EY10" s="580"/>
      <c r="EZ10" s="580"/>
      <c r="FA10" s="580"/>
      <c r="FB10" s="580"/>
      <c r="FC10" s="580"/>
      <c r="FD10" s="580"/>
      <c r="FE10" s="580"/>
      <c r="FF10" s="580"/>
      <c r="FG10" s="580"/>
      <c r="FH10" s="580"/>
      <c r="FI10" s="580"/>
      <c r="FJ10" s="580"/>
      <c r="FK10" s="580"/>
      <c r="FL10" s="580"/>
      <c r="FM10" s="580"/>
      <c r="FN10" s="580"/>
      <c r="FO10" s="580"/>
      <c r="FP10" s="580"/>
      <c r="FQ10" s="580"/>
      <c r="FR10" s="580"/>
      <c r="FS10" s="580"/>
      <c r="FT10" s="580"/>
      <c r="FU10" s="580"/>
      <c r="FV10" s="580"/>
      <c r="FW10" s="580"/>
      <c r="FX10" s="580"/>
      <c r="FY10" s="580"/>
      <c r="FZ10" s="580"/>
      <c r="GA10" s="580"/>
      <c r="GB10" s="580"/>
      <c r="GC10" s="580"/>
      <c r="GD10" s="580"/>
      <c r="GE10" s="580"/>
      <c r="GF10" s="580"/>
      <c r="GG10" s="580"/>
      <c r="GH10" s="580"/>
      <c r="GI10" s="580"/>
      <c r="GJ10" s="580"/>
      <c r="GK10" s="580"/>
      <c r="GL10" s="580"/>
      <c r="GM10" s="580"/>
      <c r="GN10" s="580"/>
      <c r="GO10" s="580"/>
      <c r="GP10" s="580"/>
      <c r="GQ10" s="580"/>
      <c r="GR10" s="580"/>
      <c r="GS10" s="580"/>
      <c r="GT10" s="580"/>
      <c r="GU10" s="580"/>
      <c r="GV10" s="580"/>
      <c r="GW10" s="580"/>
      <c r="GX10" s="580"/>
      <c r="GY10" s="580"/>
      <c r="GZ10" s="580"/>
      <c r="HA10" s="580"/>
      <c r="HB10" s="580"/>
      <c r="HC10" s="580"/>
    </row>
    <row r="11" spans="1:211">
      <c r="A11" s="443">
        <f t="shared" ref="A11:A39" si="15">IF(ISNUMBER(A10),A10+1,1)</f>
        <v>2</v>
      </c>
      <c r="B11" s="218" t="str">
        <f t="shared" si="0"/>
        <v>ti</v>
      </c>
      <c r="C11" s="219" t="s">
        <v>245</v>
      </c>
      <c r="D11" s="220" t="str">
        <f t="shared" si="1"/>
        <v/>
      </c>
      <c r="E11" s="906" t="s">
        <v>121</v>
      </c>
      <c r="F11" s="907"/>
      <c r="G11" s="908"/>
      <c r="H11" s="594"/>
      <c r="I11" s="855"/>
      <c r="J11" s="726"/>
      <c r="K11" s="669"/>
      <c r="L11" s="669"/>
      <c r="M11" s="669"/>
      <c r="N11" s="557">
        <f t="shared" ref="N11:N40" si="16">BA11</f>
        <v>0</v>
      </c>
      <c r="O11" s="557">
        <f t="shared" ref="O11:O40" si="17">CA11</f>
        <v>0</v>
      </c>
      <c r="P11" s="557">
        <f>IF(Stamoplysninger!$H$29="JA",August!DG11,CX11)</f>
        <v>0</v>
      </c>
      <c r="Q11" s="557">
        <f t="shared" ref="Q11:Q40" si="18">IF(OR(C11="Lejrskole",C11="Ekskursion"),0,N11-O11-P11)</f>
        <v>0</v>
      </c>
      <c r="R11" s="725"/>
      <c r="S11" s="564"/>
      <c r="T11" s="565"/>
      <c r="U11" s="565"/>
      <c r="V11" s="559"/>
      <c r="W11" s="763"/>
      <c r="X11" s="560"/>
      <c r="Y11">
        <f t="shared" ref="Y11:Y40" si="19">IF(S11="x",V11-N11,0)</f>
        <v>0</v>
      </c>
      <c r="Z11">
        <f t="shared" si="2"/>
        <v>0</v>
      </c>
      <c r="AA11" s="1">
        <f t="shared" si="3"/>
        <v>0</v>
      </c>
      <c r="AB11" s="1">
        <f t="shared" si="4"/>
        <v>0</v>
      </c>
      <c r="AC11" s="1">
        <f t="shared" si="5"/>
        <v>0</v>
      </c>
      <c r="AD11" s="1">
        <f t="shared" si="6"/>
        <v>0</v>
      </c>
      <c r="AE11" s="1">
        <f t="shared" si="7"/>
        <v>0</v>
      </c>
      <c r="AF11" s="1">
        <f>IF(C11="Orlov",Stamoplysninger!$E$15*7.4,0)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8"/>
        <v>0</v>
      </c>
      <c r="BB11" s="421">
        <f t="shared" si="9"/>
        <v>0</v>
      </c>
      <c r="BC11" s="1">
        <f t="shared" ref="BC11:BC40" si="20">IF(C11="Lejrskole",L11,0)</f>
        <v>0</v>
      </c>
      <c r="BD11" s="1">
        <f t="shared" si="10"/>
        <v>0</v>
      </c>
      <c r="BE11" s="1">
        <f t="shared" si="11"/>
        <v>0</v>
      </c>
      <c r="BF11" s="1">
        <f t="shared" si="12"/>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ref="CA11:CA40" si="21">SUM(BG11:BZ11)*24+SUM(BC11:BF11)</f>
        <v>0</v>
      </c>
      <c r="CB11" s="1">
        <f t="shared" si="13"/>
        <v>0</v>
      </c>
      <c r="CC11" s="1">
        <f t="shared" si="14"/>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2",B11="fr"),Skemaoplysninger!$S$637,"")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ref="DG11:DG40" si="22">SUM(CY11:DF11)</f>
        <v>0</v>
      </c>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row>
    <row r="12" spans="1:211">
      <c r="A12" s="443">
        <f t="shared" si="15"/>
        <v>3</v>
      </c>
      <c r="B12" s="218" t="str">
        <f t="shared" si="0"/>
        <v>on</v>
      </c>
      <c r="C12" s="219" t="s">
        <v>158</v>
      </c>
      <c r="D12" s="220" t="str">
        <f t="shared" si="1"/>
        <v/>
      </c>
      <c r="E12" s="906"/>
      <c r="F12" s="907"/>
      <c r="G12" s="908"/>
      <c r="H12" s="594"/>
      <c r="I12" s="855"/>
      <c r="J12" s="726"/>
      <c r="K12" s="669">
        <v>6</v>
      </c>
      <c r="L12" s="669"/>
      <c r="M12" s="669"/>
      <c r="N12" s="557">
        <f t="shared" si="16"/>
        <v>6</v>
      </c>
      <c r="O12" s="557">
        <f t="shared" si="17"/>
        <v>0</v>
      </c>
      <c r="P12" s="557">
        <f>IF(Stamoplysninger!$H$29="JA",August!DG12,CX12)</f>
        <v>0</v>
      </c>
      <c r="Q12" s="557">
        <f t="shared" si="18"/>
        <v>6</v>
      </c>
      <c r="R12" s="725"/>
      <c r="S12" s="564"/>
      <c r="T12" s="565"/>
      <c r="U12" s="565"/>
      <c r="V12" s="559"/>
      <c r="W12" s="763"/>
      <c r="X12" s="560"/>
      <c r="Y12">
        <f t="shared" si="19"/>
        <v>0</v>
      </c>
      <c r="Z12">
        <f t="shared" si="2"/>
        <v>0</v>
      </c>
      <c r="AA12" s="1">
        <f t="shared" si="3"/>
        <v>0</v>
      </c>
      <c r="AB12" s="1">
        <f t="shared" si="4"/>
        <v>0</v>
      </c>
      <c r="AC12" s="1">
        <f t="shared" si="5"/>
        <v>6</v>
      </c>
      <c r="AD12" s="1">
        <f t="shared" si="6"/>
        <v>0</v>
      </c>
      <c r="AE12" s="1">
        <f t="shared" si="7"/>
        <v>0</v>
      </c>
      <c r="AF12" s="1">
        <f>IF(C12="Orlov",Stamoplysninger!$E$15*7.4,0)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8"/>
        <v>6</v>
      </c>
      <c r="BB12" s="421">
        <f t="shared" si="9"/>
        <v>0</v>
      </c>
      <c r="BC12" s="1">
        <f t="shared" si="20"/>
        <v>0</v>
      </c>
      <c r="BD12" s="1">
        <f t="shared" si="10"/>
        <v>0</v>
      </c>
      <c r="BE12" s="1">
        <f t="shared" si="11"/>
        <v>0</v>
      </c>
      <c r="BF12" s="1">
        <f t="shared" si="12"/>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3"/>
        <v>0</v>
      </c>
      <c r="CC12" s="1">
        <f t="shared" si="14"/>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2",B12="fr"),Skemaoplysninger!$S$637,"")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580"/>
      <c r="FG12" s="580"/>
      <c r="FH12" s="580"/>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row>
    <row r="13" spans="1:211">
      <c r="A13" s="443">
        <f t="shared" si="15"/>
        <v>4</v>
      </c>
      <c r="B13" s="218" t="str">
        <f t="shared" si="0"/>
        <v>to</v>
      </c>
      <c r="C13" s="219" t="s">
        <v>158</v>
      </c>
      <c r="D13" s="220" t="str">
        <f t="shared" si="1"/>
        <v/>
      </c>
      <c r="E13" s="906"/>
      <c r="F13" s="907"/>
      <c r="G13" s="908"/>
      <c r="H13" s="594"/>
      <c r="I13" s="855"/>
      <c r="J13" s="726"/>
      <c r="K13" s="669">
        <v>6</v>
      </c>
      <c r="L13" s="669"/>
      <c r="M13" s="669"/>
      <c r="N13" s="557">
        <f t="shared" si="16"/>
        <v>6</v>
      </c>
      <c r="O13" s="557">
        <f t="shared" si="17"/>
        <v>0</v>
      </c>
      <c r="P13" s="557">
        <f>IF(Stamoplysninger!$H$29="JA",August!DG13,CX13)</f>
        <v>0</v>
      </c>
      <c r="Q13" s="557">
        <f t="shared" si="18"/>
        <v>6</v>
      </c>
      <c r="R13" s="725"/>
      <c r="S13" s="564"/>
      <c r="T13" s="565"/>
      <c r="U13" s="565"/>
      <c r="V13" s="559"/>
      <c r="W13" s="763"/>
      <c r="X13" s="560"/>
      <c r="Y13">
        <f t="shared" si="19"/>
        <v>0</v>
      </c>
      <c r="Z13">
        <f t="shared" si="2"/>
        <v>0</v>
      </c>
      <c r="AA13" s="1">
        <f t="shared" si="3"/>
        <v>0</v>
      </c>
      <c r="AB13" s="1">
        <f t="shared" si="4"/>
        <v>0</v>
      </c>
      <c r="AC13" s="1">
        <f t="shared" si="5"/>
        <v>6</v>
      </c>
      <c r="AD13" s="1">
        <f t="shared" si="6"/>
        <v>0</v>
      </c>
      <c r="AE13" s="1">
        <f t="shared" si="7"/>
        <v>0</v>
      </c>
      <c r="AF13" s="1">
        <f>IF(C13="Orlov",Stamoplysninger!$E$15*7.4,0)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8"/>
        <v>6</v>
      </c>
      <c r="BB13" s="421">
        <f t="shared" si="9"/>
        <v>0</v>
      </c>
      <c r="BC13" s="1">
        <f t="shared" si="20"/>
        <v>0</v>
      </c>
      <c r="BD13" s="1">
        <f t="shared" si="10"/>
        <v>0</v>
      </c>
      <c r="BE13" s="1">
        <f t="shared" si="11"/>
        <v>0</v>
      </c>
      <c r="BF13" s="1">
        <f t="shared" si="12"/>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3"/>
        <v>0</v>
      </c>
      <c r="CC13" s="1">
        <f t="shared" si="14"/>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2",B13="fr"),Skemaoplysninger!$S$637,"")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c r="DN13" s="580"/>
      <c r="DO13" s="580"/>
      <c r="DP13" s="580"/>
      <c r="DQ13" s="580"/>
      <c r="DR13" s="580"/>
      <c r="DS13" s="580"/>
      <c r="DT13" s="580"/>
      <c r="DU13" s="580"/>
      <c r="DV13" s="580"/>
      <c r="DW13" s="580"/>
      <c r="DX13" s="580"/>
      <c r="DY13" s="580"/>
      <c r="DZ13" s="580"/>
      <c r="EA13" s="580"/>
      <c r="EB13" s="580"/>
      <c r="EC13" s="580"/>
      <c r="ED13" s="580"/>
      <c r="EE13" s="580"/>
      <c r="EF13" s="580"/>
      <c r="EG13" s="580"/>
      <c r="EH13" s="580"/>
      <c r="EI13" s="580"/>
      <c r="EJ13" s="580"/>
      <c r="EK13" s="580"/>
      <c r="EL13" s="580"/>
      <c r="EM13" s="580"/>
      <c r="EN13" s="580"/>
      <c r="EO13" s="580"/>
      <c r="EP13" s="580"/>
      <c r="EQ13" s="580"/>
      <c r="ER13" s="580"/>
      <c r="ES13" s="580"/>
      <c r="ET13" s="580"/>
      <c r="EU13" s="580"/>
      <c r="EV13" s="580"/>
      <c r="EW13" s="580"/>
      <c r="EX13" s="580"/>
      <c r="EY13" s="580"/>
      <c r="EZ13" s="580"/>
      <c r="FA13" s="580"/>
      <c r="FB13" s="580"/>
      <c r="FC13" s="580"/>
      <c r="FD13" s="580"/>
      <c r="FE13" s="580"/>
      <c r="FF13" s="580"/>
      <c r="FG13" s="580"/>
      <c r="FH13" s="580"/>
      <c r="FI13" s="580"/>
      <c r="FJ13" s="580"/>
      <c r="FK13" s="580"/>
      <c r="FL13" s="580"/>
      <c r="FM13" s="580"/>
      <c r="FN13" s="580"/>
      <c r="FO13" s="580"/>
      <c r="FP13" s="580"/>
      <c r="FQ13" s="580"/>
      <c r="FR13" s="580"/>
      <c r="FS13" s="580"/>
      <c r="FT13" s="580"/>
      <c r="FU13" s="580"/>
      <c r="FV13" s="580"/>
      <c r="FW13" s="580"/>
      <c r="FX13" s="580"/>
      <c r="FY13" s="580"/>
      <c r="FZ13" s="580"/>
      <c r="GA13" s="580"/>
      <c r="GB13" s="580"/>
      <c r="GC13" s="580"/>
      <c r="GD13" s="580"/>
      <c r="GE13" s="580"/>
      <c r="GF13" s="580"/>
      <c r="GG13" s="580"/>
      <c r="GH13" s="580"/>
      <c r="GI13" s="580"/>
      <c r="GJ13" s="580"/>
      <c r="GK13" s="580"/>
      <c r="GL13" s="580"/>
      <c r="GM13" s="580"/>
      <c r="GN13" s="580"/>
      <c r="GO13" s="580"/>
      <c r="GP13" s="580"/>
      <c r="GQ13" s="580"/>
      <c r="GR13" s="580"/>
      <c r="GS13" s="580"/>
      <c r="GT13" s="580"/>
      <c r="GU13" s="580"/>
      <c r="GV13" s="580"/>
      <c r="GW13" s="580"/>
      <c r="GX13" s="580"/>
      <c r="GY13" s="580"/>
      <c r="GZ13" s="580"/>
      <c r="HA13" s="580"/>
      <c r="HB13" s="580"/>
      <c r="HC13" s="580"/>
    </row>
    <row r="14" spans="1:211">
      <c r="A14" s="443">
        <f t="shared" si="15"/>
        <v>5</v>
      </c>
      <c r="B14" s="218" t="str">
        <f t="shared" si="0"/>
        <v>fr</v>
      </c>
      <c r="C14" s="219" t="s">
        <v>158</v>
      </c>
      <c r="D14" s="220" t="str">
        <f t="shared" si="1"/>
        <v/>
      </c>
      <c r="E14" s="906"/>
      <c r="F14" s="907"/>
      <c r="G14" s="908"/>
      <c r="H14" s="594"/>
      <c r="I14" s="855"/>
      <c r="J14" s="726"/>
      <c r="K14" s="669">
        <v>6</v>
      </c>
      <c r="L14" s="669"/>
      <c r="M14" s="669"/>
      <c r="N14" s="557">
        <f t="shared" si="16"/>
        <v>6</v>
      </c>
      <c r="O14" s="557">
        <f t="shared" si="17"/>
        <v>0</v>
      </c>
      <c r="P14" s="557">
        <f>IF(Stamoplysninger!$H$29="JA",August!DG14,CX14)</f>
        <v>0</v>
      </c>
      <c r="Q14" s="557">
        <f t="shared" si="18"/>
        <v>6</v>
      </c>
      <c r="R14" s="725"/>
      <c r="S14" s="564"/>
      <c r="T14" s="565"/>
      <c r="U14" s="565"/>
      <c r="V14" s="559"/>
      <c r="W14" s="763"/>
      <c r="X14" s="560"/>
      <c r="Y14">
        <f t="shared" si="19"/>
        <v>0</v>
      </c>
      <c r="Z14">
        <f t="shared" si="2"/>
        <v>0</v>
      </c>
      <c r="AA14" s="1">
        <f t="shared" si="3"/>
        <v>0</v>
      </c>
      <c r="AB14" s="1">
        <f t="shared" si="4"/>
        <v>0</v>
      </c>
      <c r="AC14" s="1">
        <f t="shared" si="5"/>
        <v>6</v>
      </c>
      <c r="AD14" s="1">
        <f t="shared" si="6"/>
        <v>0</v>
      </c>
      <c r="AE14" s="1">
        <f t="shared" si="7"/>
        <v>0</v>
      </c>
      <c r="AF14" s="1">
        <f>IF(C14="Orlov",Stamoplysninger!$E$15*7.4,0)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8"/>
        <v>6</v>
      </c>
      <c r="BB14" s="421">
        <f t="shared" si="9"/>
        <v>0</v>
      </c>
      <c r="BC14" s="1">
        <f t="shared" si="20"/>
        <v>0</v>
      </c>
      <c r="BD14" s="1">
        <f t="shared" si="10"/>
        <v>0</v>
      </c>
      <c r="BE14" s="1">
        <f t="shared" si="11"/>
        <v>0</v>
      </c>
      <c r="BF14" s="1">
        <f t="shared" si="12"/>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0</v>
      </c>
      <c r="CB14" s="1">
        <f t="shared" si="13"/>
        <v>0</v>
      </c>
      <c r="CC14" s="1">
        <f t="shared" si="14"/>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2",B14="fr"),Skemaoplysninger!$S$637,"")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0</v>
      </c>
      <c r="DN14" s="580"/>
      <c r="DO14" s="580"/>
      <c r="DP14" s="580"/>
      <c r="DQ14" s="580"/>
      <c r="DR14" s="580"/>
      <c r="DS14" s="580"/>
      <c r="DT14" s="580"/>
      <c r="DU14" s="580"/>
      <c r="DV14" s="580"/>
      <c r="DW14" s="580"/>
      <c r="DX14" s="580"/>
      <c r="DY14" s="580"/>
      <c r="DZ14" s="580"/>
      <c r="EA14" s="580"/>
      <c r="EB14" s="580"/>
      <c r="EC14" s="580"/>
      <c r="ED14" s="580"/>
      <c r="EE14" s="580"/>
      <c r="EF14" s="580"/>
      <c r="EG14" s="580"/>
      <c r="EH14" s="580"/>
      <c r="EI14" s="580"/>
      <c r="EJ14" s="580"/>
      <c r="EK14" s="580"/>
      <c r="EL14" s="580"/>
      <c r="EM14" s="580"/>
      <c r="EN14" s="580"/>
      <c r="EO14" s="580"/>
      <c r="EP14" s="580"/>
      <c r="EQ14" s="580"/>
      <c r="ER14" s="580"/>
      <c r="ES14" s="580"/>
      <c r="ET14" s="580"/>
      <c r="EU14" s="580"/>
      <c r="EV14" s="580"/>
      <c r="EW14" s="580"/>
      <c r="EX14" s="580"/>
      <c r="EY14" s="580"/>
      <c r="EZ14" s="580"/>
      <c r="FA14" s="580"/>
      <c r="FB14" s="580"/>
      <c r="FC14" s="580"/>
      <c r="FD14" s="580"/>
      <c r="FE14" s="580"/>
      <c r="FF14" s="580"/>
      <c r="FG14" s="580"/>
      <c r="FH14" s="580"/>
      <c r="FI14" s="580"/>
      <c r="FJ14" s="580"/>
      <c r="FK14" s="580"/>
      <c r="FL14" s="580"/>
      <c r="FM14" s="580"/>
      <c r="FN14" s="580"/>
      <c r="FO14" s="580"/>
      <c r="FP14" s="580"/>
      <c r="FQ14" s="580"/>
      <c r="FR14" s="580"/>
      <c r="FS14" s="580"/>
      <c r="FT14" s="580"/>
      <c r="FU14" s="580"/>
      <c r="FV14" s="580"/>
      <c r="FW14" s="580"/>
      <c r="FX14" s="580"/>
      <c r="FY14" s="580"/>
      <c r="FZ14" s="580"/>
      <c r="GA14" s="580"/>
      <c r="GB14" s="580"/>
      <c r="GC14" s="580"/>
      <c r="GD14" s="580"/>
      <c r="GE14" s="580"/>
      <c r="GF14" s="580"/>
      <c r="GG14" s="580"/>
      <c r="GH14" s="580"/>
      <c r="GI14" s="580"/>
      <c r="GJ14" s="580"/>
      <c r="GK14" s="580"/>
      <c r="GL14" s="580"/>
      <c r="GM14" s="580"/>
      <c r="GN14" s="580"/>
      <c r="GO14" s="580"/>
      <c r="GP14" s="580"/>
      <c r="GQ14" s="580"/>
      <c r="GR14" s="580"/>
      <c r="GS14" s="580"/>
      <c r="GT14" s="580"/>
      <c r="GU14" s="580"/>
      <c r="GV14" s="580"/>
      <c r="GW14" s="580"/>
      <c r="GX14" s="580"/>
      <c r="GY14" s="580"/>
      <c r="GZ14" s="580"/>
      <c r="HA14" s="580"/>
      <c r="HB14" s="580"/>
      <c r="HC14" s="580"/>
    </row>
    <row r="15" spans="1:211" ht="16" customHeight="1">
      <c r="A15" s="443">
        <f t="shared" si="15"/>
        <v>6</v>
      </c>
      <c r="B15" s="218" t="str">
        <f t="shared" si="0"/>
        <v>lø</v>
      </c>
      <c r="C15" s="219" t="s">
        <v>138</v>
      </c>
      <c r="D15" s="220" t="str">
        <f t="shared" si="1"/>
        <v/>
      </c>
      <c r="E15" s="906"/>
      <c r="F15" s="907"/>
      <c r="G15" s="908"/>
      <c r="H15" s="594"/>
      <c r="I15" s="726"/>
      <c r="J15" s="726"/>
      <c r="K15" s="669"/>
      <c r="L15" s="669"/>
      <c r="M15" s="669"/>
      <c r="N15" s="557">
        <f t="shared" si="16"/>
        <v>0</v>
      </c>
      <c r="O15" s="557">
        <f t="shared" si="17"/>
        <v>0</v>
      </c>
      <c r="P15" s="557">
        <f>IF(Stamoplysninger!$H$29="JA",August!DG15,CX15)</f>
        <v>0</v>
      </c>
      <c r="Q15" s="557">
        <f t="shared" si="18"/>
        <v>0</v>
      </c>
      <c r="R15" s="725"/>
      <c r="S15" s="564"/>
      <c r="T15" s="565"/>
      <c r="U15" s="565"/>
      <c r="V15" s="559"/>
      <c r="W15" s="763"/>
      <c r="X15" s="560"/>
      <c r="Y15">
        <f t="shared" si="19"/>
        <v>0</v>
      </c>
      <c r="Z15">
        <f t="shared" si="2"/>
        <v>0</v>
      </c>
      <c r="AA15" s="1">
        <f t="shared" si="3"/>
        <v>0</v>
      </c>
      <c r="AB15" s="1">
        <f t="shared" si="4"/>
        <v>0</v>
      </c>
      <c r="AC15" s="1">
        <f t="shared" si="5"/>
        <v>0</v>
      </c>
      <c r="AD15" s="1">
        <f t="shared" si="6"/>
        <v>0</v>
      </c>
      <c r="AE15" s="1">
        <f t="shared" si="7"/>
        <v>0</v>
      </c>
      <c r="AF15" s="1">
        <f>IF(C15="Orlov",Stamoplysninger!$E$15*7.4,0)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8"/>
        <v>0</v>
      </c>
      <c r="BB15" s="421">
        <f t="shared" si="9"/>
        <v>0</v>
      </c>
      <c r="BC15" s="1">
        <f t="shared" si="20"/>
        <v>0</v>
      </c>
      <c r="BD15" s="1">
        <f t="shared" si="10"/>
        <v>0</v>
      </c>
      <c r="BE15" s="1">
        <f t="shared" si="11"/>
        <v>0</v>
      </c>
      <c r="BF15" s="1">
        <f t="shared" si="12"/>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0</v>
      </c>
      <c r="CB15" s="1">
        <f t="shared" si="13"/>
        <v>0</v>
      </c>
      <c r="CC15" s="1">
        <f t="shared" si="14"/>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2",B15="fr"),Skemaoplysninger!$S$637,"")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0</v>
      </c>
      <c r="DN15" s="580"/>
      <c r="DO15" s="580"/>
      <c r="DP15" s="580"/>
      <c r="DQ15" s="580"/>
      <c r="DR15" s="580"/>
      <c r="DS15" s="580"/>
      <c r="DT15" s="580"/>
      <c r="DU15" s="580"/>
      <c r="DV15" s="580"/>
      <c r="DW15" s="580"/>
      <c r="DX15" s="580"/>
      <c r="DY15" s="580"/>
      <c r="DZ15" s="580"/>
      <c r="EA15" s="580"/>
      <c r="EB15" s="580"/>
      <c r="EC15" s="580"/>
      <c r="ED15" s="580"/>
      <c r="EE15" s="580"/>
      <c r="EF15" s="580"/>
      <c r="EG15" s="580"/>
      <c r="EH15" s="580"/>
      <c r="EI15" s="580"/>
      <c r="EJ15" s="580"/>
      <c r="EK15" s="580"/>
      <c r="EL15" s="580"/>
      <c r="EM15" s="580"/>
      <c r="EN15" s="580"/>
      <c r="EO15" s="580"/>
      <c r="EP15" s="580"/>
      <c r="EQ15" s="580"/>
      <c r="ER15" s="580"/>
      <c r="ES15" s="580"/>
      <c r="ET15" s="580"/>
      <c r="EU15" s="580"/>
      <c r="EV15" s="580"/>
      <c r="EW15" s="580"/>
      <c r="EX15" s="580"/>
      <c r="EY15" s="580"/>
      <c r="EZ15" s="580"/>
      <c r="FA15" s="580"/>
      <c r="FB15" s="580"/>
      <c r="FC15" s="580"/>
      <c r="FD15" s="580"/>
      <c r="FE15" s="580"/>
      <c r="FF15" s="580"/>
      <c r="FG15" s="580"/>
      <c r="FH15" s="580"/>
      <c r="FI15" s="580"/>
      <c r="FJ15" s="580"/>
      <c r="FK15" s="580"/>
      <c r="FL15" s="580"/>
      <c r="FM15" s="580"/>
      <c r="FN15" s="580"/>
      <c r="FO15" s="580"/>
      <c r="FP15" s="580"/>
      <c r="FQ15" s="580"/>
      <c r="FR15" s="580"/>
      <c r="FS15" s="580"/>
      <c r="FT15" s="580"/>
      <c r="FU15" s="580"/>
      <c r="FV15" s="580"/>
      <c r="FW15" s="580"/>
      <c r="FX15" s="580"/>
      <c r="FY15" s="580"/>
      <c r="FZ15" s="580"/>
      <c r="GA15" s="580"/>
      <c r="GB15" s="580"/>
      <c r="GC15" s="580"/>
      <c r="GD15" s="580"/>
      <c r="GE15" s="580"/>
      <c r="GF15" s="580"/>
      <c r="GG15" s="580"/>
      <c r="GH15" s="580"/>
      <c r="GI15" s="580"/>
      <c r="GJ15" s="580"/>
      <c r="GK15" s="580"/>
      <c r="GL15" s="580"/>
      <c r="GM15" s="580"/>
      <c r="GN15" s="580"/>
      <c r="GO15" s="580"/>
      <c r="GP15" s="580"/>
      <c r="GQ15" s="580"/>
      <c r="GR15" s="580"/>
      <c r="GS15" s="580"/>
      <c r="GT15" s="580"/>
      <c r="GU15" s="580"/>
      <c r="GV15" s="580"/>
      <c r="GW15" s="580"/>
      <c r="GX15" s="580"/>
      <c r="GY15" s="580"/>
      <c r="GZ15" s="580"/>
      <c r="HA15" s="580"/>
      <c r="HB15" s="580"/>
      <c r="HC15" s="580"/>
    </row>
    <row r="16" spans="1:211" ht="16" customHeight="1">
      <c r="A16" s="443">
        <f t="shared" si="15"/>
        <v>7</v>
      </c>
      <c r="B16" s="218" t="str">
        <f t="shared" si="0"/>
        <v>sø</v>
      </c>
      <c r="C16" s="219" t="s">
        <v>138</v>
      </c>
      <c r="D16" s="220" t="str">
        <f t="shared" si="1"/>
        <v/>
      </c>
      <c r="E16" s="906"/>
      <c r="F16" s="907"/>
      <c r="G16" s="908"/>
      <c r="H16" s="594"/>
      <c r="I16" s="726"/>
      <c r="J16" s="726"/>
      <c r="K16" s="669"/>
      <c r="L16" s="669"/>
      <c r="M16" s="669"/>
      <c r="N16" s="557">
        <f t="shared" si="16"/>
        <v>0</v>
      </c>
      <c r="O16" s="557">
        <f t="shared" si="17"/>
        <v>0</v>
      </c>
      <c r="P16" s="557">
        <f>IF(Stamoplysninger!$H$29="JA",August!DG16,CX16)</f>
        <v>0</v>
      </c>
      <c r="Q16" s="557">
        <f t="shared" si="18"/>
        <v>0</v>
      </c>
      <c r="R16" s="725"/>
      <c r="S16" s="564"/>
      <c r="T16" s="565"/>
      <c r="U16" s="565"/>
      <c r="V16" s="559"/>
      <c r="W16" s="763"/>
      <c r="X16" s="560"/>
      <c r="Y16">
        <f t="shared" si="19"/>
        <v>0</v>
      </c>
      <c r="Z16">
        <f t="shared" si="2"/>
        <v>0</v>
      </c>
      <c r="AA16" s="1">
        <f t="shared" si="3"/>
        <v>0</v>
      </c>
      <c r="AB16" s="1">
        <f t="shared" si="4"/>
        <v>0</v>
      </c>
      <c r="AC16" s="1">
        <f t="shared" si="5"/>
        <v>0</v>
      </c>
      <c r="AD16" s="1">
        <f t="shared" si="6"/>
        <v>0</v>
      </c>
      <c r="AE16" s="1">
        <f t="shared" si="7"/>
        <v>0</v>
      </c>
      <c r="AF16" s="1">
        <f>IF(C16="Orlov",Stamoplysninger!$E$15*7.4,0)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8"/>
        <v>0</v>
      </c>
      <c r="BB16" s="421">
        <f t="shared" si="9"/>
        <v>0</v>
      </c>
      <c r="BC16" s="1">
        <f t="shared" si="20"/>
        <v>0</v>
      </c>
      <c r="BD16" s="1">
        <f t="shared" si="10"/>
        <v>0</v>
      </c>
      <c r="BE16" s="1">
        <f t="shared" si="11"/>
        <v>0</v>
      </c>
      <c r="BF16" s="1">
        <f t="shared" si="12"/>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0</v>
      </c>
      <c r="CB16" s="1">
        <f t="shared" si="13"/>
        <v>0</v>
      </c>
      <c r="CC16" s="1">
        <f t="shared" si="14"/>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2",B16="fr"),Skemaoplysninger!$S$637,"")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0</v>
      </c>
      <c r="DN16" s="580"/>
      <c r="DO16" s="580"/>
      <c r="DP16" s="580"/>
      <c r="DQ16" s="580"/>
      <c r="DR16" s="580"/>
      <c r="DS16" s="580"/>
      <c r="DT16" s="580"/>
      <c r="DU16" s="580"/>
      <c r="DV16" s="580"/>
      <c r="DW16" s="580"/>
      <c r="DX16" s="580"/>
      <c r="DY16" s="580"/>
      <c r="DZ16" s="580"/>
      <c r="EA16" s="580"/>
      <c r="EB16" s="580"/>
      <c r="EC16" s="580"/>
      <c r="ED16" s="580"/>
      <c r="EE16" s="580"/>
      <c r="EF16" s="580"/>
      <c r="EG16" s="580"/>
      <c r="EH16" s="580"/>
      <c r="EI16" s="580"/>
      <c r="EJ16" s="580"/>
      <c r="EK16" s="580"/>
      <c r="EL16" s="580"/>
      <c r="EM16" s="580"/>
      <c r="EN16" s="580"/>
      <c r="EO16" s="580"/>
      <c r="EP16" s="580"/>
      <c r="EQ16" s="580"/>
      <c r="ER16" s="580"/>
      <c r="ES16" s="580"/>
      <c r="ET16" s="580"/>
      <c r="EU16" s="580"/>
      <c r="EV16" s="580"/>
      <c r="EW16" s="580"/>
      <c r="EX16" s="580"/>
      <c r="EY16" s="580"/>
      <c r="EZ16" s="580"/>
      <c r="FA16" s="580"/>
      <c r="FB16" s="580"/>
      <c r="FC16" s="580"/>
      <c r="FD16" s="580"/>
      <c r="FE16" s="580"/>
      <c r="FF16" s="580"/>
      <c r="FG16" s="580"/>
      <c r="FH16" s="580"/>
      <c r="FI16" s="580"/>
      <c r="FJ16" s="580"/>
      <c r="FK16" s="580"/>
      <c r="FL16" s="580"/>
      <c r="FM16" s="580"/>
      <c r="FN16" s="580"/>
      <c r="FO16" s="580"/>
      <c r="FP16" s="580"/>
      <c r="FQ16" s="580"/>
      <c r="FR16" s="580"/>
      <c r="FS16" s="580"/>
      <c r="FT16" s="580"/>
      <c r="FU16" s="580"/>
      <c r="FV16" s="580"/>
      <c r="FW16" s="580"/>
      <c r="FX16" s="580"/>
      <c r="FY16" s="580"/>
      <c r="FZ16" s="580"/>
      <c r="GA16" s="580"/>
      <c r="GB16" s="580"/>
      <c r="GC16" s="580"/>
      <c r="GD16" s="580"/>
      <c r="GE16" s="580"/>
      <c r="GF16" s="580"/>
      <c r="GG16" s="580"/>
      <c r="GH16" s="580"/>
      <c r="GI16" s="580"/>
      <c r="GJ16" s="580"/>
      <c r="GK16" s="580"/>
      <c r="GL16" s="580"/>
      <c r="GM16" s="580"/>
      <c r="GN16" s="580"/>
      <c r="GO16" s="580"/>
      <c r="GP16" s="580"/>
      <c r="GQ16" s="580"/>
      <c r="GR16" s="580"/>
      <c r="GS16" s="580"/>
      <c r="GT16" s="580"/>
      <c r="GU16" s="580"/>
      <c r="GV16" s="580"/>
      <c r="GW16" s="580"/>
      <c r="GX16" s="580"/>
      <c r="GY16" s="580"/>
      <c r="GZ16" s="580"/>
      <c r="HA16" s="580"/>
      <c r="HB16" s="580"/>
      <c r="HC16" s="580"/>
    </row>
    <row r="17" spans="1:211">
      <c r="A17" s="443">
        <f t="shared" si="15"/>
        <v>8</v>
      </c>
      <c r="B17" s="218" t="str">
        <f t="shared" si="0"/>
        <v>ma</v>
      </c>
      <c r="C17" s="219" t="s">
        <v>246</v>
      </c>
      <c r="D17" s="220">
        <f t="shared" si="1"/>
        <v>32.285714285714285</v>
      </c>
      <c r="E17" s="906" t="s">
        <v>617</v>
      </c>
      <c r="F17" s="907"/>
      <c r="G17" s="908"/>
      <c r="H17" s="594"/>
      <c r="I17" s="855"/>
      <c r="J17" s="726"/>
      <c r="K17" s="669">
        <v>7</v>
      </c>
      <c r="L17" s="669">
        <v>2.25</v>
      </c>
      <c r="M17" s="669">
        <v>1</v>
      </c>
      <c r="N17" s="557">
        <f t="shared" si="16"/>
        <v>7</v>
      </c>
      <c r="O17" s="557">
        <f t="shared" si="17"/>
        <v>2.25</v>
      </c>
      <c r="P17" s="557">
        <f>IF(Stamoplysninger!$H$29="JA",August!DG17,CX17)</f>
        <v>1</v>
      </c>
      <c r="Q17" s="557">
        <f t="shared" si="18"/>
        <v>3.75</v>
      </c>
      <c r="R17" s="725"/>
      <c r="S17" s="564"/>
      <c r="T17" s="565"/>
      <c r="U17" s="565"/>
      <c r="V17" s="559"/>
      <c r="W17" s="763"/>
      <c r="X17" s="560"/>
      <c r="Y17">
        <f t="shared" si="19"/>
        <v>0</v>
      </c>
      <c r="Z17">
        <f t="shared" si="2"/>
        <v>0</v>
      </c>
      <c r="AA17" s="1">
        <f t="shared" si="3"/>
        <v>7</v>
      </c>
      <c r="AB17" s="1">
        <f t="shared" si="4"/>
        <v>0</v>
      </c>
      <c r="AC17" s="1">
        <f t="shared" si="5"/>
        <v>0</v>
      </c>
      <c r="AD17" s="1">
        <f t="shared" si="6"/>
        <v>0</v>
      </c>
      <c r="AE17" s="1">
        <f t="shared" si="7"/>
        <v>0</v>
      </c>
      <c r="AF17" s="1">
        <f>IF(C17="Orlov",Stamoplysninger!$E$15*7.4,0)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8"/>
        <v>7</v>
      </c>
      <c r="BB17" s="421">
        <f t="shared" si="9"/>
        <v>0</v>
      </c>
      <c r="BC17" s="1">
        <f t="shared" si="20"/>
        <v>0</v>
      </c>
      <c r="BD17" s="1">
        <f t="shared" si="10"/>
        <v>0</v>
      </c>
      <c r="BE17" s="1">
        <f t="shared" si="11"/>
        <v>0</v>
      </c>
      <c r="BF17" s="1">
        <f t="shared" si="12"/>
        <v>2.25</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2.25</v>
      </c>
      <c r="CB17" s="1">
        <f t="shared" si="13"/>
        <v>0</v>
      </c>
      <c r="CC17" s="1">
        <f t="shared" si="14"/>
        <v>1</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2",B17="fr"),Skemaoplysninger!$S$637,"")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1</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1</v>
      </c>
      <c r="DE17" s="457">
        <f>IF(C17="lejrskole",Stamoplysninger!$H$30/200,0)</f>
        <v>0</v>
      </c>
      <c r="DF17" s="457">
        <f>IF(C17="ekskursion",Stamoplysninger!$H$30/200,0)</f>
        <v>0</v>
      </c>
      <c r="DG17" s="457">
        <f t="shared" si="22"/>
        <v>1</v>
      </c>
      <c r="DN17" s="580"/>
      <c r="DO17" s="580"/>
      <c r="DP17" s="580"/>
      <c r="DQ17" s="580"/>
      <c r="DR17" s="580"/>
      <c r="DS17" s="580"/>
      <c r="DT17" s="580"/>
      <c r="DU17" s="580"/>
      <c r="DV17" s="580"/>
      <c r="DW17" s="580"/>
      <c r="DX17" s="580"/>
      <c r="DY17" s="580"/>
      <c r="DZ17" s="580"/>
      <c r="EA17" s="580"/>
      <c r="EB17" s="580"/>
      <c r="EC17" s="580"/>
      <c r="ED17" s="580"/>
      <c r="EE17" s="580"/>
      <c r="EF17" s="580"/>
      <c r="EG17" s="580"/>
      <c r="EH17" s="580"/>
      <c r="EI17" s="580"/>
      <c r="EJ17" s="580"/>
      <c r="EK17" s="580"/>
      <c r="EL17" s="580"/>
      <c r="EM17" s="580"/>
      <c r="EN17" s="580"/>
      <c r="EO17" s="580"/>
      <c r="EP17" s="580"/>
      <c r="EQ17" s="580"/>
      <c r="ER17" s="580"/>
      <c r="ES17" s="580"/>
      <c r="ET17" s="580"/>
      <c r="EU17" s="580"/>
      <c r="EV17" s="580"/>
      <c r="EW17" s="580"/>
      <c r="EX17" s="580"/>
      <c r="EY17" s="580"/>
      <c r="EZ17" s="580"/>
      <c r="FA17" s="580"/>
      <c r="FB17" s="580"/>
      <c r="FC17" s="580"/>
      <c r="FD17" s="580"/>
      <c r="FE17" s="580"/>
      <c r="FF17" s="580"/>
      <c r="FG17" s="580"/>
      <c r="FH17" s="580"/>
      <c r="FI17" s="580"/>
      <c r="FJ17" s="580"/>
      <c r="FK17" s="580"/>
      <c r="FL17" s="580"/>
      <c r="FM17" s="580"/>
      <c r="FN17" s="580"/>
      <c r="FO17" s="580"/>
      <c r="FP17" s="580"/>
      <c r="FQ17" s="580"/>
      <c r="FR17" s="580"/>
      <c r="FS17" s="580"/>
      <c r="FT17" s="580"/>
      <c r="FU17" s="580"/>
      <c r="FV17" s="580"/>
      <c r="FW17" s="580"/>
      <c r="FX17" s="580"/>
      <c r="FY17" s="580"/>
      <c r="FZ17" s="580"/>
      <c r="GA17" s="580"/>
      <c r="GB17" s="580"/>
      <c r="GC17" s="580"/>
      <c r="GD17" s="580"/>
      <c r="GE17" s="580"/>
      <c r="GF17" s="580"/>
      <c r="GG17" s="580"/>
      <c r="GH17" s="580"/>
      <c r="GI17" s="580"/>
      <c r="GJ17" s="580"/>
      <c r="GK17" s="580"/>
      <c r="GL17" s="580"/>
      <c r="GM17" s="580"/>
      <c r="GN17" s="580"/>
      <c r="GO17" s="580"/>
      <c r="GP17" s="580"/>
      <c r="GQ17" s="580"/>
      <c r="GR17" s="580"/>
      <c r="GS17" s="580"/>
      <c r="GT17" s="580"/>
      <c r="GU17" s="580"/>
      <c r="GV17" s="580"/>
      <c r="GW17" s="580"/>
      <c r="GX17" s="580"/>
      <c r="GY17" s="580"/>
      <c r="GZ17" s="580"/>
      <c r="HA17" s="580"/>
      <c r="HB17" s="580"/>
      <c r="HC17" s="580"/>
    </row>
    <row r="18" spans="1:211">
      <c r="A18" s="443">
        <f t="shared" si="15"/>
        <v>9</v>
      </c>
      <c r="B18" s="218" t="str">
        <f t="shared" si="0"/>
        <v>ti</v>
      </c>
      <c r="C18" s="219" t="s">
        <v>241</v>
      </c>
      <c r="D18" s="220" t="str">
        <f t="shared" si="1"/>
        <v/>
      </c>
      <c r="E18" s="906"/>
      <c r="F18" s="907"/>
      <c r="G18" s="908"/>
      <c r="H18" s="594"/>
      <c r="I18" s="855"/>
      <c r="J18" s="726"/>
      <c r="K18" s="669"/>
      <c r="L18" s="669"/>
      <c r="M18" s="669"/>
      <c r="N18" s="557">
        <f t="shared" si="16"/>
        <v>8</v>
      </c>
      <c r="O18" s="557">
        <f t="shared" si="17"/>
        <v>5.25</v>
      </c>
      <c r="P18" s="557">
        <f>IF(Stamoplysninger!$H$29="JA",August!DG18,CX18)</f>
        <v>1.0833333333333335</v>
      </c>
      <c r="Q18" s="557">
        <f t="shared" si="18"/>
        <v>1.6666666666666665</v>
      </c>
      <c r="R18" s="725"/>
      <c r="S18" s="564"/>
      <c r="T18" s="565"/>
      <c r="U18" s="565"/>
      <c r="V18" s="559"/>
      <c r="W18" s="763"/>
      <c r="X18" s="560"/>
      <c r="Y18">
        <f t="shared" si="19"/>
        <v>0</v>
      </c>
      <c r="Z18">
        <f t="shared" si="2"/>
        <v>0</v>
      </c>
      <c r="AA18" s="1">
        <f t="shared" si="3"/>
        <v>0</v>
      </c>
      <c r="AB18" s="1">
        <f t="shared" si="4"/>
        <v>0</v>
      </c>
      <c r="AC18" s="1">
        <f t="shared" si="5"/>
        <v>0</v>
      </c>
      <c r="AD18" s="1">
        <f t="shared" si="6"/>
        <v>0</v>
      </c>
      <c r="AE18" s="1">
        <f t="shared" si="7"/>
        <v>0</v>
      </c>
      <c r="AF18" s="1">
        <f>IF(C18="Orlov",Stamoplysninger!$E$15*7.4,0)</f>
        <v>0</v>
      </c>
      <c r="AG18" s="383" t="str">
        <f>IF(AND(C18="Skema 1",B18="ma"),Arbejdstidsoversigt!$E$44,"")</f>
        <v/>
      </c>
      <c r="AH18" s="383">
        <f>IF(AND(C18="Skema 1",B18="ti"),Arbejdstidsoversigt!$E$45,"")</f>
        <v>8</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8"/>
        <v>8</v>
      </c>
      <c r="BB18" s="421">
        <f t="shared" si="9"/>
        <v>192</v>
      </c>
      <c r="BC18" s="1">
        <f t="shared" si="20"/>
        <v>0</v>
      </c>
      <c r="BD18" s="1">
        <f t="shared" si="10"/>
        <v>0</v>
      </c>
      <c r="BE18" s="1">
        <f t="shared" si="11"/>
        <v>0</v>
      </c>
      <c r="BF18" s="1">
        <f t="shared" si="12"/>
        <v>0</v>
      </c>
      <c r="BG18" s="382" t="str">
        <f>IF(AND(C18="Skema 1",B18="ma"),Skemaoplysninger!$E$28,"")</f>
        <v/>
      </c>
      <c r="BH18" s="382">
        <f>IF(AND(C18="Skema 1",B18="ti"),Skemaoplysninger!$F$28,"")</f>
        <v>0.21875</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5.25</v>
      </c>
      <c r="CB18" s="1">
        <f t="shared" si="13"/>
        <v>0</v>
      </c>
      <c r="CC18" s="1">
        <f t="shared" si="14"/>
        <v>0</v>
      </c>
      <c r="CD18" s="382" t="str">
        <f>IF(AND(C18="Skema 1",B18="ma"),Skemaoplysninger!$E$37,"")</f>
        <v/>
      </c>
      <c r="CE18" s="382">
        <f>IF(AND(C18="Skema 1",B18="ti"),Skemaoplysninger!$F$37,"")</f>
        <v>1.0833333333333335</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2",B18="fr"),Skemaoplysninger!$S$637,"")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1.0833333333333335</v>
      </c>
      <c r="CY18" s="457">
        <f>IF(C18="Skema 1",Stamoplysninger!$H$30/200,0)</f>
        <v>1</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c r="DN18" s="580"/>
      <c r="DO18" s="580"/>
      <c r="DP18" s="580"/>
      <c r="DQ18" s="580"/>
      <c r="DR18" s="580"/>
      <c r="DS18" s="580"/>
      <c r="DT18" s="580"/>
      <c r="DU18" s="580"/>
      <c r="DV18" s="580"/>
      <c r="DW18" s="580"/>
      <c r="DX18" s="580"/>
      <c r="DY18" s="580"/>
      <c r="DZ18" s="580"/>
      <c r="EA18" s="580"/>
      <c r="EB18" s="580"/>
      <c r="EC18" s="580"/>
      <c r="ED18" s="580"/>
      <c r="EE18" s="580"/>
      <c r="EF18" s="580"/>
      <c r="EG18" s="580"/>
      <c r="EH18" s="580"/>
      <c r="EI18" s="580"/>
      <c r="EJ18" s="580"/>
      <c r="EK18" s="580"/>
      <c r="EL18" s="580"/>
      <c r="EM18" s="580"/>
      <c r="EN18" s="580"/>
      <c r="EO18" s="580"/>
      <c r="EP18" s="580"/>
      <c r="EQ18" s="580"/>
      <c r="ER18" s="580"/>
      <c r="ES18" s="580"/>
      <c r="ET18" s="580"/>
      <c r="EU18" s="580"/>
      <c r="EV18" s="580"/>
      <c r="EW18" s="580"/>
      <c r="EX18" s="580"/>
      <c r="EY18" s="580"/>
      <c r="EZ18" s="580"/>
      <c r="FA18" s="580"/>
      <c r="FB18" s="580"/>
      <c r="FC18" s="580"/>
      <c r="FD18" s="580"/>
      <c r="FE18" s="580"/>
      <c r="FF18" s="580"/>
      <c r="FG18" s="580"/>
      <c r="FH18" s="580"/>
      <c r="FI18" s="580"/>
      <c r="FJ18" s="580"/>
      <c r="FK18" s="580"/>
      <c r="FL18" s="580"/>
      <c r="FM18" s="580"/>
      <c r="FN18" s="580"/>
      <c r="FO18" s="580"/>
      <c r="FP18" s="580"/>
      <c r="FQ18" s="580"/>
      <c r="FR18" s="580"/>
      <c r="FS18" s="580"/>
      <c r="FT18" s="580"/>
      <c r="FU18" s="580"/>
      <c r="FV18" s="580"/>
      <c r="FW18" s="580"/>
      <c r="FX18" s="580"/>
      <c r="FY18" s="580"/>
      <c r="FZ18" s="580"/>
      <c r="GA18" s="580"/>
      <c r="GB18" s="580"/>
      <c r="GC18" s="580"/>
      <c r="GD18" s="580"/>
      <c r="GE18" s="580"/>
      <c r="GF18" s="580"/>
      <c r="GG18" s="580"/>
      <c r="GH18" s="580"/>
      <c r="GI18" s="580"/>
      <c r="GJ18" s="580"/>
      <c r="GK18" s="580"/>
      <c r="GL18" s="580"/>
      <c r="GM18" s="580"/>
      <c r="GN18" s="580"/>
      <c r="GO18" s="580"/>
      <c r="GP18" s="580"/>
      <c r="GQ18" s="580"/>
      <c r="GR18" s="580"/>
      <c r="GS18" s="580"/>
      <c r="GT18" s="580"/>
      <c r="GU18" s="580"/>
      <c r="GV18" s="580"/>
      <c r="GW18" s="580"/>
      <c r="GX18" s="580"/>
      <c r="GY18" s="580"/>
      <c r="GZ18" s="580"/>
      <c r="HA18" s="580"/>
      <c r="HB18" s="580"/>
      <c r="HC18" s="580"/>
    </row>
    <row r="19" spans="1:211">
      <c r="A19" s="443">
        <f t="shared" si="15"/>
        <v>10</v>
      </c>
      <c r="B19" s="218" t="str">
        <f t="shared" si="0"/>
        <v>on</v>
      </c>
      <c r="C19" s="219" t="s">
        <v>241</v>
      </c>
      <c r="D19" s="220" t="str">
        <f t="shared" si="1"/>
        <v/>
      </c>
      <c r="E19" s="906"/>
      <c r="F19" s="907"/>
      <c r="G19" s="908"/>
      <c r="H19" s="594"/>
      <c r="I19" s="855"/>
      <c r="J19" s="726"/>
      <c r="K19" s="669"/>
      <c r="L19" s="669"/>
      <c r="M19" s="669"/>
      <c r="N19" s="557">
        <f t="shared" si="16"/>
        <v>8</v>
      </c>
      <c r="O19" s="557">
        <f t="shared" si="17"/>
        <v>3.75</v>
      </c>
      <c r="P19" s="557">
        <f>IF(Stamoplysninger!$H$29="JA",August!DG19,CX19)</f>
        <v>0.91666666666666674</v>
      </c>
      <c r="Q19" s="557">
        <f t="shared" si="18"/>
        <v>3.333333333333333</v>
      </c>
      <c r="R19" s="725"/>
      <c r="S19" s="564"/>
      <c r="T19" s="565"/>
      <c r="U19" s="565"/>
      <c r="V19" s="559"/>
      <c r="W19" s="763"/>
      <c r="X19" s="560"/>
      <c r="Y19">
        <f t="shared" si="19"/>
        <v>0</v>
      </c>
      <c r="Z19">
        <f t="shared" si="2"/>
        <v>0</v>
      </c>
      <c r="AA19" s="1">
        <f t="shared" si="3"/>
        <v>0</v>
      </c>
      <c r="AB19" s="1">
        <f t="shared" si="4"/>
        <v>0</v>
      </c>
      <c r="AC19" s="1">
        <f t="shared" si="5"/>
        <v>0</v>
      </c>
      <c r="AD19" s="1">
        <f t="shared" si="6"/>
        <v>0</v>
      </c>
      <c r="AE19" s="1">
        <f t="shared" si="7"/>
        <v>0</v>
      </c>
      <c r="AF19" s="1">
        <f>IF(C19="Orlov",Stamoplysninger!$E$15*7.4,0)</f>
        <v>0</v>
      </c>
      <c r="AG19" s="383" t="str">
        <f>IF(AND(C19="Skema 1",B19="ma"),Arbejdstidsoversigt!$E$44,"")</f>
        <v/>
      </c>
      <c r="AH19" s="383" t="str">
        <f>IF(AND(C19="Skema 1",B19="ti"),Arbejdstidsoversigt!$E$45,"")</f>
        <v/>
      </c>
      <c r="AI19" s="383">
        <f>IF(AND(C19="Skema 1",B19="on"),Arbejdstidsoversigt!$E$46,"")</f>
        <v>8</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8"/>
        <v>8</v>
      </c>
      <c r="BB19" s="421">
        <f t="shared" si="9"/>
        <v>192</v>
      </c>
      <c r="BC19" s="1">
        <f t="shared" si="20"/>
        <v>0</v>
      </c>
      <c r="BD19" s="1">
        <f t="shared" si="10"/>
        <v>0</v>
      </c>
      <c r="BE19" s="1">
        <f t="shared" si="11"/>
        <v>0</v>
      </c>
      <c r="BF19" s="1">
        <f t="shared" si="12"/>
        <v>0</v>
      </c>
      <c r="BG19" s="382" t="str">
        <f>IF(AND(C19="Skema 1",B19="ma"),Skemaoplysninger!$E$28,"")</f>
        <v/>
      </c>
      <c r="BH19" s="382" t="str">
        <f>IF(AND(C19="Skema 1",B19="ti"),Skemaoplysninger!$F$28,"")</f>
        <v/>
      </c>
      <c r="BI19" s="382">
        <f>IF(AND(C19="Skema 1",B19="on"),Skemaoplysninger!$G$28,"")</f>
        <v>0.15625</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3.75</v>
      </c>
      <c r="CB19" s="1">
        <f t="shared" si="13"/>
        <v>0</v>
      </c>
      <c r="CC19" s="1">
        <f t="shared" si="14"/>
        <v>0</v>
      </c>
      <c r="CD19" s="382" t="str">
        <f>IF(AND(C19="Skema 1",B19="ma"),Skemaoplysninger!$E$37,"")</f>
        <v/>
      </c>
      <c r="CE19" s="382" t="str">
        <f>IF(AND(C19="Skema 1",B19="ti"),Skemaoplysninger!$F$37,"")</f>
        <v/>
      </c>
      <c r="CF19" s="382">
        <f>IF(AND(C19="Skema 1",B19="on"),Skemaoplysninger!$G$37,"")</f>
        <v>0.91666666666666674</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2",B19="fr"),Skemaoplysninger!$S$637,"")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0.91666666666666674</v>
      </c>
      <c r="CY19" s="457">
        <f>IF(C19="Skema 1",Stamoplysninger!$H$30/200,0)</f>
        <v>1</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1</v>
      </c>
      <c r="DN19" s="580"/>
      <c r="DO19" s="580"/>
      <c r="DP19" s="580"/>
      <c r="DQ19" s="580"/>
      <c r="DR19" s="580"/>
      <c r="DS19" s="580"/>
      <c r="DT19" s="580"/>
      <c r="DU19" s="580"/>
      <c r="DV19" s="580"/>
      <c r="DW19" s="580"/>
      <c r="DX19" s="580"/>
      <c r="DY19" s="580"/>
      <c r="DZ19" s="580"/>
      <c r="EA19" s="580"/>
      <c r="EB19" s="580"/>
      <c r="EC19" s="580"/>
      <c r="ED19" s="580"/>
      <c r="EE19" s="580"/>
      <c r="EF19" s="580"/>
      <c r="EG19" s="580"/>
      <c r="EH19" s="580"/>
      <c r="EI19" s="580"/>
      <c r="EJ19" s="580"/>
      <c r="EK19" s="580"/>
      <c r="EL19" s="580"/>
      <c r="EM19" s="580"/>
      <c r="EN19" s="580"/>
      <c r="EO19" s="580"/>
      <c r="EP19" s="580"/>
      <c r="EQ19" s="580"/>
      <c r="ER19" s="580"/>
      <c r="ES19" s="580"/>
      <c r="ET19" s="580"/>
      <c r="EU19" s="580"/>
      <c r="EV19" s="580"/>
      <c r="EW19" s="580"/>
      <c r="EX19" s="580"/>
      <c r="EY19" s="580"/>
      <c r="EZ19" s="580"/>
      <c r="FA19" s="580"/>
      <c r="FB19" s="580"/>
      <c r="FC19" s="580"/>
      <c r="FD19" s="580"/>
      <c r="FE19" s="580"/>
      <c r="FF19" s="580"/>
      <c r="FG19" s="580"/>
      <c r="FH19" s="580"/>
      <c r="FI19" s="580"/>
      <c r="FJ19" s="580"/>
      <c r="FK19" s="580"/>
      <c r="FL19" s="580"/>
      <c r="FM19" s="580"/>
      <c r="FN19" s="580"/>
      <c r="FO19" s="580"/>
      <c r="FP19" s="580"/>
      <c r="FQ19" s="580"/>
      <c r="FR19" s="580"/>
      <c r="FS19" s="580"/>
      <c r="FT19" s="580"/>
      <c r="FU19" s="580"/>
      <c r="FV19" s="580"/>
      <c r="FW19" s="580"/>
      <c r="FX19" s="580"/>
      <c r="FY19" s="580"/>
      <c r="FZ19" s="580"/>
      <c r="GA19" s="580"/>
      <c r="GB19" s="580"/>
      <c r="GC19" s="580"/>
      <c r="GD19" s="580"/>
      <c r="GE19" s="580"/>
      <c r="GF19" s="580"/>
      <c r="GG19" s="580"/>
      <c r="GH19" s="580"/>
      <c r="GI19" s="580"/>
      <c r="GJ19" s="580"/>
      <c r="GK19" s="580"/>
      <c r="GL19" s="580"/>
      <c r="GM19" s="580"/>
      <c r="GN19" s="580"/>
      <c r="GO19" s="580"/>
      <c r="GP19" s="580"/>
      <c r="GQ19" s="580"/>
      <c r="GR19" s="580"/>
      <c r="GS19" s="580"/>
      <c r="GT19" s="580"/>
      <c r="GU19" s="580"/>
      <c r="GV19" s="580"/>
      <c r="GW19" s="580"/>
      <c r="GX19" s="580"/>
      <c r="GY19" s="580"/>
      <c r="GZ19" s="580"/>
      <c r="HA19" s="580"/>
      <c r="HB19" s="580"/>
      <c r="HC19" s="580"/>
    </row>
    <row r="20" spans="1:211">
      <c r="A20" s="443">
        <f t="shared" si="15"/>
        <v>11</v>
      </c>
      <c r="B20" s="218" t="str">
        <f t="shared" si="0"/>
        <v>to</v>
      </c>
      <c r="C20" s="219" t="s">
        <v>241</v>
      </c>
      <c r="D20" s="220" t="str">
        <f t="shared" si="1"/>
        <v/>
      </c>
      <c r="E20" s="906"/>
      <c r="F20" s="907"/>
      <c r="G20" s="908"/>
      <c r="H20" s="594"/>
      <c r="I20" s="855"/>
      <c r="J20" s="726"/>
      <c r="K20" s="669"/>
      <c r="L20" s="669"/>
      <c r="M20" s="669"/>
      <c r="N20" s="557">
        <f t="shared" si="16"/>
        <v>8</v>
      </c>
      <c r="O20" s="557">
        <f t="shared" si="17"/>
        <v>3.75</v>
      </c>
      <c r="P20" s="557">
        <f>IF(Stamoplysninger!$H$29="JA",August!DG20,CX20)</f>
        <v>0.91666666666666674</v>
      </c>
      <c r="Q20" s="557">
        <f t="shared" si="18"/>
        <v>3.333333333333333</v>
      </c>
      <c r="R20" s="725"/>
      <c r="S20" s="564"/>
      <c r="T20" s="565"/>
      <c r="U20" s="565"/>
      <c r="V20" s="559"/>
      <c r="W20" s="763"/>
      <c r="X20" s="560"/>
      <c r="Y20">
        <f t="shared" si="19"/>
        <v>0</v>
      </c>
      <c r="Z20">
        <f t="shared" si="2"/>
        <v>0</v>
      </c>
      <c r="AA20" s="1">
        <f t="shared" si="3"/>
        <v>0</v>
      </c>
      <c r="AB20" s="1">
        <f t="shared" si="4"/>
        <v>0</v>
      </c>
      <c r="AC20" s="1">
        <f t="shared" si="5"/>
        <v>0</v>
      </c>
      <c r="AD20" s="1">
        <f t="shared" si="6"/>
        <v>0</v>
      </c>
      <c r="AE20" s="1">
        <f t="shared" si="7"/>
        <v>0</v>
      </c>
      <c r="AF20" s="1">
        <f>IF(C20="Orlov",Stamoplysninger!$E$15*7.4,0)</f>
        <v>0</v>
      </c>
      <c r="AG20" s="383" t="str">
        <f>IF(AND(C20="Skema 1",B20="ma"),Arbejdstidsoversigt!$E$44,"")</f>
        <v/>
      </c>
      <c r="AH20" s="383" t="str">
        <f>IF(AND(C20="Skema 1",B20="ti"),Arbejdstidsoversigt!$E$45,"")</f>
        <v/>
      </c>
      <c r="AI20" s="383" t="str">
        <f>IF(AND(C20="Skema 1",B20="on"),Arbejdstidsoversigt!$E$46,"")</f>
        <v/>
      </c>
      <c r="AJ20" s="383">
        <f>IF(AND(C20="Skema 1",B20="to"),Arbejdstidsoversigt!$E$47,"")</f>
        <v>8</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8"/>
        <v>8</v>
      </c>
      <c r="BB20" s="421">
        <f t="shared" si="9"/>
        <v>192</v>
      </c>
      <c r="BC20" s="1">
        <f t="shared" si="20"/>
        <v>0</v>
      </c>
      <c r="BD20" s="1">
        <f t="shared" si="10"/>
        <v>0</v>
      </c>
      <c r="BE20" s="1">
        <f t="shared" si="11"/>
        <v>0</v>
      </c>
      <c r="BF20" s="1">
        <f t="shared" si="12"/>
        <v>0</v>
      </c>
      <c r="BG20" s="382" t="str">
        <f>IF(AND(C20="Skema 1",B20="ma"),Skemaoplysninger!$E$28,"")</f>
        <v/>
      </c>
      <c r="BH20" s="382" t="str">
        <f>IF(AND(C20="Skema 1",B20="ti"),Skemaoplysninger!$F$28,"")</f>
        <v/>
      </c>
      <c r="BI20" s="382" t="str">
        <f>IF(AND(C20="Skema 1",B20="on"),Skemaoplysninger!$G$28,"")</f>
        <v/>
      </c>
      <c r="BJ20" s="382">
        <f>IF(AND(C20="Skema 1",B20="to"),Skemaoplysninger!$H$28,"")</f>
        <v>0.15625</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3.75</v>
      </c>
      <c r="CB20" s="1">
        <f t="shared" si="13"/>
        <v>0</v>
      </c>
      <c r="CC20" s="1">
        <f t="shared" si="14"/>
        <v>0</v>
      </c>
      <c r="CD20" s="382" t="str">
        <f>IF(AND(C20="Skema 1",B20="ma"),Skemaoplysninger!$E$37,"")</f>
        <v/>
      </c>
      <c r="CE20" s="382" t="str">
        <f>IF(AND(C20="Skema 1",B20="ti"),Skemaoplysninger!$F$37,"")</f>
        <v/>
      </c>
      <c r="CF20" s="382" t="str">
        <f>IF(AND(C20="Skema 1",B20="on"),Skemaoplysninger!$G$37,"")</f>
        <v/>
      </c>
      <c r="CG20" s="382">
        <f>IF(AND(C20="Skema 1",B20="to"),Skemaoplysninger!$H$37,"")</f>
        <v>0.91666666666666674</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2",B20="fr"),Skemaoplysninger!$S$637,"")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0.91666666666666674</v>
      </c>
      <c r="CY20" s="457">
        <f>IF(C20="Skema 1",Stamoplysninger!$H$30/200,0)</f>
        <v>1</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c r="DN20" s="580"/>
      <c r="DO20" s="580"/>
      <c r="DP20" s="580"/>
      <c r="DQ20" s="580"/>
      <c r="DR20" s="580"/>
      <c r="DS20" s="580"/>
      <c r="DT20" s="580"/>
      <c r="DU20" s="580"/>
      <c r="DV20" s="580"/>
      <c r="DW20" s="580"/>
      <c r="DX20" s="580"/>
      <c r="DY20" s="580"/>
      <c r="DZ20" s="580"/>
      <c r="EA20" s="580"/>
      <c r="EB20" s="580"/>
      <c r="EC20" s="580"/>
      <c r="ED20" s="580"/>
      <c r="EE20" s="580"/>
      <c r="EF20" s="580"/>
      <c r="EG20" s="580"/>
      <c r="EH20" s="580"/>
      <c r="EI20" s="580"/>
      <c r="EJ20" s="580"/>
      <c r="EK20" s="580"/>
      <c r="EL20" s="580"/>
      <c r="EM20" s="580"/>
      <c r="EN20" s="580"/>
      <c r="EO20" s="580"/>
      <c r="EP20" s="580"/>
      <c r="EQ20" s="580"/>
      <c r="ER20" s="580"/>
      <c r="ES20" s="580"/>
      <c r="ET20" s="580"/>
      <c r="EU20" s="580"/>
      <c r="EV20" s="580"/>
      <c r="EW20" s="580"/>
      <c r="EX20" s="580"/>
      <c r="EY20" s="580"/>
      <c r="EZ20" s="580"/>
      <c r="FA20" s="580"/>
      <c r="FB20" s="580"/>
      <c r="FC20" s="580"/>
      <c r="FD20" s="580"/>
      <c r="FE20" s="580"/>
      <c r="FF20" s="580"/>
      <c r="FG20" s="580"/>
      <c r="FH20" s="580"/>
      <c r="FI20" s="580"/>
      <c r="FJ20" s="580"/>
      <c r="FK20" s="580"/>
      <c r="FL20" s="580"/>
      <c r="FM20" s="580"/>
      <c r="FN20" s="580"/>
      <c r="FO20" s="580"/>
      <c r="FP20" s="580"/>
      <c r="FQ20" s="580"/>
      <c r="FR20" s="580"/>
      <c r="FS20" s="580"/>
      <c r="FT20" s="580"/>
      <c r="FU20" s="580"/>
      <c r="FV20" s="580"/>
      <c r="FW20" s="580"/>
      <c r="FX20" s="580"/>
      <c r="FY20" s="580"/>
      <c r="FZ20" s="580"/>
      <c r="GA20" s="580"/>
      <c r="GB20" s="580"/>
      <c r="GC20" s="580"/>
      <c r="GD20" s="580"/>
      <c r="GE20" s="580"/>
      <c r="GF20" s="580"/>
      <c r="GG20" s="580"/>
      <c r="GH20" s="580"/>
      <c r="GI20" s="580"/>
      <c r="GJ20" s="580"/>
      <c r="GK20" s="580"/>
      <c r="GL20" s="580"/>
      <c r="GM20" s="580"/>
      <c r="GN20" s="580"/>
      <c r="GO20" s="580"/>
      <c r="GP20" s="580"/>
      <c r="GQ20" s="580"/>
      <c r="GR20" s="580"/>
      <c r="GS20" s="580"/>
      <c r="GT20" s="580"/>
      <c r="GU20" s="580"/>
      <c r="GV20" s="580"/>
      <c r="GW20" s="580"/>
      <c r="GX20" s="580"/>
      <c r="GY20" s="580"/>
      <c r="GZ20" s="580"/>
      <c r="HA20" s="580"/>
      <c r="HB20" s="580"/>
      <c r="HC20" s="580"/>
    </row>
    <row r="21" spans="1:211">
      <c r="A21" s="443">
        <f>IF(ISNUMBER(A20),A20+1,1)</f>
        <v>12</v>
      </c>
      <c r="B21" s="218" t="str">
        <f t="shared" si="0"/>
        <v>fr</v>
      </c>
      <c r="C21" s="219" t="s">
        <v>241</v>
      </c>
      <c r="D21" s="220" t="str">
        <f t="shared" si="1"/>
        <v/>
      </c>
      <c r="E21" s="906"/>
      <c r="F21" s="907"/>
      <c r="G21" s="908"/>
      <c r="H21" s="594" t="s">
        <v>605</v>
      </c>
      <c r="I21" s="855"/>
      <c r="J21" s="726"/>
      <c r="K21" s="669"/>
      <c r="L21" s="669"/>
      <c r="M21" s="669"/>
      <c r="N21" s="557">
        <f t="shared" si="16"/>
        <v>7</v>
      </c>
      <c r="O21" s="557">
        <f t="shared" si="17"/>
        <v>2.25</v>
      </c>
      <c r="P21" s="557">
        <f>IF(Stamoplysninger!$H$29="JA",August!DG21,CX21)</f>
        <v>0.33333333333333331</v>
      </c>
      <c r="Q21" s="557">
        <f t="shared" si="18"/>
        <v>4.416666666666667</v>
      </c>
      <c r="R21" s="725">
        <v>3</v>
      </c>
      <c r="S21" s="564"/>
      <c r="T21" s="565"/>
      <c r="U21" s="565"/>
      <c r="V21" s="559"/>
      <c r="W21" s="763"/>
      <c r="X21" s="560"/>
      <c r="Y21">
        <f t="shared" si="19"/>
        <v>0</v>
      </c>
      <c r="Z21">
        <f t="shared" si="2"/>
        <v>0</v>
      </c>
      <c r="AA21" s="1">
        <f t="shared" si="3"/>
        <v>0</v>
      </c>
      <c r="AB21" s="1">
        <f t="shared" si="4"/>
        <v>0</v>
      </c>
      <c r="AC21" s="1">
        <f t="shared" si="5"/>
        <v>0</v>
      </c>
      <c r="AD21" s="1">
        <f t="shared" si="6"/>
        <v>0</v>
      </c>
      <c r="AE21" s="1">
        <f t="shared" si="7"/>
        <v>0</v>
      </c>
      <c r="AF21" s="1">
        <f>IF(C21="Orlov",Stamoplysninger!$E$15*7.4,0)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f>IF(AND(C21="Skema 1",B21="fr"),Arbejdstidsoversigt!$E$48,"")</f>
        <v>7</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8"/>
        <v>7</v>
      </c>
      <c r="BB21" s="421">
        <f t="shared" si="9"/>
        <v>168</v>
      </c>
      <c r="BC21" s="1">
        <f t="shared" si="20"/>
        <v>0</v>
      </c>
      <c r="BD21" s="1">
        <f t="shared" si="10"/>
        <v>0</v>
      </c>
      <c r="BE21" s="1">
        <f t="shared" si="11"/>
        <v>0</v>
      </c>
      <c r="BF21" s="1">
        <f t="shared" si="12"/>
        <v>0</v>
      </c>
      <c r="BG21" s="382" t="str">
        <f>IF(AND(C21="Skema 1",B21="ma"),Skemaoplysninger!$E$28,"")</f>
        <v/>
      </c>
      <c r="BH21" s="382" t="str">
        <f>IF(AND(C21="Skema 1",B21="ti"),Skemaoplysninger!$F$28,"")</f>
        <v/>
      </c>
      <c r="BI21" s="382" t="str">
        <f>IF(AND(C21="Skema 1",B21="on"),Skemaoplysninger!$G$28,"")</f>
        <v/>
      </c>
      <c r="BJ21" s="382" t="str">
        <f>IF(AND(C21="Skema 1",B21="to"),Skemaoplysninger!$H$28,"")</f>
        <v/>
      </c>
      <c r="BK21" s="382">
        <f>IF(AND(C21="Skema 1",B21="fr"),Skemaoplysninger!$I$28,"")</f>
        <v>9.375E-2</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2.25</v>
      </c>
      <c r="CB21" s="1">
        <f t="shared" si="13"/>
        <v>0</v>
      </c>
      <c r="CC21" s="1">
        <f t="shared" si="14"/>
        <v>0</v>
      </c>
      <c r="CD21" s="382" t="str">
        <f>IF(AND(C21="Skema 1",B21="ma"),Skemaoplysninger!$E$37,"")</f>
        <v/>
      </c>
      <c r="CE21" s="382" t="str">
        <f>IF(AND(C21="Skema 1",B21="ti"),Skemaoplysninger!$F$37,"")</f>
        <v/>
      </c>
      <c r="CF21" s="382" t="str">
        <f>IF(AND(C21="Skema 1",B21="on"),Skemaoplysninger!$G$37,"")</f>
        <v/>
      </c>
      <c r="CG21" s="382" t="str">
        <f>IF(AND(C21="Skema 1",B21="to"),Skemaoplysninger!$H$37,"")</f>
        <v/>
      </c>
      <c r="CH21" s="382">
        <f>IF(AND(C21="Skema 1",B21="fr"),Skemaoplysninger!$I$37,"")</f>
        <v>0.33333333333333331</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2",B21="fr"),Skemaoplysninger!$S$637,"")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0.33333333333333331</v>
      </c>
      <c r="CY21" s="457">
        <f>IF(C21="Skema 1",Stamoplysninger!$H$30/200,0)</f>
        <v>1</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c r="DN21" s="580"/>
      <c r="DO21" s="580"/>
      <c r="DP21" s="580"/>
      <c r="DQ21" s="580"/>
      <c r="DR21" s="580"/>
      <c r="DS21" s="580"/>
      <c r="DT21" s="580"/>
      <c r="DU21" s="580"/>
      <c r="DV21" s="580"/>
      <c r="DW21" s="580"/>
      <c r="DX21" s="580"/>
      <c r="DY21" s="580"/>
      <c r="DZ21" s="580"/>
      <c r="EA21" s="580"/>
      <c r="EB21" s="580"/>
      <c r="EC21" s="580"/>
      <c r="ED21" s="580"/>
      <c r="EE21" s="580"/>
      <c r="EF21" s="580"/>
      <c r="EG21" s="580"/>
      <c r="EH21" s="580"/>
      <c r="EI21" s="580"/>
      <c r="EJ21" s="580"/>
      <c r="EK21" s="580"/>
      <c r="EL21" s="580"/>
      <c r="EM21" s="580"/>
      <c r="EN21" s="580"/>
      <c r="EO21" s="580"/>
      <c r="EP21" s="580"/>
      <c r="EQ21" s="580"/>
      <c r="ER21" s="580"/>
      <c r="ES21" s="580"/>
      <c r="ET21" s="580"/>
      <c r="EU21" s="580"/>
      <c r="EV21" s="580"/>
      <c r="EW21" s="580"/>
      <c r="EX21" s="580"/>
      <c r="EY21" s="580"/>
      <c r="EZ21" s="580"/>
      <c r="FA21" s="580"/>
      <c r="FB21" s="580"/>
      <c r="FC21" s="580"/>
      <c r="FD21" s="580"/>
      <c r="FE21" s="580"/>
      <c r="FF21" s="580"/>
      <c r="FG21" s="580"/>
      <c r="FH21" s="580"/>
      <c r="FI21" s="580"/>
      <c r="FJ21" s="580"/>
      <c r="FK21" s="580"/>
      <c r="FL21" s="580"/>
      <c r="FM21" s="580"/>
      <c r="FN21" s="580"/>
      <c r="FO21" s="580"/>
      <c r="FP21" s="580"/>
      <c r="FQ21" s="580"/>
      <c r="FR21" s="580"/>
      <c r="FS21" s="580"/>
      <c r="FT21" s="580"/>
      <c r="FU21" s="580"/>
      <c r="FV21" s="580"/>
      <c r="FW21" s="580"/>
      <c r="FX21" s="580"/>
      <c r="FY21" s="580"/>
      <c r="FZ21" s="580"/>
      <c r="GA21" s="580"/>
      <c r="GB21" s="580"/>
      <c r="GC21" s="580"/>
      <c r="GD21" s="580"/>
      <c r="GE21" s="580"/>
      <c r="GF21" s="580"/>
      <c r="GG21" s="580"/>
      <c r="GH21" s="580"/>
      <c r="GI21" s="580"/>
      <c r="GJ21" s="580"/>
      <c r="GK21" s="580"/>
      <c r="GL21" s="580"/>
      <c r="GM21" s="580"/>
      <c r="GN21" s="580"/>
      <c r="GO21" s="580"/>
      <c r="GP21" s="580"/>
      <c r="GQ21" s="580"/>
      <c r="GR21" s="580"/>
      <c r="GS21" s="580"/>
      <c r="GT21" s="580"/>
      <c r="GU21" s="580"/>
      <c r="GV21" s="580"/>
      <c r="GW21" s="580"/>
      <c r="GX21" s="580"/>
      <c r="GY21" s="580"/>
      <c r="GZ21" s="580"/>
      <c r="HA21" s="580"/>
      <c r="HB21" s="580"/>
      <c r="HC21" s="580"/>
    </row>
    <row r="22" spans="1:211">
      <c r="A22" s="443">
        <f>IF(ISNUMBER(A21),A21+1,1)</f>
        <v>13</v>
      </c>
      <c r="B22" s="218" t="str">
        <f t="shared" si="0"/>
        <v>lø</v>
      </c>
      <c r="C22" s="219" t="s">
        <v>138</v>
      </c>
      <c r="D22" s="220" t="str">
        <f t="shared" si="1"/>
        <v/>
      </c>
      <c r="E22" s="909"/>
      <c r="F22" s="910"/>
      <c r="G22" s="911"/>
      <c r="H22" s="593"/>
      <c r="I22" s="726"/>
      <c r="J22" s="726"/>
      <c r="K22" s="669"/>
      <c r="L22" s="669"/>
      <c r="M22" s="669"/>
      <c r="N22" s="557">
        <f t="shared" si="16"/>
        <v>0</v>
      </c>
      <c r="O22" s="557">
        <f t="shared" si="17"/>
        <v>0</v>
      </c>
      <c r="P22" s="557">
        <f>IF(Stamoplysninger!$H$29="JA",August!DG22,CX22)</f>
        <v>0</v>
      </c>
      <c r="Q22" s="557">
        <f t="shared" si="18"/>
        <v>0</v>
      </c>
      <c r="R22" s="725"/>
      <c r="S22" s="564"/>
      <c r="T22" s="565"/>
      <c r="U22" s="565"/>
      <c r="V22" s="559"/>
      <c r="W22" s="763"/>
      <c r="X22" s="560"/>
      <c r="Y22">
        <f t="shared" si="19"/>
        <v>0</v>
      </c>
      <c r="Z22">
        <f t="shared" si="2"/>
        <v>0</v>
      </c>
      <c r="AA22" s="1">
        <f t="shared" si="3"/>
        <v>0</v>
      </c>
      <c r="AB22" s="1">
        <f t="shared" si="4"/>
        <v>0</v>
      </c>
      <c r="AC22" s="1">
        <f t="shared" si="5"/>
        <v>0</v>
      </c>
      <c r="AD22" s="1">
        <f t="shared" si="6"/>
        <v>0</v>
      </c>
      <c r="AE22" s="1">
        <f t="shared" si="7"/>
        <v>0</v>
      </c>
      <c r="AF22" s="1">
        <f>IF(C22="Orlov",Stamoplysninger!$E$15*7.4,0)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8"/>
        <v>0</v>
      </c>
      <c r="BB22" s="421">
        <f t="shared" si="9"/>
        <v>0</v>
      </c>
      <c r="BC22" s="1">
        <f t="shared" si="20"/>
        <v>0</v>
      </c>
      <c r="BD22" s="1">
        <f t="shared" si="10"/>
        <v>0</v>
      </c>
      <c r="BE22" s="1">
        <f t="shared" si="11"/>
        <v>0</v>
      </c>
      <c r="BF22" s="1">
        <f t="shared" si="12"/>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0</v>
      </c>
      <c r="CB22" s="1">
        <f t="shared" si="13"/>
        <v>0</v>
      </c>
      <c r="CC22" s="1">
        <f t="shared" si="14"/>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2",B22="fr"),Skemaoplysninger!$S$637,"")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v>
      </c>
      <c r="CY22" s="457">
        <f>IF(C22="Skema 1",Stamoplysninger!$H$30/200,0)</f>
        <v>0</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0</v>
      </c>
      <c r="DN22" s="580"/>
      <c r="DO22" s="580"/>
      <c r="DP22" s="580"/>
      <c r="DQ22" s="580"/>
      <c r="DR22" s="580"/>
      <c r="DS22" s="580"/>
      <c r="DT22" s="580"/>
      <c r="DU22" s="580"/>
      <c r="DV22" s="580"/>
      <c r="DW22" s="580"/>
      <c r="DX22" s="580"/>
      <c r="DY22" s="580"/>
      <c r="DZ22" s="580"/>
      <c r="EA22" s="580"/>
      <c r="EB22" s="580"/>
      <c r="EC22" s="580"/>
      <c r="ED22" s="580"/>
      <c r="EE22" s="580"/>
      <c r="EF22" s="580"/>
      <c r="EG22" s="580"/>
      <c r="EH22" s="580"/>
      <c r="EI22" s="580"/>
      <c r="EJ22" s="580"/>
      <c r="EK22" s="580"/>
      <c r="EL22" s="580"/>
      <c r="EM22" s="580"/>
      <c r="EN22" s="580"/>
      <c r="EO22" s="580"/>
      <c r="EP22" s="580"/>
      <c r="EQ22" s="580"/>
      <c r="ER22" s="580"/>
      <c r="ES22" s="580"/>
      <c r="ET22" s="580"/>
      <c r="EU22" s="580"/>
      <c r="EV22" s="580"/>
      <c r="EW22" s="580"/>
      <c r="EX22" s="580"/>
      <c r="EY22" s="580"/>
      <c r="EZ22" s="580"/>
      <c r="FA22" s="580"/>
      <c r="FB22" s="580"/>
      <c r="FC22" s="580"/>
      <c r="FD22" s="580"/>
      <c r="FE22" s="580"/>
      <c r="FF22" s="580"/>
      <c r="FG22" s="580"/>
      <c r="FH22" s="580"/>
      <c r="FI22" s="580"/>
      <c r="FJ22" s="580"/>
      <c r="FK22" s="580"/>
      <c r="FL22" s="580"/>
      <c r="FM22" s="580"/>
      <c r="FN22" s="580"/>
      <c r="FO22" s="580"/>
      <c r="FP22" s="580"/>
      <c r="FQ22" s="580"/>
      <c r="FR22" s="580"/>
      <c r="FS22" s="580"/>
      <c r="FT22" s="580"/>
      <c r="FU22" s="580"/>
      <c r="FV22" s="580"/>
      <c r="FW22" s="580"/>
      <c r="FX22" s="580"/>
      <c r="FY22" s="580"/>
      <c r="FZ22" s="580"/>
      <c r="GA22" s="580"/>
      <c r="GB22" s="580"/>
      <c r="GC22" s="580"/>
      <c r="GD22" s="580"/>
      <c r="GE22" s="580"/>
      <c r="GF22" s="580"/>
      <c r="GG22" s="580"/>
      <c r="GH22" s="580"/>
      <c r="GI22" s="580"/>
      <c r="GJ22" s="580"/>
      <c r="GK22" s="580"/>
      <c r="GL22" s="580"/>
      <c r="GM22" s="580"/>
      <c r="GN22" s="580"/>
      <c r="GO22" s="580"/>
      <c r="GP22" s="580"/>
      <c r="GQ22" s="580"/>
      <c r="GR22" s="580"/>
      <c r="GS22" s="580"/>
      <c r="GT22" s="580"/>
      <c r="GU22" s="580"/>
      <c r="GV22" s="580"/>
      <c r="GW22" s="580"/>
      <c r="GX22" s="580"/>
      <c r="GY22" s="580"/>
      <c r="GZ22" s="580"/>
      <c r="HA22" s="580"/>
      <c r="HB22" s="580"/>
      <c r="HC22" s="580"/>
    </row>
    <row r="23" spans="1:211">
      <c r="A23" s="443">
        <f t="shared" si="15"/>
        <v>14</v>
      </c>
      <c r="B23" s="218" t="str">
        <f t="shared" si="0"/>
        <v>sø</v>
      </c>
      <c r="C23" s="219" t="s">
        <v>138</v>
      </c>
      <c r="D23" s="220" t="str">
        <f t="shared" si="1"/>
        <v/>
      </c>
      <c r="E23" s="909"/>
      <c r="F23" s="910"/>
      <c r="G23" s="911"/>
      <c r="H23" s="593"/>
      <c r="I23" s="726"/>
      <c r="J23" s="726"/>
      <c r="K23" s="669"/>
      <c r="L23" s="669"/>
      <c r="M23" s="669"/>
      <c r="N23" s="557">
        <f t="shared" si="16"/>
        <v>0</v>
      </c>
      <c r="O23" s="557">
        <f t="shared" si="17"/>
        <v>0</v>
      </c>
      <c r="P23" s="557">
        <f>IF(Stamoplysninger!$H$29="JA",August!DG23,CX23)</f>
        <v>0</v>
      </c>
      <c r="Q23" s="557">
        <f t="shared" si="18"/>
        <v>0</v>
      </c>
      <c r="R23" s="725"/>
      <c r="S23" s="564"/>
      <c r="T23" s="565"/>
      <c r="U23" s="565"/>
      <c r="V23" s="559"/>
      <c r="W23" s="763"/>
      <c r="X23" s="560"/>
      <c r="Y23">
        <f t="shared" si="19"/>
        <v>0</v>
      </c>
      <c r="Z23">
        <f t="shared" si="2"/>
        <v>0</v>
      </c>
      <c r="AA23" s="1">
        <f t="shared" si="3"/>
        <v>0</v>
      </c>
      <c r="AB23" s="1">
        <f t="shared" si="4"/>
        <v>0</v>
      </c>
      <c r="AC23" s="1">
        <f t="shared" si="5"/>
        <v>0</v>
      </c>
      <c r="AD23" s="1">
        <f t="shared" si="6"/>
        <v>0</v>
      </c>
      <c r="AE23" s="1">
        <f t="shared" si="7"/>
        <v>0</v>
      </c>
      <c r="AF23" s="1">
        <f>IF(C23="Orlov",Stamoplysninger!$E$15*7.4,0)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8"/>
        <v>0</v>
      </c>
      <c r="BB23" s="421">
        <f t="shared" si="9"/>
        <v>0</v>
      </c>
      <c r="BC23" s="1">
        <f t="shared" si="20"/>
        <v>0</v>
      </c>
      <c r="BD23" s="1">
        <f t="shared" si="10"/>
        <v>0</v>
      </c>
      <c r="BE23" s="1">
        <f t="shared" si="11"/>
        <v>0</v>
      </c>
      <c r="BF23" s="1">
        <f t="shared" si="12"/>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3"/>
        <v>0</v>
      </c>
      <c r="CC23" s="1">
        <f t="shared" si="14"/>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2",B23="fr"),Skemaoplysninger!$S$637,"")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c r="DN23" s="580"/>
      <c r="DO23" s="580"/>
      <c r="DP23" s="580"/>
      <c r="DQ23" s="580"/>
      <c r="DR23" s="580"/>
      <c r="DS23" s="580"/>
      <c r="DT23" s="580"/>
      <c r="DU23" s="580"/>
      <c r="DV23" s="580"/>
      <c r="DW23" s="580"/>
      <c r="DX23" s="580"/>
      <c r="DY23" s="580"/>
      <c r="DZ23" s="580"/>
      <c r="EA23" s="580"/>
      <c r="EB23" s="580"/>
      <c r="EC23" s="580"/>
      <c r="ED23" s="580"/>
      <c r="EE23" s="580"/>
      <c r="EF23" s="580"/>
      <c r="EG23" s="580"/>
      <c r="EH23" s="580"/>
      <c r="EI23" s="580"/>
      <c r="EJ23" s="580"/>
      <c r="EK23" s="580"/>
      <c r="EL23" s="580"/>
      <c r="EM23" s="580"/>
      <c r="EN23" s="580"/>
      <c r="EO23" s="580"/>
      <c r="EP23" s="580"/>
      <c r="EQ23" s="580"/>
      <c r="ER23" s="580"/>
      <c r="ES23" s="580"/>
      <c r="ET23" s="580"/>
      <c r="EU23" s="580"/>
      <c r="EV23" s="580"/>
      <c r="EW23" s="580"/>
      <c r="EX23" s="580"/>
      <c r="EY23" s="580"/>
      <c r="EZ23" s="580"/>
      <c r="FA23" s="580"/>
      <c r="FB23" s="580"/>
      <c r="FC23" s="580"/>
      <c r="FD23" s="580"/>
      <c r="FE23" s="580"/>
      <c r="FF23" s="580"/>
      <c r="FG23" s="580"/>
      <c r="FH23" s="580"/>
      <c r="FI23" s="580"/>
      <c r="FJ23" s="580"/>
      <c r="FK23" s="580"/>
      <c r="FL23" s="580"/>
      <c r="FM23" s="580"/>
      <c r="FN23" s="580"/>
      <c r="FO23" s="580"/>
      <c r="FP23" s="580"/>
      <c r="FQ23" s="580"/>
      <c r="FR23" s="580"/>
      <c r="FS23" s="580"/>
      <c r="FT23" s="580"/>
      <c r="FU23" s="580"/>
      <c r="FV23" s="580"/>
      <c r="FW23" s="580"/>
      <c r="FX23" s="580"/>
      <c r="FY23" s="580"/>
      <c r="FZ23" s="580"/>
      <c r="GA23" s="580"/>
      <c r="GB23" s="580"/>
      <c r="GC23" s="580"/>
      <c r="GD23" s="580"/>
      <c r="GE23" s="580"/>
      <c r="GF23" s="580"/>
      <c r="GG23" s="580"/>
      <c r="GH23" s="580"/>
      <c r="GI23" s="580"/>
      <c r="GJ23" s="580"/>
      <c r="GK23" s="580"/>
      <c r="GL23" s="580"/>
      <c r="GM23" s="580"/>
      <c r="GN23" s="580"/>
      <c r="GO23" s="580"/>
      <c r="GP23" s="580"/>
      <c r="GQ23" s="580"/>
      <c r="GR23" s="580"/>
      <c r="GS23" s="580"/>
      <c r="GT23" s="580"/>
      <c r="GU23" s="580"/>
      <c r="GV23" s="580"/>
      <c r="GW23" s="580"/>
      <c r="GX23" s="580"/>
      <c r="GY23" s="580"/>
      <c r="GZ23" s="580"/>
      <c r="HA23" s="580"/>
      <c r="HB23" s="580"/>
      <c r="HC23" s="580"/>
    </row>
    <row r="24" spans="1:211">
      <c r="A24" s="443">
        <f t="shared" si="15"/>
        <v>15</v>
      </c>
      <c r="B24" s="218" t="str">
        <f t="shared" si="0"/>
        <v>ma</v>
      </c>
      <c r="C24" s="219" t="s">
        <v>241</v>
      </c>
      <c r="D24" s="220">
        <f t="shared" si="1"/>
        <v>33.285714285714285</v>
      </c>
      <c r="E24" s="909"/>
      <c r="F24" s="910"/>
      <c r="G24" s="911"/>
      <c r="H24" s="593"/>
      <c r="I24" s="855"/>
      <c r="J24" s="726"/>
      <c r="K24" s="669"/>
      <c r="L24" s="669"/>
      <c r="M24" s="669"/>
      <c r="N24" s="557">
        <f t="shared" si="16"/>
        <v>8</v>
      </c>
      <c r="O24" s="557">
        <f t="shared" si="17"/>
        <v>3.75</v>
      </c>
      <c r="P24" s="557">
        <f>IF(Stamoplysninger!$H$29="JA",August!DG24,CX24)</f>
        <v>0.91666666666666674</v>
      </c>
      <c r="Q24" s="557">
        <f t="shared" si="18"/>
        <v>3.333333333333333</v>
      </c>
      <c r="R24" s="725"/>
      <c r="S24" s="564"/>
      <c r="T24" s="565"/>
      <c r="U24" s="565"/>
      <c r="V24" s="559"/>
      <c r="W24" s="763"/>
      <c r="X24" s="560"/>
      <c r="Y24">
        <f t="shared" si="19"/>
        <v>0</v>
      </c>
      <c r="Z24">
        <f t="shared" si="2"/>
        <v>0</v>
      </c>
      <c r="AA24" s="1">
        <f t="shared" si="3"/>
        <v>0</v>
      </c>
      <c r="AB24" s="1">
        <f t="shared" si="4"/>
        <v>0</v>
      </c>
      <c r="AC24" s="1">
        <f t="shared" si="5"/>
        <v>0</v>
      </c>
      <c r="AD24" s="1">
        <f t="shared" si="6"/>
        <v>0</v>
      </c>
      <c r="AE24" s="1">
        <f t="shared" si="7"/>
        <v>0</v>
      </c>
      <c r="AF24" s="1">
        <f>IF(C24="Orlov",Stamoplysninger!$E$15*7.4,0)</f>
        <v>0</v>
      </c>
      <c r="AG24" s="383">
        <f>IF(AND(C24="Skema 1",B24="ma"),Arbejdstidsoversigt!$E$44,"")</f>
        <v>8</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8"/>
        <v>8</v>
      </c>
      <c r="BB24" s="421">
        <f t="shared" si="9"/>
        <v>192</v>
      </c>
      <c r="BC24" s="1">
        <f t="shared" si="20"/>
        <v>0</v>
      </c>
      <c r="BD24" s="1">
        <f t="shared" si="10"/>
        <v>0</v>
      </c>
      <c r="BE24" s="1">
        <f t="shared" si="11"/>
        <v>0</v>
      </c>
      <c r="BF24" s="1">
        <f t="shared" si="12"/>
        <v>0</v>
      </c>
      <c r="BG24" s="382">
        <f>IF(AND(C24="Skema 1",B24="ma"),Skemaoplysninger!$E$28,"")</f>
        <v>0.15625</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3.75</v>
      </c>
      <c r="CB24" s="1">
        <f t="shared" si="13"/>
        <v>0</v>
      </c>
      <c r="CC24" s="1">
        <f t="shared" si="14"/>
        <v>0</v>
      </c>
      <c r="CD24" s="382">
        <f>IF(AND(C24="Skema 1",B24="ma"),Skemaoplysninger!$E$37,"")</f>
        <v>0.91666666666666674</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2",B24="fr"),Skemaoplysninger!$S$637,"")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0.91666666666666674</v>
      </c>
      <c r="CY24" s="457">
        <f>IF(C24="Skema 1",Stamoplysninger!$H$30/200,0)</f>
        <v>1</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c r="DN24" s="580"/>
      <c r="DO24" s="580"/>
      <c r="DP24" s="580"/>
      <c r="DQ24" s="580"/>
      <c r="DR24" s="580"/>
      <c r="DS24" s="580"/>
      <c r="DT24" s="580"/>
      <c r="DU24" s="580"/>
      <c r="DV24" s="580"/>
      <c r="DW24" s="580"/>
      <c r="DX24" s="580"/>
      <c r="DY24" s="580"/>
      <c r="DZ24" s="580"/>
      <c r="EA24" s="580"/>
      <c r="EB24" s="580"/>
      <c r="EC24" s="580"/>
      <c r="ED24" s="580"/>
      <c r="EE24" s="580"/>
      <c r="EF24" s="580"/>
      <c r="EG24" s="580"/>
      <c r="EH24" s="580"/>
      <c r="EI24" s="580"/>
      <c r="EJ24" s="580"/>
      <c r="EK24" s="580"/>
      <c r="EL24" s="580"/>
      <c r="EM24" s="580"/>
      <c r="EN24" s="580"/>
      <c r="EO24" s="580"/>
      <c r="EP24" s="580"/>
      <c r="EQ24" s="580"/>
      <c r="ER24" s="580"/>
      <c r="ES24" s="580"/>
      <c r="ET24" s="580"/>
      <c r="EU24" s="580"/>
      <c r="EV24" s="580"/>
      <c r="EW24" s="580"/>
      <c r="EX24" s="580"/>
      <c r="EY24" s="580"/>
      <c r="EZ24" s="580"/>
      <c r="FA24" s="580"/>
      <c r="FB24" s="580"/>
      <c r="FC24" s="580"/>
      <c r="FD24" s="580"/>
      <c r="FE24" s="580"/>
      <c r="FF24" s="580"/>
      <c r="FG24" s="580"/>
      <c r="FH24" s="580"/>
      <c r="FI24" s="580"/>
      <c r="FJ24" s="580"/>
      <c r="FK24" s="580"/>
      <c r="FL24" s="580"/>
      <c r="FM24" s="580"/>
      <c r="FN24" s="580"/>
      <c r="FO24" s="580"/>
      <c r="FP24" s="580"/>
      <c r="FQ24" s="580"/>
      <c r="FR24" s="580"/>
      <c r="FS24" s="580"/>
      <c r="FT24" s="580"/>
      <c r="FU24" s="580"/>
      <c r="FV24" s="580"/>
      <c r="FW24" s="580"/>
      <c r="FX24" s="580"/>
      <c r="FY24" s="580"/>
      <c r="FZ24" s="580"/>
      <c r="GA24" s="580"/>
      <c r="GB24" s="580"/>
      <c r="GC24" s="580"/>
      <c r="GD24" s="580"/>
      <c r="GE24" s="580"/>
      <c r="GF24" s="580"/>
      <c r="GG24" s="580"/>
      <c r="GH24" s="580"/>
      <c r="GI24" s="580"/>
      <c r="GJ24" s="580"/>
      <c r="GK24" s="580"/>
      <c r="GL24" s="580"/>
      <c r="GM24" s="580"/>
      <c r="GN24" s="580"/>
      <c r="GO24" s="580"/>
      <c r="GP24" s="580"/>
      <c r="GQ24" s="580"/>
      <c r="GR24" s="580"/>
      <c r="GS24" s="580"/>
      <c r="GT24" s="580"/>
      <c r="GU24" s="580"/>
      <c r="GV24" s="580"/>
      <c r="GW24" s="580"/>
      <c r="GX24" s="580"/>
      <c r="GY24" s="580"/>
      <c r="GZ24" s="580"/>
      <c r="HA24" s="580"/>
      <c r="HB24" s="580"/>
      <c r="HC24" s="580"/>
    </row>
    <row r="25" spans="1:211">
      <c r="A25" s="443">
        <f>IF(ISNUMBER(A24),A24+1,1)</f>
        <v>16</v>
      </c>
      <c r="B25" s="218" t="str">
        <f t="shared" si="0"/>
        <v>ti</v>
      </c>
      <c r="C25" s="219" t="s">
        <v>241</v>
      </c>
      <c r="D25" s="220" t="str">
        <f t="shared" si="1"/>
        <v/>
      </c>
      <c r="E25" s="906"/>
      <c r="F25" s="907"/>
      <c r="G25" s="908"/>
      <c r="H25" s="594"/>
      <c r="I25" s="855"/>
      <c r="J25" s="726"/>
      <c r="K25" s="669"/>
      <c r="L25" s="669"/>
      <c r="M25" s="669"/>
      <c r="N25" s="557">
        <f t="shared" si="16"/>
        <v>8</v>
      </c>
      <c r="O25" s="557">
        <f t="shared" si="17"/>
        <v>5.25</v>
      </c>
      <c r="P25" s="557">
        <f>IF(Stamoplysninger!$H$29="JA",August!DG25,CX25)</f>
        <v>1.0833333333333335</v>
      </c>
      <c r="Q25" s="557">
        <f t="shared" si="18"/>
        <v>1.6666666666666665</v>
      </c>
      <c r="R25" s="725"/>
      <c r="S25" s="564"/>
      <c r="T25" s="565"/>
      <c r="U25" s="565"/>
      <c r="V25" s="559"/>
      <c r="W25" s="763"/>
      <c r="X25" s="560"/>
      <c r="Y25">
        <f t="shared" si="19"/>
        <v>0</v>
      </c>
      <c r="Z25">
        <f t="shared" si="2"/>
        <v>0</v>
      </c>
      <c r="AA25" s="1">
        <f t="shared" si="3"/>
        <v>0</v>
      </c>
      <c r="AB25" s="1">
        <f t="shared" si="4"/>
        <v>0</v>
      </c>
      <c r="AC25" s="1">
        <f t="shared" si="5"/>
        <v>0</v>
      </c>
      <c r="AD25" s="1">
        <f t="shared" si="6"/>
        <v>0</v>
      </c>
      <c r="AE25" s="1">
        <f t="shared" si="7"/>
        <v>0</v>
      </c>
      <c r="AF25" s="1">
        <f>IF(C25="Orlov",Stamoplysninger!$E$15*7.4,0)</f>
        <v>0</v>
      </c>
      <c r="AG25" s="383" t="str">
        <f>IF(AND(C25="Skema 1",B25="ma"),Arbejdstidsoversigt!$E$44,"")</f>
        <v/>
      </c>
      <c r="AH25" s="383">
        <f>IF(AND(C25="Skema 1",B25="ti"),Arbejdstidsoversigt!$E$45,"")</f>
        <v>8</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8"/>
        <v>8</v>
      </c>
      <c r="BB25" s="421">
        <f t="shared" si="9"/>
        <v>192</v>
      </c>
      <c r="BC25" s="1">
        <f t="shared" si="20"/>
        <v>0</v>
      </c>
      <c r="BD25" s="1">
        <f t="shared" si="10"/>
        <v>0</v>
      </c>
      <c r="BE25" s="1">
        <f t="shared" si="11"/>
        <v>0</v>
      </c>
      <c r="BF25" s="1">
        <f t="shared" si="12"/>
        <v>0</v>
      </c>
      <c r="BG25" s="382" t="str">
        <f>IF(AND(C25="Skema 1",B25="ma"),Skemaoplysninger!$E$28,"")</f>
        <v/>
      </c>
      <c r="BH25" s="382">
        <f>IF(AND(C25="Skema 1",B25="ti"),Skemaoplysninger!$F$28,"")</f>
        <v>0.21875</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5.25</v>
      </c>
      <c r="CB25" s="1">
        <f t="shared" si="13"/>
        <v>0</v>
      </c>
      <c r="CC25" s="1">
        <f t="shared" si="14"/>
        <v>0</v>
      </c>
      <c r="CD25" s="382" t="str">
        <f>IF(AND(C25="Skema 1",B25="ma"),Skemaoplysninger!$E$37,"")</f>
        <v/>
      </c>
      <c r="CE25" s="382">
        <f>IF(AND(C25="Skema 1",B25="ti"),Skemaoplysninger!$F$37,"")</f>
        <v>1.0833333333333335</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2",B25="fr"),Skemaoplysninger!$S$637,"")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1.0833333333333335</v>
      </c>
      <c r="CY25" s="457">
        <f>IF(C25="Skema 1",Stamoplysninger!$H$30/200,0)</f>
        <v>1</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c r="DN25" s="580"/>
      <c r="DO25" s="580"/>
      <c r="DP25" s="580"/>
      <c r="DQ25" s="580"/>
      <c r="DR25" s="580"/>
      <c r="DS25" s="580"/>
      <c r="DT25" s="580"/>
      <c r="DU25" s="580"/>
      <c r="DV25" s="580"/>
      <c r="DW25" s="580"/>
      <c r="DX25" s="580"/>
      <c r="DY25" s="580"/>
      <c r="DZ25" s="580"/>
      <c r="EA25" s="580"/>
      <c r="EB25" s="580"/>
      <c r="EC25" s="580"/>
      <c r="ED25" s="580"/>
      <c r="EE25" s="580"/>
      <c r="EF25" s="580"/>
      <c r="EG25" s="580"/>
      <c r="EH25" s="580"/>
      <c r="EI25" s="580"/>
      <c r="EJ25" s="580"/>
      <c r="EK25" s="580"/>
      <c r="EL25" s="580"/>
      <c r="EM25" s="580"/>
      <c r="EN25" s="580"/>
      <c r="EO25" s="580"/>
      <c r="EP25" s="580"/>
      <c r="EQ25" s="580"/>
      <c r="ER25" s="580"/>
      <c r="ES25" s="580"/>
      <c r="ET25" s="580"/>
      <c r="EU25" s="580"/>
      <c r="EV25" s="580"/>
      <c r="EW25" s="580"/>
      <c r="EX25" s="580"/>
      <c r="EY25" s="580"/>
      <c r="EZ25" s="580"/>
      <c r="FA25" s="580"/>
      <c r="FB25" s="580"/>
      <c r="FC25" s="580"/>
      <c r="FD25" s="580"/>
      <c r="FE25" s="580"/>
      <c r="FF25" s="580"/>
      <c r="FG25" s="580"/>
      <c r="FH25" s="580"/>
      <c r="FI25" s="580"/>
      <c r="FJ25" s="580"/>
      <c r="FK25" s="580"/>
      <c r="FL25" s="580"/>
      <c r="FM25" s="580"/>
      <c r="FN25" s="580"/>
      <c r="FO25" s="580"/>
      <c r="FP25" s="580"/>
      <c r="FQ25" s="580"/>
      <c r="FR25" s="580"/>
      <c r="FS25" s="580"/>
      <c r="FT25" s="580"/>
      <c r="FU25" s="580"/>
      <c r="FV25" s="580"/>
      <c r="FW25" s="580"/>
      <c r="FX25" s="580"/>
      <c r="FY25" s="580"/>
      <c r="FZ25" s="580"/>
      <c r="GA25" s="580"/>
      <c r="GB25" s="580"/>
      <c r="GC25" s="580"/>
      <c r="GD25" s="580"/>
      <c r="GE25" s="580"/>
      <c r="GF25" s="580"/>
      <c r="GG25" s="580"/>
      <c r="GH25" s="580"/>
      <c r="GI25" s="580"/>
      <c r="GJ25" s="580"/>
      <c r="GK25" s="580"/>
      <c r="GL25" s="580"/>
      <c r="GM25" s="580"/>
      <c r="GN25" s="580"/>
      <c r="GO25" s="580"/>
      <c r="GP25" s="580"/>
      <c r="GQ25" s="580"/>
      <c r="GR25" s="580"/>
      <c r="GS25" s="580"/>
      <c r="GT25" s="580"/>
      <c r="GU25" s="580"/>
      <c r="GV25" s="580"/>
      <c r="GW25" s="580"/>
      <c r="GX25" s="580"/>
      <c r="GY25" s="580"/>
      <c r="GZ25" s="580"/>
      <c r="HA25" s="580"/>
      <c r="HB25" s="580"/>
      <c r="HC25" s="580"/>
    </row>
    <row r="26" spans="1:211">
      <c r="A26" s="443">
        <f t="shared" si="15"/>
        <v>17</v>
      </c>
      <c r="B26" s="218" t="str">
        <f t="shared" si="0"/>
        <v>on</v>
      </c>
      <c r="C26" s="219" t="s">
        <v>241</v>
      </c>
      <c r="D26" s="220" t="str">
        <f t="shared" si="1"/>
        <v/>
      </c>
      <c r="E26" s="906"/>
      <c r="F26" s="907"/>
      <c r="G26" s="908"/>
      <c r="H26" s="594"/>
      <c r="I26" s="855"/>
      <c r="J26" s="726"/>
      <c r="K26" s="669"/>
      <c r="L26" s="669"/>
      <c r="M26" s="669"/>
      <c r="N26" s="557">
        <f t="shared" si="16"/>
        <v>8</v>
      </c>
      <c r="O26" s="557">
        <f t="shared" si="17"/>
        <v>3.75</v>
      </c>
      <c r="P26" s="557">
        <f>IF(Stamoplysninger!$H$29="JA",August!DG26,CX26)</f>
        <v>0.91666666666666674</v>
      </c>
      <c r="Q26" s="557">
        <f t="shared" si="18"/>
        <v>3.333333333333333</v>
      </c>
      <c r="R26" s="725"/>
      <c r="S26" s="564"/>
      <c r="T26" s="565"/>
      <c r="U26" s="565"/>
      <c r="V26" s="559"/>
      <c r="W26" s="763"/>
      <c r="X26" s="560"/>
      <c r="Y26">
        <f t="shared" si="19"/>
        <v>0</v>
      </c>
      <c r="Z26">
        <f t="shared" si="2"/>
        <v>0</v>
      </c>
      <c r="AA26" s="1">
        <f t="shared" si="3"/>
        <v>0</v>
      </c>
      <c r="AB26" s="1">
        <f t="shared" si="4"/>
        <v>0</v>
      </c>
      <c r="AC26" s="1">
        <f t="shared" si="5"/>
        <v>0</v>
      </c>
      <c r="AD26" s="1">
        <f t="shared" si="6"/>
        <v>0</v>
      </c>
      <c r="AE26" s="1">
        <f t="shared" si="7"/>
        <v>0</v>
      </c>
      <c r="AF26" s="1">
        <f>IF(C26="Orlov",Stamoplysninger!$E$15*7.4,0)</f>
        <v>0</v>
      </c>
      <c r="AG26" s="383" t="str">
        <f>IF(AND(C26="Skema 1",B26="ma"),Arbejdstidsoversigt!$E$44,"")</f>
        <v/>
      </c>
      <c r="AH26" s="383" t="str">
        <f>IF(AND(C26="Skema 1",B26="ti"),Arbejdstidsoversigt!$E$45,"")</f>
        <v/>
      </c>
      <c r="AI26" s="383">
        <f>IF(AND(C26="Skema 1",B26="on"),Arbejdstidsoversigt!$E$46,"")</f>
        <v>8</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8"/>
        <v>8</v>
      </c>
      <c r="BB26" s="421">
        <f t="shared" si="9"/>
        <v>192</v>
      </c>
      <c r="BC26" s="1">
        <f t="shared" si="20"/>
        <v>0</v>
      </c>
      <c r="BD26" s="1">
        <f t="shared" si="10"/>
        <v>0</v>
      </c>
      <c r="BE26" s="1">
        <f t="shared" si="11"/>
        <v>0</v>
      </c>
      <c r="BF26" s="1">
        <f t="shared" si="12"/>
        <v>0</v>
      </c>
      <c r="BG26" s="382" t="str">
        <f>IF(AND(C26="Skema 1",B26="ma"),Skemaoplysninger!$E$28,"")</f>
        <v/>
      </c>
      <c r="BH26" s="382" t="str">
        <f>IF(AND(C26="Skema 1",B26="ti"),Skemaoplysninger!$F$28,"")</f>
        <v/>
      </c>
      <c r="BI26" s="382">
        <f>IF(AND(C26="Skema 1",B26="on"),Skemaoplysninger!$G$28,"")</f>
        <v>0.15625</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3.75</v>
      </c>
      <c r="CB26" s="1">
        <f t="shared" si="13"/>
        <v>0</v>
      </c>
      <c r="CC26" s="1">
        <f t="shared" si="14"/>
        <v>0</v>
      </c>
      <c r="CD26" s="382" t="str">
        <f>IF(AND(C26="Skema 1",B26="ma"),Skemaoplysninger!$E$37,"")</f>
        <v/>
      </c>
      <c r="CE26" s="382" t="str">
        <f>IF(AND(C26="Skema 1",B26="ti"),Skemaoplysninger!$F$37,"")</f>
        <v/>
      </c>
      <c r="CF26" s="382">
        <f>IF(AND(C26="Skema 1",B26="on"),Skemaoplysninger!$G$37,"")</f>
        <v>0.91666666666666674</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2",B26="fr"),Skemaoplysninger!$S$637,"")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0.91666666666666674</v>
      </c>
      <c r="CY26" s="457">
        <f>IF(C26="Skema 1",Stamoplysninger!$H$30/200,0)</f>
        <v>1</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1</v>
      </c>
      <c r="DN26" s="580"/>
      <c r="DO26" s="580"/>
      <c r="DP26" s="580"/>
      <c r="DQ26" s="580"/>
      <c r="DR26" s="580"/>
      <c r="DS26" s="580"/>
      <c r="DT26" s="580"/>
      <c r="DU26" s="580"/>
      <c r="DV26" s="580"/>
      <c r="DW26" s="580"/>
      <c r="DX26" s="580"/>
      <c r="DY26" s="580"/>
      <c r="DZ26" s="580"/>
      <c r="EA26" s="580"/>
      <c r="EB26" s="580"/>
      <c r="EC26" s="580"/>
      <c r="ED26" s="580"/>
      <c r="EE26" s="580"/>
      <c r="EF26" s="580"/>
      <c r="EG26" s="580"/>
      <c r="EH26" s="580"/>
      <c r="EI26" s="580"/>
      <c r="EJ26" s="580"/>
      <c r="EK26" s="580"/>
      <c r="EL26" s="580"/>
      <c r="EM26" s="580"/>
      <c r="EN26" s="580"/>
      <c r="EO26" s="580"/>
      <c r="EP26" s="580"/>
      <c r="EQ26" s="580"/>
      <c r="ER26" s="580"/>
      <c r="ES26" s="580"/>
      <c r="ET26" s="580"/>
      <c r="EU26" s="580"/>
      <c r="EV26" s="580"/>
      <c r="EW26" s="580"/>
      <c r="EX26" s="580"/>
      <c r="EY26" s="580"/>
      <c r="EZ26" s="580"/>
      <c r="FA26" s="580"/>
      <c r="FB26" s="580"/>
      <c r="FC26" s="580"/>
      <c r="FD26" s="580"/>
      <c r="FE26" s="580"/>
      <c r="FF26" s="580"/>
      <c r="FG26" s="580"/>
      <c r="FH26" s="580"/>
      <c r="FI26" s="580"/>
      <c r="FJ26" s="580"/>
      <c r="FK26" s="580"/>
      <c r="FL26" s="580"/>
      <c r="FM26" s="580"/>
      <c r="FN26" s="580"/>
      <c r="FO26" s="580"/>
      <c r="FP26" s="580"/>
      <c r="FQ26" s="580"/>
      <c r="FR26" s="580"/>
      <c r="FS26" s="580"/>
      <c r="FT26" s="580"/>
      <c r="FU26" s="580"/>
      <c r="FV26" s="580"/>
      <c r="FW26" s="580"/>
      <c r="FX26" s="580"/>
      <c r="FY26" s="580"/>
      <c r="FZ26" s="580"/>
      <c r="GA26" s="580"/>
      <c r="GB26" s="580"/>
      <c r="GC26" s="580"/>
      <c r="GD26" s="580"/>
      <c r="GE26" s="580"/>
      <c r="GF26" s="580"/>
      <c r="GG26" s="580"/>
      <c r="GH26" s="580"/>
      <c r="GI26" s="580"/>
      <c r="GJ26" s="580"/>
      <c r="GK26" s="580"/>
      <c r="GL26" s="580"/>
      <c r="GM26" s="580"/>
      <c r="GN26" s="580"/>
      <c r="GO26" s="580"/>
      <c r="GP26" s="580"/>
      <c r="GQ26" s="580"/>
      <c r="GR26" s="580"/>
      <c r="GS26" s="580"/>
      <c r="GT26" s="580"/>
      <c r="GU26" s="580"/>
      <c r="GV26" s="580"/>
      <c r="GW26" s="580"/>
      <c r="GX26" s="580"/>
      <c r="GY26" s="580"/>
      <c r="GZ26" s="580"/>
      <c r="HA26" s="580"/>
      <c r="HB26" s="580"/>
      <c r="HC26" s="580"/>
    </row>
    <row r="27" spans="1:211">
      <c r="A27" s="443">
        <f t="shared" si="15"/>
        <v>18</v>
      </c>
      <c r="B27" s="218" t="str">
        <f t="shared" si="0"/>
        <v>to</v>
      </c>
      <c r="C27" s="219" t="s">
        <v>241</v>
      </c>
      <c r="D27" s="220" t="str">
        <f t="shared" si="1"/>
        <v/>
      </c>
      <c r="E27" s="906"/>
      <c r="F27" s="907"/>
      <c r="G27" s="908"/>
      <c r="H27" s="594"/>
      <c r="I27" s="855"/>
      <c r="J27" s="726"/>
      <c r="K27" s="669"/>
      <c r="L27" s="669"/>
      <c r="M27" s="669"/>
      <c r="N27" s="557">
        <f t="shared" si="16"/>
        <v>8</v>
      </c>
      <c r="O27" s="557">
        <f t="shared" si="17"/>
        <v>3.75</v>
      </c>
      <c r="P27" s="557">
        <f>IF(Stamoplysninger!$H$29="JA",August!DG27,CX27)</f>
        <v>0.91666666666666674</v>
      </c>
      <c r="Q27" s="557">
        <f t="shared" si="18"/>
        <v>3.333333333333333</v>
      </c>
      <c r="R27" s="725"/>
      <c r="S27" s="564"/>
      <c r="T27" s="565"/>
      <c r="U27" s="565"/>
      <c r="V27" s="559"/>
      <c r="W27" s="763"/>
      <c r="X27" s="560"/>
      <c r="Y27">
        <f t="shared" si="19"/>
        <v>0</v>
      </c>
      <c r="Z27">
        <f t="shared" si="2"/>
        <v>0</v>
      </c>
      <c r="AA27" s="1">
        <f t="shared" si="3"/>
        <v>0</v>
      </c>
      <c r="AB27" s="1">
        <f t="shared" si="4"/>
        <v>0</v>
      </c>
      <c r="AC27" s="1">
        <f t="shared" si="5"/>
        <v>0</v>
      </c>
      <c r="AD27" s="1">
        <f t="shared" si="6"/>
        <v>0</v>
      </c>
      <c r="AE27" s="1">
        <f t="shared" si="7"/>
        <v>0</v>
      </c>
      <c r="AF27" s="1">
        <f>IF(C27="Orlov",Stamoplysninger!$E$15*7.4,0)</f>
        <v>0</v>
      </c>
      <c r="AG27" s="383" t="str">
        <f>IF(AND(C27="Skema 1",B27="ma"),Arbejdstidsoversigt!$E$44,"")</f>
        <v/>
      </c>
      <c r="AH27" s="383" t="str">
        <f>IF(AND(C27="Skema 1",B27="ti"),Arbejdstidsoversigt!$E$45,"")</f>
        <v/>
      </c>
      <c r="AI27" s="383" t="str">
        <f>IF(AND(C27="Skema 1",B27="on"),Arbejdstidsoversigt!$E$46,"")</f>
        <v/>
      </c>
      <c r="AJ27" s="383">
        <f>IF(AND(C27="Skema 1",B27="to"),Arbejdstidsoversigt!$E$47,"")</f>
        <v>8</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8"/>
        <v>8</v>
      </c>
      <c r="BB27" s="421">
        <f t="shared" si="9"/>
        <v>192</v>
      </c>
      <c r="BC27" s="1">
        <f t="shared" si="20"/>
        <v>0</v>
      </c>
      <c r="BD27" s="1">
        <f t="shared" si="10"/>
        <v>0</v>
      </c>
      <c r="BE27" s="1">
        <f t="shared" si="11"/>
        <v>0</v>
      </c>
      <c r="BF27" s="1">
        <f t="shared" si="12"/>
        <v>0</v>
      </c>
      <c r="BG27" s="382" t="str">
        <f>IF(AND(C27="Skema 1",B27="ma"),Skemaoplysninger!$E$28,"")</f>
        <v/>
      </c>
      <c r="BH27" s="382" t="str">
        <f>IF(AND(C27="Skema 1",B27="ti"),Skemaoplysninger!$F$28,"")</f>
        <v/>
      </c>
      <c r="BI27" s="382" t="str">
        <f>IF(AND(C27="Skema 1",B27="on"),Skemaoplysninger!$G$28,"")</f>
        <v/>
      </c>
      <c r="BJ27" s="382">
        <f>IF(AND(C27="Skema 1",B27="to"),Skemaoplysninger!$H$28,"")</f>
        <v>0.15625</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3.75</v>
      </c>
      <c r="CB27" s="1">
        <f t="shared" si="13"/>
        <v>0</v>
      </c>
      <c r="CC27" s="1">
        <f t="shared" si="14"/>
        <v>0</v>
      </c>
      <c r="CD27" s="382" t="str">
        <f>IF(AND(C27="Skema 1",B27="ma"),Skemaoplysninger!$E$37,"")</f>
        <v/>
      </c>
      <c r="CE27" s="382" t="str">
        <f>IF(AND(C27="Skema 1",B27="ti"),Skemaoplysninger!$F$37,"")</f>
        <v/>
      </c>
      <c r="CF27" s="382" t="str">
        <f>IF(AND(C27="Skema 1",B27="on"),Skemaoplysninger!$G$37,"")</f>
        <v/>
      </c>
      <c r="CG27" s="382">
        <f>IF(AND(C27="Skema 1",B27="to"),Skemaoplysninger!$H$37,"")</f>
        <v>0.91666666666666674</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2",B27="fr"),Skemaoplysninger!$S$637,"")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0.91666666666666674</v>
      </c>
      <c r="CY27" s="457">
        <f>IF(C27="Skema 1",Stamoplysninger!$H$30/200,0)</f>
        <v>1</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1</v>
      </c>
      <c r="DN27" s="580"/>
      <c r="DO27" s="580"/>
      <c r="DP27" s="580"/>
      <c r="DQ27" s="580"/>
      <c r="DR27" s="580"/>
      <c r="DS27" s="580"/>
      <c r="DT27" s="580"/>
      <c r="DU27" s="580"/>
      <c r="DV27" s="580"/>
      <c r="DW27" s="580"/>
      <c r="DX27" s="580"/>
      <c r="DY27" s="580"/>
      <c r="DZ27" s="580"/>
      <c r="EA27" s="580"/>
      <c r="EB27" s="580"/>
      <c r="EC27" s="580"/>
      <c r="ED27" s="580"/>
      <c r="EE27" s="580"/>
      <c r="EF27" s="580"/>
      <c r="EG27" s="580"/>
      <c r="EH27" s="580"/>
      <c r="EI27" s="580"/>
      <c r="EJ27" s="580"/>
      <c r="EK27" s="580"/>
      <c r="EL27" s="580"/>
      <c r="EM27" s="580"/>
      <c r="EN27" s="580"/>
      <c r="EO27" s="580"/>
      <c r="EP27" s="580"/>
      <c r="EQ27" s="580"/>
      <c r="ER27" s="580"/>
      <c r="ES27" s="580"/>
      <c r="ET27" s="580"/>
      <c r="EU27" s="580"/>
      <c r="EV27" s="580"/>
      <c r="EW27" s="580"/>
      <c r="EX27" s="580"/>
      <c r="EY27" s="580"/>
      <c r="EZ27" s="580"/>
      <c r="FA27" s="580"/>
      <c r="FB27" s="580"/>
      <c r="FC27" s="580"/>
      <c r="FD27" s="580"/>
      <c r="FE27" s="580"/>
      <c r="FF27" s="580"/>
      <c r="FG27" s="580"/>
      <c r="FH27" s="580"/>
      <c r="FI27" s="580"/>
      <c r="FJ27" s="580"/>
      <c r="FK27" s="580"/>
      <c r="FL27" s="580"/>
      <c r="FM27" s="580"/>
      <c r="FN27" s="580"/>
      <c r="FO27" s="580"/>
      <c r="FP27" s="580"/>
      <c r="FQ27" s="580"/>
      <c r="FR27" s="580"/>
      <c r="FS27" s="580"/>
      <c r="FT27" s="580"/>
      <c r="FU27" s="580"/>
      <c r="FV27" s="580"/>
      <c r="FW27" s="580"/>
      <c r="FX27" s="580"/>
      <c r="FY27" s="580"/>
      <c r="FZ27" s="580"/>
      <c r="GA27" s="580"/>
      <c r="GB27" s="580"/>
      <c r="GC27" s="580"/>
      <c r="GD27" s="580"/>
      <c r="GE27" s="580"/>
      <c r="GF27" s="580"/>
      <c r="GG27" s="580"/>
      <c r="GH27" s="580"/>
      <c r="GI27" s="580"/>
      <c r="GJ27" s="580"/>
      <c r="GK27" s="580"/>
      <c r="GL27" s="580"/>
      <c r="GM27" s="580"/>
      <c r="GN27" s="580"/>
      <c r="GO27" s="580"/>
      <c r="GP27" s="580"/>
      <c r="GQ27" s="580"/>
      <c r="GR27" s="580"/>
      <c r="GS27" s="580"/>
      <c r="GT27" s="580"/>
      <c r="GU27" s="580"/>
      <c r="GV27" s="580"/>
      <c r="GW27" s="580"/>
      <c r="GX27" s="580"/>
      <c r="GY27" s="580"/>
      <c r="GZ27" s="580"/>
      <c r="HA27" s="580"/>
      <c r="HB27" s="580"/>
      <c r="HC27" s="580"/>
    </row>
    <row r="28" spans="1:211">
      <c r="A28" s="443">
        <f t="shared" si="15"/>
        <v>19</v>
      </c>
      <c r="B28" s="218" t="str">
        <f t="shared" si="0"/>
        <v>fr</v>
      </c>
      <c r="C28" s="219" t="s">
        <v>241</v>
      </c>
      <c r="D28" s="220" t="str">
        <f t="shared" si="1"/>
        <v/>
      </c>
      <c r="E28" s="906"/>
      <c r="F28" s="907"/>
      <c r="G28" s="908"/>
      <c r="H28" s="594"/>
      <c r="I28" s="855"/>
      <c r="J28" s="726"/>
      <c r="K28" s="669"/>
      <c r="L28" s="669"/>
      <c r="M28" s="669"/>
      <c r="N28" s="557">
        <f t="shared" si="16"/>
        <v>7</v>
      </c>
      <c r="O28" s="557">
        <f t="shared" si="17"/>
        <v>2.25</v>
      </c>
      <c r="P28" s="557">
        <f>IF(Stamoplysninger!$H$29="JA",August!DG28,CX28)</f>
        <v>0.33333333333333331</v>
      </c>
      <c r="Q28" s="557">
        <f t="shared" si="18"/>
        <v>4.416666666666667</v>
      </c>
      <c r="R28" s="725"/>
      <c r="S28" s="564"/>
      <c r="T28" s="565"/>
      <c r="U28" s="565"/>
      <c r="V28" s="559"/>
      <c r="W28" s="763"/>
      <c r="X28" s="560"/>
      <c r="Y28">
        <f t="shared" si="19"/>
        <v>0</v>
      </c>
      <c r="Z28">
        <f t="shared" si="2"/>
        <v>0</v>
      </c>
      <c r="AA28" s="1">
        <f t="shared" si="3"/>
        <v>0</v>
      </c>
      <c r="AB28" s="1">
        <f t="shared" si="4"/>
        <v>0</v>
      </c>
      <c r="AC28" s="1">
        <f t="shared" si="5"/>
        <v>0</v>
      </c>
      <c r="AD28" s="1">
        <f t="shared" si="6"/>
        <v>0</v>
      </c>
      <c r="AE28" s="1">
        <f t="shared" si="7"/>
        <v>0</v>
      </c>
      <c r="AF28" s="1">
        <f>IF(C28="Orlov",Stamoplysninger!$E$15*7.4,0)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f>IF(AND(C28="Skema 1",B28="fr"),Arbejdstidsoversigt!$E$48,"")</f>
        <v>7</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8"/>
        <v>7</v>
      </c>
      <c r="BB28" s="421">
        <f t="shared" si="9"/>
        <v>168</v>
      </c>
      <c r="BC28" s="1">
        <f t="shared" si="20"/>
        <v>0</v>
      </c>
      <c r="BD28" s="1">
        <f t="shared" si="10"/>
        <v>0</v>
      </c>
      <c r="BE28" s="1">
        <f t="shared" si="11"/>
        <v>0</v>
      </c>
      <c r="BF28" s="1">
        <f t="shared" si="12"/>
        <v>0</v>
      </c>
      <c r="BG28" s="382" t="str">
        <f>IF(AND(C28="Skema 1",B28="ma"),Skemaoplysninger!$E$28,"")</f>
        <v/>
      </c>
      <c r="BH28" s="382" t="str">
        <f>IF(AND(C28="Skema 1",B28="ti"),Skemaoplysninger!$F$28,"")</f>
        <v/>
      </c>
      <c r="BI28" s="382" t="str">
        <f>IF(AND(C28="Skema 1",B28="on"),Skemaoplysninger!$G$28,"")</f>
        <v/>
      </c>
      <c r="BJ28" s="382" t="str">
        <f>IF(AND(C28="Skema 1",B28="to"),Skemaoplysninger!$H$28,"")</f>
        <v/>
      </c>
      <c r="BK28" s="382">
        <f>IF(AND(C28="Skema 1",B28="fr"),Skemaoplysninger!$I$28,"")</f>
        <v>9.375E-2</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2.25</v>
      </c>
      <c r="CB28" s="1">
        <f t="shared" si="13"/>
        <v>0</v>
      </c>
      <c r="CC28" s="1">
        <f t="shared" si="14"/>
        <v>0</v>
      </c>
      <c r="CD28" s="382" t="str">
        <f>IF(AND(C28="Skema 1",B28="ma"),Skemaoplysninger!$E$37,"")</f>
        <v/>
      </c>
      <c r="CE28" s="382" t="str">
        <f>IF(AND(C28="Skema 1",B28="ti"),Skemaoplysninger!$F$37,"")</f>
        <v/>
      </c>
      <c r="CF28" s="382" t="str">
        <f>IF(AND(C28="Skema 1",B28="on"),Skemaoplysninger!$G$37,"")</f>
        <v/>
      </c>
      <c r="CG28" s="382" t="str">
        <f>IF(AND(C28="Skema 1",B28="to"),Skemaoplysninger!$H$37,"")</f>
        <v/>
      </c>
      <c r="CH28" s="382">
        <f>IF(AND(C28="Skema 1",B28="fr"),Skemaoplysninger!$I$37,"")</f>
        <v>0.33333333333333331</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2",B28="fr"),Skemaoplysninger!$S$637,"")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0.33333333333333331</v>
      </c>
      <c r="CY28" s="457">
        <f>IF(C28="Skema 1",Stamoplysninger!$H$30/200,0)</f>
        <v>1</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c r="DN28" s="580"/>
      <c r="DO28" s="580"/>
      <c r="DP28" s="580"/>
      <c r="DQ28" s="580"/>
      <c r="DR28" s="580"/>
      <c r="DS28" s="580"/>
      <c r="DT28" s="580"/>
      <c r="DU28" s="580"/>
      <c r="DV28" s="580"/>
      <c r="DW28" s="580"/>
      <c r="DX28" s="580"/>
      <c r="DY28" s="580"/>
      <c r="DZ28" s="580"/>
      <c r="EA28" s="580"/>
      <c r="EB28" s="580"/>
      <c r="EC28" s="580"/>
      <c r="ED28" s="580"/>
      <c r="EE28" s="580"/>
      <c r="EF28" s="580"/>
      <c r="EG28" s="580"/>
      <c r="EH28" s="580"/>
      <c r="EI28" s="580"/>
      <c r="EJ28" s="580"/>
      <c r="EK28" s="580"/>
      <c r="EL28" s="580"/>
      <c r="EM28" s="580"/>
      <c r="EN28" s="580"/>
      <c r="EO28" s="580"/>
      <c r="EP28" s="580"/>
      <c r="EQ28" s="580"/>
      <c r="ER28" s="580"/>
      <c r="ES28" s="580"/>
      <c r="ET28" s="580"/>
      <c r="EU28" s="580"/>
      <c r="EV28" s="580"/>
      <c r="EW28" s="580"/>
      <c r="EX28" s="580"/>
      <c r="EY28" s="580"/>
      <c r="EZ28" s="580"/>
      <c r="FA28" s="580"/>
      <c r="FB28" s="580"/>
      <c r="FC28" s="580"/>
      <c r="FD28" s="580"/>
      <c r="FE28" s="580"/>
      <c r="FF28" s="580"/>
      <c r="FG28" s="580"/>
      <c r="FH28" s="580"/>
      <c r="FI28" s="580"/>
      <c r="FJ28" s="580"/>
      <c r="FK28" s="580"/>
      <c r="FL28" s="580"/>
      <c r="FM28" s="580"/>
      <c r="FN28" s="580"/>
      <c r="FO28" s="580"/>
      <c r="FP28" s="580"/>
      <c r="FQ28" s="580"/>
      <c r="FR28" s="580"/>
      <c r="FS28" s="580"/>
      <c r="FT28" s="580"/>
      <c r="FU28" s="580"/>
      <c r="FV28" s="580"/>
      <c r="FW28" s="580"/>
      <c r="FX28" s="580"/>
      <c r="FY28" s="580"/>
      <c r="FZ28" s="580"/>
      <c r="GA28" s="580"/>
      <c r="GB28" s="580"/>
      <c r="GC28" s="580"/>
      <c r="GD28" s="580"/>
      <c r="GE28" s="580"/>
      <c r="GF28" s="580"/>
      <c r="GG28" s="580"/>
      <c r="GH28" s="580"/>
      <c r="GI28" s="580"/>
      <c r="GJ28" s="580"/>
      <c r="GK28" s="580"/>
      <c r="GL28" s="580"/>
      <c r="GM28" s="580"/>
      <c r="GN28" s="580"/>
      <c r="GO28" s="580"/>
      <c r="GP28" s="580"/>
      <c r="GQ28" s="580"/>
      <c r="GR28" s="580"/>
      <c r="GS28" s="580"/>
      <c r="GT28" s="580"/>
      <c r="GU28" s="580"/>
      <c r="GV28" s="580"/>
      <c r="GW28" s="580"/>
      <c r="GX28" s="580"/>
      <c r="GY28" s="580"/>
      <c r="GZ28" s="580"/>
      <c r="HA28" s="580"/>
      <c r="HB28" s="580"/>
      <c r="HC28" s="580"/>
    </row>
    <row r="29" spans="1:211">
      <c r="A29" s="443">
        <f t="shared" si="15"/>
        <v>20</v>
      </c>
      <c r="B29" s="218" t="str">
        <f t="shared" si="0"/>
        <v>lø</v>
      </c>
      <c r="C29" s="219" t="s">
        <v>138</v>
      </c>
      <c r="D29" s="220" t="str">
        <f t="shared" si="1"/>
        <v/>
      </c>
      <c r="E29" s="906"/>
      <c r="F29" s="907"/>
      <c r="G29" s="908"/>
      <c r="H29" s="594"/>
      <c r="I29" s="726"/>
      <c r="J29" s="726"/>
      <c r="K29" s="669"/>
      <c r="L29" s="669"/>
      <c r="M29" s="669"/>
      <c r="N29" s="557">
        <f t="shared" si="16"/>
        <v>0</v>
      </c>
      <c r="O29" s="557">
        <f t="shared" si="17"/>
        <v>0</v>
      </c>
      <c r="P29" s="557">
        <f>IF(Stamoplysninger!$H$29="JA",August!DG29,CX29)</f>
        <v>0</v>
      </c>
      <c r="Q29" s="557">
        <f t="shared" si="18"/>
        <v>0</v>
      </c>
      <c r="R29" s="725"/>
      <c r="S29" s="564"/>
      <c r="T29" s="565"/>
      <c r="U29" s="565"/>
      <c r="V29" s="559"/>
      <c r="W29" s="763"/>
      <c r="X29" s="560"/>
      <c r="Y29">
        <f t="shared" si="19"/>
        <v>0</v>
      </c>
      <c r="Z29">
        <f t="shared" si="2"/>
        <v>0</v>
      </c>
      <c r="AA29" s="1">
        <f t="shared" si="3"/>
        <v>0</v>
      </c>
      <c r="AB29" s="1">
        <f t="shared" si="4"/>
        <v>0</v>
      </c>
      <c r="AC29" s="1">
        <f t="shared" si="5"/>
        <v>0</v>
      </c>
      <c r="AD29" s="1">
        <f t="shared" si="6"/>
        <v>0</v>
      </c>
      <c r="AE29" s="1">
        <f t="shared" si="7"/>
        <v>0</v>
      </c>
      <c r="AF29" s="1">
        <f>IF(C29="Orlov",Stamoplysninger!$E$15*7.4,0)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8"/>
        <v>0</v>
      </c>
      <c r="BB29" s="421">
        <f t="shared" si="9"/>
        <v>0</v>
      </c>
      <c r="BC29" s="1">
        <f t="shared" si="20"/>
        <v>0</v>
      </c>
      <c r="BD29" s="1">
        <f t="shared" si="10"/>
        <v>0</v>
      </c>
      <c r="BE29" s="1">
        <f t="shared" si="11"/>
        <v>0</v>
      </c>
      <c r="BF29" s="1">
        <f t="shared" si="12"/>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0</v>
      </c>
      <c r="CB29" s="1">
        <f t="shared" si="13"/>
        <v>0</v>
      </c>
      <c r="CC29" s="1">
        <f t="shared" si="14"/>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2",B29="fr"),Skemaoplysninger!$S$637,"")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0</v>
      </c>
      <c r="DN29" s="580"/>
      <c r="DO29" s="580"/>
      <c r="DP29" s="580"/>
      <c r="DQ29" s="580"/>
      <c r="DR29" s="580"/>
      <c r="DS29" s="580"/>
      <c r="DT29" s="580"/>
      <c r="DU29" s="580"/>
      <c r="DV29" s="580"/>
      <c r="DW29" s="580"/>
      <c r="DX29" s="580"/>
      <c r="DY29" s="580"/>
      <c r="DZ29" s="580"/>
      <c r="EA29" s="580"/>
      <c r="EB29" s="580"/>
      <c r="EC29" s="580"/>
      <c r="ED29" s="580"/>
      <c r="EE29" s="580"/>
      <c r="EF29" s="580"/>
      <c r="EG29" s="580"/>
      <c r="EH29" s="580"/>
      <c r="EI29" s="580"/>
      <c r="EJ29" s="580"/>
      <c r="EK29" s="580"/>
      <c r="EL29" s="580"/>
      <c r="EM29" s="580"/>
      <c r="EN29" s="580"/>
      <c r="EO29" s="580"/>
      <c r="EP29" s="580"/>
      <c r="EQ29" s="580"/>
      <c r="ER29" s="580"/>
      <c r="ES29" s="580"/>
      <c r="ET29" s="580"/>
      <c r="EU29" s="580"/>
      <c r="EV29" s="580"/>
      <c r="EW29" s="580"/>
      <c r="EX29" s="580"/>
      <c r="EY29" s="580"/>
      <c r="EZ29" s="580"/>
      <c r="FA29" s="580"/>
      <c r="FB29" s="580"/>
      <c r="FC29" s="580"/>
      <c r="FD29" s="580"/>
      <c r="FE29" s="580"/>
      <c r="FF29" s="580"/>
      <c r="FG29" s="580"/>
      <c r="FH29" s="580"/>
      <c r="FI29" s="580"/>
      <c r="FJ29" s="580"/>
      <c r="FK29" s="580"/>
      <c r="FL29" s="580"/>
      <c r="FM29" s="580"/>
      <c r="FN29" s="580"/>
      <c r="FO29" s="580"/>
      <c r="FP29" s="580"/>
      <c r="FQ29" s="580"/>
      <c r="FR29" s="580"/>
      <c r="FS29" s="580"/>
      <c r="FT29" s="580"/>
      <c r="FU29" s="580"/>
      <c r="FV29" s="580"/>
      <c r="FW29" s="580"/>
      <c r="FX29" s="580"/>
      <c r="FY29" s="580"/>
      <c r="FZ29" s="580"/>
      <c r="GA29" s="580"/>
      <c r="GB29" s="580"/>
      <c r="GC29" s="580"/>
      <c r="GD29" s="580"/>
      <c r="GE29" s="580"/>
      <c r="GF29" s="580"/>
      <c r="GG29" s="580"/>
      <c r="GH29" s="580"/>
      <c r="GI29" s="580"/>
      <c r="GJ29" s="580"/>
      <c r="GK29" s="580"/>
      <c r="GL29" s="580"/>
      <c r="GM29" s="580"/>
      <c r="GN29" s="580"/>
      <c r="GO29" s="580"/>
      <c r="GP29" s="580"/>
      <c r="GQ29" s="580"/>
      <c r="GR29" s="580"/>
      <c r="GS29" s="580"/>
      <c r="GT29" s="580"/>
      <c r="GU29" s="580"/>
      <c r="GV29" s="580"/>
      <c r="GW29" s="580"/>
      <c r="GX29" s="580"/>
      <c r="GY29" s="580"/>
      <c r="GZ29" s="580"/>
      <c r="HA29" s="580"/>
      <c r="HB29" s="580"/>
      <c r="HC29" s="580"/>
    </row>
    <row r="30" spans="1:211">
      <c r="A30" s="443">
        <f t="shared" si="15"/>
        <v>21</v>
      </c>
      <c r="B30" s="218" t="str">
        <f t="shared" si="0"/>
        <v>sø</v>
      </c>
      <c r="C30" s="219" t="s">
        <v>138</v>
      </c>
      <c r="D30" s="220" t="str">
        <f t="shared" si="1"/>
        <v/>
      </c>
      <c r="E30" s="906"/>
      <c r="F30" s="907"/>
      <c r="G30" s="908"/>
      <c r="H30" s="594"/>
      <c r="I30" s="726"/>
      <c r="J30" s="726"/>
      <c r="K30" s="669"/>
      <c r="L30" s="669"/>
      <c r="M30" s="669"/>
      <c r="N30" s="557">
        <f t="shared" si="16"/>
        <v>0</v>
      </c>
      <c r="O30" s="557">
        <f t="shared" si="17"/>
        <v>0</v>
      </c>
      <c r="P30" s="557">
        <f>IF(Stamoplysninger!$H$29="JA",August!DG30,CX30)</f>
        <v>0</v>
      </c>
      <c r="Q30" s="557">
        <f t="shared" si="18"/>
        <v>0</v>
      </c>
      <c r="R30" s="725"/>
      <c r="S30" s="564"/>
      <c r="T30" s="565"/>
      <c r="U30" s="565"/>
      <c r="V30" s="559"/>
      <c r="W30" s="763"/>
      <c r="X30" s="560"/>
      <c r="Y30">
        <f t="shared" si="19"/>
        <v>0</v>
      </c>
      <c r="Z30">
        <f t="shared" si="2"/>
        <v>0</v>
      </c>
      <c r="AA30" s="1">
        <f t="shared" si="3"/>
        <v>0</v>
      </c>
      <c r="AB30" s="1">
        <f t="shared" si="4"/>
        <v>0</v>
      </c>
      <c r="AC30" s="1">
        <f t="shared" si="5"/>
        <v>0</v>
      </c>
      <c r="AD30" s="1">
        <f t="shared" si="6"/>
        <v>0</v>
      </c>
      <c r="AE30" s="1">
        <f t="shared" si="7"/>
        <v>0</v>
      </c>
      <c r="AF30" s="1">
        <f>IF(C30="Orlov",Stamoplysninger!$E$15*7.4,0)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8"/>
        <v>0</v>
      </c>
      <c r="BB30" s="421">
        <f t="shared" si="9"/>
        <v>0</v>
      </c>
      <c r="BC30" s="1">
        <f t="shared" si="20"/>
        <v>0</v>
      </c>
      <c r="BD30" s="1">
        <f t="shared" si="10"/>
        <v>0</v>
      </c>
      <c r="BE30" s="1">
        <f t="shared" si="11"/>
        <v>0</v>
      </c>
      <c r="BF30" s="1">
        <f t="shared" si="12"/>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3"/>
        <v>0</v>
      </c>
      <c r="CC30" s="1">
        <f t="shared" si="14"/>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2",B30="fr"),Skemaoplysninger!$S$637,"")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row>
    <row r="31" spans="1:211">
      <c r="A31" s="443">
        <f t="shared" si="15"/>
        <v>22</v>
      </c>
      <c r="B31" s="218" t="str">
        <f t="shared" si="0"/>
        <v>ma</v>
      </c>
      <c r="C31" s="219" t="s">
        <v>241</v>
      </c>
      <c r="D31" s="220">
        <f t="shared" si="1"/>
        <v>34.285714285714285</v>
      </c>
      <c r="E31" s="906"/>
      <c r="F31" s="907"/>
      <c r="G31" s="908"/>
      <c r="H31" s="594"/>
      <c r="I31" s="855"/>
      <c r="J31" s="726"/>
      <c r="K31" s="669"/>
      <c r="L31" s="669"/>
      <c r="M31" s="669"/>
      <c r="N31" s="557">
        <f t="shared" si="16"/>
        <v>8</v>
      </c>
      <c r="O31" s="557">
        <f t="shared" si="17"/>
        <v>3.75</v>
      </c>
      <c r="P31" s="557">
        <f>IF(Stamoplysninger!$H$29="JA",August!DG31,CX31)</f>
        <v>0.91666666666666674</v>
      </c>
      <c r="Q31" s="557">
        <f t="shared" si="18"/>
        <v>3.333333333333333</v>
      </c>
      <c r="R31" s="725"/>
      <c r="S31" s="564"/>
      <c r="T31" s="565"/>
      <c r="U31" s="565"/>
      <c r="V31" s="559"/>
      <c r="W31" s="763"/>
      <c r="X31" s="560"/>
      <c r="Y31">
        <f t="shared" si="19"/>
        <v>0</v>
      </c>
      <c r="Z31">
        <f t="shared" si="2"/>
        <v>0</v>
      </c>
      <c r="AA31" s="1">
        <f t="shared" si="3"/>
        <v>0</v>
      </c>
      <c r="AB31" s="1">
        <f t="shared" si="4"/>
        <v>0</v>
      </c>
      <c r="AC31" s="1">
        <f t="shared" si="5"/>
        <v>0</v>
      </c>
      <c r="AD31" s="1">
        <f t="shared" si="6"/>
        <v>0</v>
      </c>
      <c r="AE31" s="1">
        <f t="shared" si="7"/>
        <v>0</v>
      </c>
      <c r="AF31" s="1">
        <f>IF(C31="Orlov",Stamoplysninger!$E$15*7.4,0)</f>
        <v>0</v>
      </c>
      <c r="AG31" s="383">
        <f>IF(AND(C31="Skema 1",B31="ma"),Arbejdstidsoversigt!$E$44,"")</f>
        <v>8</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8"/>
        <v>8</v>
      </c>
      <c r="BB31" s="421">
        <f t="shared" si="9"/>
        <v>192</v>
      </c>
      <c r="BC31" s="1">
        <f t="shared" si="20"/>
        <v>0</v>
      </c>
      <c r="BD31" s="1">
        <f t="shared" si="10"/>
        <v>0</v>
      </c>
      <c r="BE31" s="1">
        <f t="shared" si="11"/>
        <v>0</v>
      </c>
      <c r="BF31" s="1">
        <f t="shared" si="12"/>
        <v>0</v>
      </c>
      <c r="BG31" s="382">
        <f>IF(AND(C31="Skema 1",B31="ma"),Skemaoplysninger!$E$28,"")</f>
        <v>0.15625</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3.75</v>
      </c>
      <c r="CB31" s="1">
        <f t="shared" si="13"/>
        <v>0</v>
      </c>
      <c r="CC31" s="1">
        <f t="shared" si="14"/>
        <v>0</v>
      </c>
      <c r="CD31" s="382">
        <f>IF(AND(C31="Skema 1",B31="ma"),Skemaoplysninger!$E$37,"")</f>
        <v>0.91666666666666674</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2",B31="fr"),Skemaoplysninger!$S$637,"")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0.91666666666666674</v>
      </c>
      <c r="CY31" s="457">
        <f>IF(C31="Skema 1",Stamoplysninger!$H$30/200,0)</f>
        <v>1</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1</v>
      </c>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row>
    <row r="32" spans="1:211">
      <c r="A32" s="443">
        <f t="shared" si="15"/>
        <v>23</v>
      </c>
      <c r="B32" s="218" t="str">
        <f t="shared" si="0"/>
        <v>ti</v>
      </c>
      <c r="C32" s="219" t="s">
        <v>241</v>
      </c>
      <c r="D32" s="220" t="str">
        <f t="shared" si="1"/>
        <v/>
      </c>
      <c r="E32" s="906"/>
      <c r="F32" s="907"/>
      <c r="G32" s="908"/>
      <c r="H32" s="594"/>
      <c r="I32" s="855"/>
      <c r="J32" s="726"/>
      <c r="K32" s="669"/>
      <c r="L32" s="669"/>
      <c r="M32" s="669"/>
      <c r="N32" s="557">
        <f t="shared" si="16"/>
        <v>8</v>
      </c>
      <c r="O32" s="557">
        <f t="shared" si="17"/>
        <v>5.25</v>
      </c>
      <c r="P32" s="557">
        <f>IF(Stamoplysninger!$H$29="JA",August!DG32,CX32)</f>
        <v>1.0833333333333335</v>
      </c>
      <c r="Q32" s="557">
        <f t="shared" si="18"/>
        <v>1.6666666666666665</v>
      </c>
      <c r="R32" s="725"/>
      <c r="S32" s="564"/>
      <c r="T32" s="565"/>
      <c r="U32" s="565"/>
      <c r="V32" s="559"/>
      <c r="W32" s="763"/>
      <c r="X32" s="560"/>
      <c r="Y32">
        <f t="shared" si="19"/>
        <v>0</v>
      </c>
      <c r="Z32">
        <f t="shared" si="2"/>
        <v>0</v>
      </c>
      <c r="AA32" s="1">
        <f t="shared" si="3"/>
        <v>0</v>
      </c>
      <c r="AB32" s="1">
        <f t="shared" si="4"/>
        <v>0</v>
      </c>
      <c r="AC32" s="1">
        <f t="shared" si="5"/>
        <v>0</v>
      </c>
      <c r="AD32" s="1">
        <f t="shared" si="6"/>
        <v>0</v>
      </c>
      <c r="AE32" s="1">
        <f t="shared" si="7"/>
        <v>0</v>
      </c>
      <c r="AF32" s="1">
        <f>IF(C32="Orlov",Stamoplysninger!$E$15*7.4,0)</f>
        <v>0</v>
      </c>
      <c r="AG32" s="383" t="str">
        <f>IF(AND(C32="Skema 1",B32="ma"),Arbejdstidsoversigt!$E$44,"")</f>
        <v/>
      </c>
      <c r="AH32" s="383">
        <f>IF(AND(C32="Skema 1",B32="ti"),Arbejdstidsoversigt!$E$45,"")</f>
        <v>8</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8"/>
        <v>8</v>
      </c>
      <c r="BB32" s="421">
        <f t="shared" si="9"/>
        <v>192</v>
      </c>
      <c r="BC32" s="1">
        <f t="shared" si="20"/>
        <v>0</v>
      </c>
      <c r="BD32" s="1">
        <f t="shared" si="10"/>
        <v>0</v>
      </c>
      <c r="BE32" s="1">
        <f t="shared" si="11"/>
        <v>0</v>
      </c>
      <c r="BF32" s="1">
        <f t="shared" si="12"/>
        <v>0</v>
      </c>
      <c r="BG32" s="382" t="str">
        <f>IF(AND(C32="Skema 1",B32="ma"),Skemaoplysninger!$E$28,"")</f>
        <v/>
      </c>
      <c r="BH32" s="382">
        <f>IF(AND(C32="Skema 1",B32="ti"),Skemaoplysninger!$F$28,"")</f>
        <v>0.21875</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5.25</v>
      </c>
      <c r="CB32" s="1">
        <f t="shared" si="13"/>
        <v>0</v>
      </c>
      <c r="CC32" s="1">
        <f t="shared" si="14"/>
        <v>0</v>
      </c>
      <c r="CD32" s="382" t="str">
        <f>IF(AND(C32="Skema 1",B32="ma"),Skemaoplysninger!$E$37,"")</f>
        <v/>
      </c>
      <c r="CE32" s="382">
        <f>IF(AND(C32="Skema 1",B32="ti"),Skemaoplysninger!$F$37,"")</f>
        <v>1.0833333333333335</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2",B32="fr"),Skemaoplysninger!$S$637,"")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1.0833333333333335</v>
      </c>
      <c r="CY32" s="457">
        <f>IF(C32="Skema 1",Stamoplysninger!$H$30/200,0)</f>
        <v>1</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row>
    <row r="33" spans="1:211">
      <c r="A33" s="443">
        <f t="shared" si="15"/>
        <v>24</v>
      </c>
      <c r="B33" s="218" t="str">
        <f t="shared" si="0"/>
        <v>on</v>
      </c>
      <c r="C33" s="219" t="s">
        <v>241</v>
      </c>
      <c r="D33" s="220" t="str">
        <f t="shared" si="1"/>
        <v/>
      </c>
      <c r="E33" s="449"/>
      <c r="F33" s="450"/>
      <c r="G33" s="451"/>
      <c r="H33" s="594"/>
      <c r="I33" s="855"/>
      <c r="J33" s="726"/>
      <c r="K33" s="669"/>
      <c r="L33" s="669"/>
      <c r="M33" s="669"/>
      <c r="N33" s="557">
        <f t="shared" si="16"/>
        <v>8</v>
      </c>
      <c r="O33" s="557">
        <f t="shared" si="17"/>
        <v>3.75</v>
      </c>
      <c r="P33" s="557">
        <f>IF(Stamoplysninger!$H$29="JA",August!DG33,CX33)</f>
        <v>0.91666666666666674</v>
      </c>
      <c r="Q33" s="557">
        <f t="shared" si="18"/>
        <v>3.333333333333333</v>
      </c>
      <c r="R33" s="725"/>
      <c r="S33" s="564"/>
      <c r="T33" s="565"/>
      <c r="U33" s="565"/>
      <c r="V33" s="559"/>
      <c r="W33" s="763"/>
      <c r="X33" s="560"/>
      <c r="Y33">
        <f t="shared" si="19"/>
        <v>0</v>
      </c>
      <c r="Z33">
        <f t="shared" si="2"/>
        <v>0</v>
      </c>
      <c r="AA33" s="1">
        <f t="shared" si="3"/>
        <v>0</v>
      </c>
      <c r="AB33" s="1">
        <f t="shared" si="4"/>
        <v>0</v>
      </c>
      <c r="AC33" s="1">
        <f t="shared" si="5"/>
        <v>0</v>
      </c>
      <c r="AD33" s="1">
        <f t="shared" si="6"/>
        <v>0</v>
      </c>
      <c r="AE33" s="1">
        <f t="shared" si="7"/>
        <v>0</v>
      </c>
      <c r="AF33" s="1">
        <f>IF(C33="Orlov",Stamoplysninger!$E$15*7.4,0)</f>
        <v>0</v>
      </c>
      <c r="AG33" s="383" t="str">
        <f>IF(AND(C33="Skema 1",B33="ma"),Arbejdstidsoversigt!$E$44,"")</f>
        <v/>
      </c>
      <c r="AH33" s="383" t="str">
        <f>IF(AND(C33="Skema 1",B33="ti"),Arbejdstidsoversigt!$E$45,"")</f>
        <v/>
      </c>
      <c r="AI33" s="383">
        <f>IF(AND(C33="Skema 1",B33="on"),Arbejdstidsoversigt!$E$46,"")</f>
        <v>8</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8"/>
        <v>8</v>
      </c>
      <c r="BB33" s="421">
        <f t="shared" si="9"/>
        <v>192</v>
      </c>
      <c r="BC33" s="1">
        <f t="shared" si="20"/>
        <v>0</v>
      </c>
      <c r="BD33" s="1">
        <f t="shared" si="10"/>
        <v>0</v>
      </c>
      <c r="BE33" s="1">
        <f t="shared" si="11"/>
        <v>0</v>
      </c>
      <c r="BF33" s="1">
        <f t="shared" si="12"/>
        <v>0</v>
      </c>
      <c r="BG33" s="382" t="str">
        <f>IF(AND(C33="Skema 1",B33="ma"),Skemaoplysninger!$E$28,"")</f>
        <v/>
      </c>
      <c r="BH33" s="382" t="str">
        <f>IF(AND(C33="Skema 1",B33="ti"),Skemaoplysninger!$F$28,"")</f>
        <v/>
      </c>
      <c r="BI33" s="382">
        <f>IF(AND(C33="Skema 1",B33="on"),Skemaoplysninger!$G$28,"")</f>
        <v>0.15625</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3.75</v>
      </c>
      <c r="CB33" s="1">
        <f t="shared" si="13"/>
        <v>0</v>
      </c>
      <c r="CC33" s="1">
        <f t="shared" si="14"/>
        <v>0</v>
      </c>
      <c r="CD33" s="382" t="str">
        <f>IF(AND(C33="Skema 1",B33="ma"),Skemaoplysninger!$E$37,"")</f>
        <v/>
      </c>
      <c r="CE33" s="382" t="str">
        <f>IF(AND(C33="Skema 1",B33="ti"),Skemaoplysninger!$F$37,"")</f>
        <v/>
      </c>
      <c r="CF33" s="382">
        <f>IF(AND(C33="Skema 1",B33="on"),Skemaoplysninger!$G$37,"")</f>
        <v>0.91666666666666674</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2",B33="fr"),Skemaoplysninger!$S$637,"")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0.91666666666666674</v>
      </c>
      <c r="CY33" s="457">
        <f>IF(C33="Skema 1",Stamoplysninger!$H$30/200,0)</f>
        <v>1</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1</v>
      </c>
      <c r="DN33" s="580"/>
      <c r="DO33" s="580"/>
      <c r="DP33" s="580"/>
      <c r="DQ33" s="580"/>
      <c r="DR33" s="580"/>
      <c r="DS33" s="580"/>
      <c r="DT33" s="580"/>
      <c r="DU33" s="580"/>
      <c r="DV33" s="580"/>
      <c r="DW33" s="580"/>
      <c r="DX33" s="580"/>
      <c r="DY33" s="580"/>
      <c r="DZ33" s="580"/>
      <c r="EA33" s="580"/>
      <c r="EB33" s="580"/>
      <c r="EC33" s="580"/>
      <c r="ED33" s="580"/>
      <c r="EE33" s="580"/>
      <c r="EF33" s="580"/>
      <c r="EG33" s="580"/>
      <c r="EH33" s="580"/>
      <c r="EI33" s="580"/>
      <c r="EJ33" s="580"/>
      <c r="EK33" s="580"/>
      <c r="EL33" s="580"/>
      <c r="EM33" s="580"/>
      <c r="EN33" s="580"/>
      <c r="EO33" s="580"/>
      <c r="EP33" s="580"/>
      <c r="EQ33" s="580"/>
      <c r="ER33" s="580"/>
      <c r="ES33" s="580"/>
      <c r="ET33" s="580"/>
      <c r="EU33" s="580"/>
      <c r="EV33" s="580"/>
      <c r="EW33" s="580"/>
      <c r="EX33" s="580"/>
      <c r="EY33" s="580"/>
      <c r="EZ33" s="580"/>
      <c r="FA33" s="580"/>
      <c r="FB33" s="580"/>
      <c r="FC33" s="580"/>
      <c r="FD33" s="580"/>
      <c r="FE33" s="580"/>
      <c r="FF33" s="580"/>
      <c r="FG33" s="580"/>
      <c r="FH33" s="580"/>
      <c r="FI33" s="580"/>
      <c r="FJ33" s="580"/>
      <c r="FK33" s="580"/>
      <c r="FL33" s="580"/>
      <c r="FM33" s="580"/>
      <c r="FN33" s="580"/>
      <c r="FO33" s="580"/>
      <c r="FP33" s="580"/>
      <c r="FQ33" s="580"/>
      <c r="FR33" s="580"/>
      <c r="FS33" s="580"/>
      <c r="FT33" s="580"/>
      <c r="FU33" s="580"/>
      <c r="FV33" s="580"/>
      <c r="FW33" s="580"/>
      <c r="FX33" s="580"/>
      <c r="FY33" s="580"/>
      <c r="FZ33" s="580"/>
      <c r="GA33" s="580"/>
      <c r="GB33" s="580"/>
      <c r="GC33" s="580"/>
      <c r="GD33" s="580"/>
      <c r="GE33" s="580"/>
      <c r="GF33" s="580"/>
      <c r="GG33" s="580"/>
      <c r="GH33" s="580"/>
      <c r="GI33" s="580"/>
      <c r="GJ33" s="580"/>
      <c r="GK33" s="580"/>
      <c r="GL33" s="580"/>
      <c r="GM33" s="580"/>
      <c r="GN33" s="580"/>
      <c r="GO33" s="580"/>
      <c r="GP33" s="580"/>
      <c r="GQ33" s="580"/>
      <c r="GR33" s="580"/>
      <c r="GS33" s="580"/>
      <c r="GT33" s="580"/>
      <c r="GU33" s="580"/>
      <c r="GV33" s="580"/>
      <c r="GW33" s="580"/>
      <c r="GX33" s="580"/>
      <c r="GY33" s="580"/>
      <c r="GZ33" s="580"/>
      <c r="HA33" s="580"/>
      <c r="HB33" s="580"/>
      <c r="HC33" s="580"/>
    </row>
    <row r="34" spans="1:211">
      <c r="A34" s="443">
        <f t="shared" si="15"/>
        <v>25</v>
      </c>
      <c r="B34" s="218" t="str">
        <f t="shared" si="0"/>
        <v>to</v>
      </c>
      <c r="C34" s="219" t="s">
        <v>241</v>
      </c>
      <c r="D34" s="220" t="str">
        <f t="shared" si="1"/>
        <v/>
      </c>
      <c r="E34" s="906"/>
      <c r="F34" s="907"/>
      <c r="G34" s="908"/>
      <c r="H34" s="594" t="s">
        <v>604</v>
      </c>
      <c r="I34" s="855"/>
      <c r="J34" s="726"/>
      <c r="K34" s="669"/>
      <c r="L34" s="669"/>
      <c r="M34" s="669"/>
      <c r="N34" s="557">
        <f t="shared" si="16"/>
        <v>8</v>
      </c>
      <c r="O34" s="557">
        <f t="shared" si="17"/>
        <v>3.75</v>
      </c>
      <c r="P34" s="557">
        <f>IF(Stamoplysninger!$H$29="JA",August!DG34,CX34)</f>
        <v>0.91666666666666674</v>
      </c>
      <c r="Q34" s="557">
        <f t="shared" si="18"/>
        <v>3.333333333333333</v>
      </c>
      <c r="R34" s="725">
        <v>4</v>
      </c>
      <c r="S34" s="564"/>
      <c r="T34" s="565"/>
      <c r="U34" s="565"/>
      <c r="V34" s="559"/>
      <c r="W34" s="763"/>
      <c r="X34" s="560"/>
      <c r="Y34">
        <f t="shared" si="19"/>
        <v>0</v>
      </c>
      <c r="Z34">
        <f t="shared" si="2"/>
        <v>0</v>
      </c>
      <c r="AA34" s="1">
        <f t="shared" si="3"/>
        <v>0</v>
      </c>
      <c r="AB34" s="1">
        <f t="shared" si="4"/>
        <v>0</v>
      </c>
      <c r="AC34" s="1">
        <f t="shared" si="5"/>
        <v>0</v>
      </c>
      <c r="AD34" s="1">
        <f t="shared" si="6"/>
        <v>0</v>
      </c>
      <c r="AE34" s="1">
        <f t="shared" si="7"/>
        <v>0</v>
      </c>
      <c r="AF34" s="1">
        <f>IF(C34="Orlov",Stamoplysninger!$E$15*7.4,0)</f>
        <v>0</v>
      </c>
      <c r="AG34" s="383" t="str">
        <f>IF(AND(C34="Skema 1",B34="ma"),Arbejdstidsoversigt!$E$44,"")</f>
        <v/>
      </c>
      <c r="AH34" s="383" t="str">
        <f>IF(AND(C34="Skema 1",B34="ti"),Arbejdstidsoversigt!$E$45,"")</f>
        <v/>
      </c>
      <c r="AI34" s="383" t="str">
        <f>IF(AND(C34="Skema 1",B34="on"),Arbejdstidsoversigt!$E$46,"")</f>
        <v/>
      </c>
      <c r="AJ34" s="383">
        <f>IF(AND(C34="Skema 1",B34="to"),Arbejdstidsoversigt!$E$47,"")</f>
        <v>8</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8"/>
        <v>8</v>
      </c>
      <c r="BB34" s="421">
        <f t="shared" si="9"/>
        <v>192</v>
      </c>
      <c r="BC34" s="1">
        <f t="shared" si="20"/>
        <v>0</v>
      </c>
      <c r="BD34" s="1">
        <f t="shared" si="10"/>
        <v>0</v>
      </c>
      <c r="BE34" s="1">
        <f t="shared" si="11"/>
        <v>0</v>
      </c>
      <c r="BF34" s="1">
        <f t="shared" si="12"/>
        <v>0</v>
      </c>
      <c r="BG34" s="382" t="str">
        <f>IF(AND(C34="Skema 1",B34="ma"),Skemaoplysninger!$E$28,"")</f>
        <v/>
      </c>
      <c r="BH34" s="382" t="str">
        <f>IF(AND(C34="Skema 1",B34="ti"),Skemaoplysninger!$F$28,"")</f>
        <v/>
      </c>
      <c r="BI34" s="382" t="str">
        <f>IF(AND(C34="Skema 1",B34="on"),Skemaoplysninger!$G$28,"")</f>
        <v/>
      </c>
      <c r="BJ34" s="382">
        <f>IF(AND(C34="Skema 1",B34="to"),Skemaoplysninger!$H$28,"")</f>
        <v>0.15625</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3.75</v>
      </c>
      <c r="CB34" s="1">
        <f t="shared" si="13"/>
        <v>0</v>
      </c>
      <c r="CC34" s="1">
        <f t="shared" si="14"/>
        <v>0</v>
      </c>
      <c r="CD34" s="382" t="str">
        <f>IF(AND(C34="Skema 1",B34="ma"),Skemaoplysninger!$E$37,"")</f>
        <v/>
      </c>
      <c r="CE34" s="382" t="str">
        <f>IF(AND(C34="Skema 1",B34="ti"),Skemaoplysninger!$F$37,"")</f>
        <v/>
      </c>
      <c r="CF34" s="382" t="str">
        <f>IF(AND(C34="Skema 1",B34="on"),Skemaoplysninger!$G$37,"")</f>
        <v/>
      </c>
      <c r="CG34" s="382">
        <f>IF(AND(C34="Skema 1",B34="to"),Skemaoplysninger!$H$37,"")</f>
        <v>0.91666666666666674</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2",B34="fr"),Skemaoplysninger!$S$637,"")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0.91666666666666674</v>
      </c>
      <c r="CY34" s="457">
        <f>IF(C34="Skema 1",Stamoplysninger!$H$30/200,0)</f>
        <v>1</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1</v>
      </c>
      <c r="DN34" s="580"/>
      <c r="DO34" s="580"/>
      <c r="DP34" s="580"/>
      <c r="DQ34" s="580"/>
      <c r="DR34" s="580"/>
      <c r="DS34" s="580"/>
      <c r="DT34" s="580"/>
      <c r="DU34" s="580"/>
      <c r="DV34" s="580"/>
      <c r="DW34" s="580"/>
      <c r="DX34" s="580"/>
      <c r="DY34" s="580"/>
      <c r="DZ34" s="580"/>
      <c r="EA34" s="580"/>
      <c r="EB34" s="580"/>
      <c r="EC34" s="580"/>
      <c r="ED34" s="580"/>
      <c r="EE34" s="580"/>
      <c r="EF34" s="580"/>
      <c r="EG34" s="580"/>
      <c r="EH34" s="580"/>
      <c r="EI34" s="580"/>
      <c r="EJ34" s="580"/>
      <c r="EK34" s="580"/>
      <c r="EL34" s="580"/>
      <c r="EM34" s="580"/>
      <c r="EN34" s="580"/>
      <c r="EO34" s="580"/>
      <c r="EP34" s="580"/>
      <c r="EQ34" s="580"/>
      <c r="ER34" s="580"/>
      <c r="ES34" s="580"/>
      <c r="ET34" s="580"/>
      <c r="EU34" s="580"/>
      <c r="EV34" s="580"/>
      <c r="EW34" s="580"/>
      <c r="EX34" s="580"/>
      <c r="EY34" s="580"/>
      <c r="EZ34" s="580"/>
      <c r="FA34" s="580"/>
      <c r="FB34" s="580"/>
      <c r="FC34" s="580"/>
      <c r="FD34" s="580"/>
      <c r="FE34" s="580"/>
      <c r="FF34" s="580"/>
      <c r="FG34" s="580"/>
      <c r="FH34" s="580"/>
      <c r="FI34" s="580"/>
      <c r="FJ34" s="580"/>
      <c r="FK34" s="580"/>
      <c r="FL34" s="580"/>
      <c r="FM34" s="580"/>
      <c r="FN34" s="580"/>
      <c r="FO34" s="580"/>
      <c r="FP34" s="580"/>
      <c r="FQ34" s="580"/>
      <c r="FR34" s="580"/>
      <c r="FS34" s="580"/>
      <c r="FT34" s="580"/>
      <c r="FU34" s="580"/>
      <c r="FV34" s="580"/>
      <c r="FW34" s="580"/>
      <c r="FX34" s="580"/>
      <c r="FY34" s="580"/>
      <c r="FZ34" s="580"/>
      <c r="GA34" s="580"/>
      <c r="GB34" s="580"/>
      <c r="GC34" s="580"/>
      <c r="GD34" s="580"/>
      <c r="GE34" s="580"/>
      <c r="GF34" s="580"/>
      <c r="GG34" s="580"/>
      <c r="GH34" s="580"/>
      <c r="GI34" s="580"/>
      <c r="GJ34" s="580"/>
      <c r="GK34" s="580"/>
      <c r="GL34" s="580"/>
      <c r="GM34" s="580"/>
      <c r="GN34" s="580"/>
      <c r="GO34" s="580"/>
      <c r="GP34" s="580"/>
      <c r="GQ34" s="580"/>
      <c r="GR34" s="580"/>
      <c r="GS34" s="580"/>
      <c r="GT34" s="580"/>
      <c r="GU34" s="580"/>
      <c r="GV34" s="580"/>
      <c r="GW34" s="580"/>
      <c r="GX34" s="580"/>
      <c r="GY34" s="580"/>
      <c r="GZ34" s="580"/>
      <c r="HA34" s="580"/>
      <c r="HB34" s="580"/>
      <c r="HC34" s="580"/>
    </row>
    <row r="35" spans="1:211">
      <c r="A35" s="443">
        <f t="shared" si="15"/>
        <v>26</v>
      </c>
      <c r="B35" s="218" t="str">
        <f t="shared" si="0"/>
        <v>fr</v>
      </c>
      <c r="C35" s="219" t="s">
        <v>241</v>
      </c>
      <c r="D35" s="220" t="str">
        <f t="shared" si="1"/>
        <v/>
      </c>
      <c r="E35" s="906"/>
      <c r="F35" s="907"/>
      <c r="G35" s="908"/>
      <c r="H35" s="594"/>
      <c r="I35" s="855"/>
      <c r="J35" s="726"/>
      <c r="K35" s="669"/>
      <c r="L35" s="669"/>
      <c r="M35" s="669"/>
      <c r="N35" s="557">
        <f t="shared" si="16"/>
        <v>7</v>
      </c>
      <c r="O35" s="557">
        <f t="shared" si="17"/>
        <v>2.25</v>
      </c>
      <c r="P35" s="557">
        <f>IF(Stamoplysninger!$H$29="JA",August!DG35,CX35)</f>
        <v>0.33333333333333331</v>
      </c>
      <c r="Q35" s="557">
        <f t="shared" si="18"/>
        <v>4.416666666666667</v>
      </c>
      <c r="R35" s="725"/>
      <c r="S35" s="564"/>
      <c r="T35" s="565"/>
      <c r="U35" s="565"/>
      <c r="V35" s="559"/>
      <c r="W35" s="763"/>
      <c r="X35" s="560"/>
      <c r="Y35">
        <f t="shared" si="19"/>
        <v>0</v>
      </c>
      <c r="Z35">
        <f t="shared" si="2"/>
        <v>0</v>
      </c>
      <c r="AA35" s="1">
        <f t="shared" si="3"/>
        <v>0</v>
      </c>
      <c r="AB35" s="1">
        <f t="shared" si="4"/>
        <v>0</v>
      </c>
      <c r="AC35" s="1">
        <f t="shared" si="5"/>
        <v>0</v>
      </c>
      <c r="AD35" s="1">
        <f t="shared" si="6"/>
        <v>0</v>
      </c>
      <c r="AE35" s="1">
        <f t="shared" si="7"/>
        <v>0</v>
      </c>
      <c r="AF35" s="1">
        <f>IF(C35="Orlov",Stamoplysninger!$E$15*7.4,0)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f>IF(AND(C35="Skema 1",B35="fr"),Arbejdstidsoversigt!$E$48,"")</f>
        <v>7</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8"/>
        <v>7</v>
      </c>
      <c r="BB35" s="421">
        <f t="shared" si="9"/>
        <v>168</v>
      </c>
      <c r="BC35" s="1">
        <f t="shared" si="20"/>
        <v>0</v>
      </c>
      <c r="BD35" s="1">
        <f t="shared" si="10"/>
        <v>0</v>
      </c>
      <c r="BE35" s="1">
        <f t="shared" si="11"/>
        <v>0</v>
      </c>
      <c r="BF35" s="1">
        <f t="shared" si="12"/>
        <v>0</v>
      </c>
      <c r="BG35" s="382" t="str">
        <f>IF(AND(C35="Skema 1",B35="ma"),Skemaoplysninger!$E$28,"")</f>
        <v/>
      </c>
      <c r="BH35" s="382" t="str">
        <f>IF(AND(C35="Skema 1",B35="ti"),Skemaoplysninger!$F$28,"")</f>
        <v/>
      </c>
      <c r="BI35" s="382" t="str">
        <f>IF(AND(C35="Skema 1",B35="on"),Skemaoplysninger!$G$28,"")</f>
        <v/>
      </c>
      <c r="BJ35" s="382" t="str">
        <f>IF(AND(C35="Skema 1",B35="to"),Skemaoplysninger!$H$28,"")</f>
        <v/>
      </c>
      <c r="BK35" s="382">
        <f>IF(AND(C35="Skema 1",B35="fr"),Skemaoplysninger!$I$28,"")</f>
        <v>9.375E-2</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2.25</v>
      </c>
      <c r="CB35" s="1">
        <f t="shared" si="13"/>
        <v>0</v>
      </c>
      <c r="CC35" s="1">
        <f t="shared" si="14"/>
        <v>0</v>
      </c>
      <c r="CD35" s="382" t="str">
        <f>IF(AND(C35="Skema 1",B35="ma"),Skemaoplysninger!$E$37,"")</f>
        <v/>
      </c>
      <c r="CE35" s="382" t="str">
        <f>IF(AND(C35="Skema 1",B35="ti"),Skemaoplysninger!$F$37,"")</f>
        <v/>
      </c>
      <c r="CF35" s="382" t="str">
        <f>IF(AND(C35="Skema 1",B35="on"),Skemaoplysninger!$G$37,"")</f>
        <v/>
      </c>
      <c r="CG35" s="382" t="str">
        <f>IF(AND(C35="Skema 1",B35="to"),Skemaoplysninger!$H$37,"")</f>
        <v/>
      </c>
      <c r="CH35" s="382">
        <f>IF(AND(C35="Skema 1",B35="fr"),Skemaoplysninger!$I$37,"")</f>
        <v>0.33333333333333331</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2",B35="fr"),Skemaoplysninger!$S$637,"")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0.33333333333333331</v>
      </c>
      <c r="CY35" s="457">
        <f>IF(C35="Skema 1",Stamoplysninger!$H$30/200,0)</f>
        <v>1</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c r="DN35" s="580"/>
      <c r="DO35" s="580"/>
      <c r="DP35" s="580"/>
      <c r="DQ35" s="580"/>
      <c r="DR35" s="580"/>
      <c r="DS35" s="580"/>
      <c r="DT35" s="580"/>
      <c r="DU35" s="580"/>
      <c r="DV35" s="580"/>
      <c r="DW35" s="580"/>
      <c r="DX35" s="580"/>
      <c r="DY35" s="580"/>
      <c r="DZ35" s="580"/>
      <c r="EA35" s="580"/>
      <c r="EB35" s="580"/>
      <c r="EC35" s="580"/>
      <c r="ED35" s="580"/>
      <c r="EE35" s="580"/>
      <c r="EF35" s="580"/>
      <c r="EG35" s="580"/>
      <c r="EH35" s="580"/>
      <c r="EI35" s="580"/>
      <c r="EJ35" s="580"/>
      <c r="EK35" s="580"/>
      <c r="EL35" s="580"/>
      <c r="EM35" s="580"/>
      <c r="EN35" s="580"/>
      <c r="EO35" s="580"/>
      <c r="EP35" s="580"/>
      <c r="EQ35" s="580"/>
      <c r="ER35" s="580"/>
      <c r="ES35" s="580"/>
      <c r="ET35" s="580"/>
      <c r="EU35" s="580"/>
      <c r="EV35" s="580"/>
      <c r="EW35" s="580"/>
      <c r="EX35" s="580"/>
      <c r="EY35" s="580"/>
      <c r="EZ35" s="580"/>
      <c r="FA35" s="580"/>
      <c r="FB35" s="580"/>
      <c r="FC35" s="580"/>
      <c r="FD35" s="580"/>
      <c r="FE35" s="580"/>
      <c r="FF35" s="580"/>
      <c r="FG35" s="580"/>
      <c r="FH35" s="580"/>
      <c r="FI35" s="580"/>
      <c r="FJ35" s="580"/>
      <c r="FK35" s="580"/>
      <c r="FL35" s="580"/>
      <c r="FM35" s="580"/>
      <c r="FN35" s="580"/>
      <c r="FO35" s="580"/>
      <c r="FP35" s="580"/>
      <c r="FQ35" s="580"/>
      <c r="FR35" s="580"/>
      <c r="FS35" s="580"/>
      <c r="FT35" s="580"/>
      <c r="FU35" s="580"/>
      <c r="FV35" s="580"/>
      <c r="FW35" s="580"/>
      <c r="FX35" s="580"/>
      <c r="FY35" s="580"/>
      <c r="FZ35" s="580"/>
      <c r="GA35" s="580"/>
      <c r="GB35" s="580"/>
      <c r="GC35" s="580"/>
      <c r="GD35" s="580"/>
      <c r="GE35" s="580"/>
      <c r="GF35" s="580"/>
      <c r="GG35" s="580"/>
      <c r="GH35" s="580"/>
      <c r="GI35" s="580"/>
      <c r="GJ35" s="580"/>
      <c r="GK35" s="580"/>
      <c r="GL35" s="580"/>
      <c r="GM35" s="580"/>
      <c r="GN35" s="580"/>
      <c r="GO35" s="580"/>
      <c r="GP35" s="580"/>
      <c r="GQ35" s="580"/>
      <c r="GR35" s="580"/>
      <c r="GS35" s="580"/>
      <c r="GT35" s="580"/>
      <c r="GU35" s="580"/>
      <c r="GV35" s="580"/>
      <c r="GW35" s="580"/>
      <c r="GX35" s="580"/>
      <c r="GY35" s="580"/>
      <c r="GZ35" s="580"/>
      <c r="HA35" s="580"/>
      <c r="HB35" s="580"/>
      <c r="HC35" s="580"/>
    </row>
    <row r="36" spans="1:211">
      <c r="A36" s="443">
        <f t="shared" si="15"/>
        <v>27</v>
      </c>
      <c r="B36" s="218" t="str">
        <f t="shared" si="0"/>
        <v>lø</v>
      </c>
      <c r="C36" s="219" t="s">
        <v>138</v>
      </c>
      <c r="D36" s="220" t="str">
        <f t="shared" si="1"/>
        <v/>
      </c>
      <c r="E36" s="906"/>
      <c r="F36" s="907"/>
      <c r="G36" s="908"/>
      <c r="H36" s="594"/>
      <c r="I36" s="726"/>
      <c r="J36" s="726"/>
      <c r="K36" s="669"/>
      <c r="L36" s="669"/>
      <c r="M36" s="669"/>
      <c r="N36" s="557">
        <f t="shared" si="16"/>
        <v>0</v>
      </c>
      <c r="O36" s="557">
        <f t="shared" si="17"/>
        <v>0</v>
      </c>
      <c r="P36" s="557">
        <f>IF(Stamoplysninger!$H$29="JA",August!DG36,CX36)</f>
        <v>0</v>
      </c>
      <c r="Q36" s="557">
        <f t="shared" si="18"/>
        <v>0</v>
      </c>
      <c r="R36" s="725"/>
      <c r="S36" s="564"/>
      <c r="T36" s="565"/>
      <c r="U36" s="565"/>
      <c r="V36" s="559"/>
      <c r="W36" s="763"/>
      <c r="X36" s="560"/>
      <c r="Y36">
        <f t="shared" si="19"/>
        <v>0</v>
      </c>
      <c r="Z36">
        <f t="shared" si="2"/>
        <v>0</v>
      </c>
      <c r="AA36" s="1">
        <f t="shared" si="3"/>
        <v>0</v>
      </c>
      <c r="AB36" s="1">
        <f t="shared" si="4"/>
        <v>0</v>
      </c>
      <c r="AC36" s="1">
        <f t="shared" si="5"/>
        <v>0</v>
      </c>
      <c r="AD36" s="1">
        <f t="shared" si="6"/>
        <v>0</v>
      </c>
      <c r="AE36" s="1">
        <f t="shared" si="7"/>
        <v>0</v>
      </c>
      <c r="AF36" s="1">
        <f>IF(C36="Orlov",Stamoplysninger!$E$15*7.4,0)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8"/>
        <v>0</v>
      </c>
      <c r="BB36" s="421">
        <f t="shared" si="9"/>
        <v>0</v>
      </c>
      <c r="BC36" s="1">
        <f t="shared" si="20"/>
        <v>0</v>
      </c>
      <c r="BD36" s="1">
        <f t="shared" si="10"/>
        <v>0</v>
      </c>
      <c r="BE36" s="1">
        <f t="shared" si="11"/>
        <v>0</v>
      </c>
      <c r="BF36" s="1">
        <f t="shared" si="12"/>
        <v>0</v>
      </c>
      <c r="BG36" s="382" t="str">
        <f>IF(AND(C36="Skema 1",B36="ma"),Skemaoplysninger!$E$28,"")</f>
        <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0</v>
      </c>
      <c r="CB36" s="1">
        <f t="shared" si="13"/>
        <v>0</v>
      </c>
      <c r="CC36" s="1">
        <f t="shared" si="14"/>
        <v>0</v>
      </c>
      <c r="CD36" s="382" t="str">
        <f>IF(AND(C36="Skema 1",B36="ma"),Skemaoplysninger!$E$37,"")</f>
        <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2",B36="fr"),Skemaoplysninger!$S$637,"")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v>
      </c>
      <c r="CY36" s="457">
        <f>IF(C36="Skema 1",Stamoplysninger!$H$30/200,0)</f>
        <v>0</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0</v>
      </c>
      <c r="DN36" s="580"/>
      <c r="DO36" s="580"/>
      <c r="DP36" s="580"/>
      <c r="DQ36" s="580"/>
      <c r="DR36" s="580"/>
      <c r="DS36" s="580"/>
      <c r="DT36" s="580"/>
      <c r="DU36" s="580"/>
      <c r="DV36" s="580"/>
      <c r="DW36" s="580"/>
      <c r="DX36" s="580"/>
      <c r="DY36" s="580"/>
      <c r="DZ36" s="580"/>
      <c r="EA36" s="580"/>
      <c r="EB36" s="580"/>
      <c r="EC36" s="580"/>
      <c r="ED36" s="580"/>
      <c r="EE36" s="580"/>
      <c r="EF36" s="580"/>
      <c r="EG36" s="580"/>
      <c r="EH36" s="580"/>
      <c r="EI36" s="580"/>
      <c r="EJ36" s="580"/>
      <c r="EK36" s="580"/>
      <c r="EL36" s="580"/>
      <c r="EM36" s="580"/>
      <c r="EN36" s="580"/>
      <c r="EO36" s="580"/>
      <c r="EP36" s="580"/>
      <c r="EQ36" s="580"/>
      <c r="ER36" s="580"/>
      <c r="ES36" s="580"/>
      <c r="ET36" s="580"/>
      <c r="EU36" s="580"/>
      <c r="EV36" s="580"/>
      <c r="EW36" s="580"/>
      <c r="EX36" s="580"/>
      <c r="EY36" s="580"/>
      <c r="EZ36" s="580"/>
      <c r="FA36" s="580"/>
      <c r="FB36" s="580"/>
      <c r="FC36" s="580"/>
      <c r="FD36" s="580"/>
      <c r="FE36" s="580"/>
      <c r="FF36" s="580"/>
      <c r="FG36" s="580"/>
      <c r="FH36" s="580"/>
      <c r="FI36" s="580"/>
      <c r="FJ36" s="580"/>
      <c r="FK36" s="580"/>
      <c r="FL36" s="580"/>
      <c r="FM36" s="580"/>
      <c r="FN36" s="580"/>
      <c r="FO36" s="580"/>
      <c r="FP36" s="580"/>
      <c r="FQ36" s="580"/>
      <c r="FR36" s="580"/>
      <c r="FS36" s="580"/>
      <c r="FT36" s="580"/>
      <c r="FU36" s="580"/>
      <c r="FV36" s="580"/>
      <c r="FW36" s="580"/>
      <c r="FX36" s="580"/>
      <c r="FY36" s="580"/>
      <c r="FZ36" s="580"/>
      <c r="GA36" s="580"/>
      <c r="GB36" s="580"/>
      <c r="GC36" s="580"/>
      <c r="GD36" s="580"/>
      <c r="GE36" s="580"/>
      <c r="GF36" s="580"/>
      <c r="GG36" s="580"/>
      <c r="GH36" s="580"/>
      <c r="GI36" s="580"/>
      <c r="GJ36" s="580"/>
      <c r="GK36" s="580"/>
      <c r="GL36" s="580"/>
      <c r="GM36" s="580"/>
      <c r="GN36" s="580"/>
      <c r="GO36" s="580"/>
      <c r="GP36" s="580"/>
      <c r="GQ36" s="580"/>
      <c r="GR36" s="580"/>
      <c r="GS36" s="580"/>
      <c r="GT36" s="580"/>
      <c r="GU36" s="580"/>
      <c r="GV36" s="580"/>
      <c r="GW36" s="580"/>
      <c r="GX36" s="580"/>
      <c r="GY36" s="580"/>
      <c r="GZ36" s="580"/>
      <c r="HA36" s="580"/>
      <c r="HB36" s="580"/>
      <c r="HC36" s="580"/>
    </row>
    <row r="37" spans="1:211">
      <c r="A37" s="443">
        <f t="shared" si="15"/>
        <v>28</v>
      </c>
      <c r="B37" s="218" t="str">
        <f t="shared" si="0"/>
        <v>sø</v>
      </c>
      <c r="C37" s="219" t="s">
        <v>138</v>
      </c>
      <c r="D37" s="220" t="str">
        <f t="shared" si="1"/>
        <v/>
      </c>
      <c r="E37" s="906"/>
      <c r="F37" s="907"/>
      <c r="G37" s="908"/>
      <c r="H37" s="594"/>
      <c r="I37" s="726"/>
      <c r="J37" s="726"/>
      <c r="K37" s="669"/>
      <c r="L37" s="669"/>
      <c r="M37" s="669"/>
      <c r="N37" s="557">
        <f t="shared" si="16"/>
        <v>0</v>
      </c>
      <c r="O37" s="557">
        <f t="shared" si="17"/>
        <v>0</v>
      </c>
      <c r="P37" s="557">
        <f>IF(Stamoplysninger!$H$29="JA",August!DG37,CX37)</f>
        <v>0</v>
      </c>
      <c r="Q37" s="557">
        <f t="shared" si="18"/>
        <v>0</v>
      </c>
      <c r="R37" s="725"/>
      <c r="S37" s="564"/>
      <c r="T37" s="565"/>
      <c r="U37" s="565"/>
      <c r="V37" s="559"/>
      <c r="W37" s="763"/>
      <c r="X37" s="560"/>
      <c r="Y37">
        <f t="shared" si="19"/>
        <v>0</v>
      </c>
      <c r="Z37">
        <f t="shared" si="2"/>
        <v>0</v>
      </c>
      <c r="AA37" s="1">
        <f t="shared" si="3"/>
        <v>0</v>
      </c>
      <c r="AB37" s="1">
        <f t="shared" si="4"/>
        <v>0</v>
      </c>
      <c r="AC37" s="1">
        <f t="shared" si="5"/>
        <v>0</v>
      </c>
      <c r="AD37" s="1">
        <f t="shared" si="6"/>
        <v>0</v>
      </c>
      <c r="AE37" s="1">
        <f t="shared" si="7"/>
        <v>0</v>
      </c>
      <c r="AF37" s="1">
        <f>IF(C37="Orlov",Stamoplysninger!$E$15*7.4,0)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8"/>
        <v>0</v>
      </c>
      <c r="BB37" s="421">
        <f t="shared" si="9"/>
        <v>0</v>
      </c>
      <c r="BC37" s="1">
        <f t="shared" si="20"/>
        <v>0</v>
      </c>
      <c r="BD37" s="1">
        <f t="shared" si="10"/>
        <v>0</v>
      </c>
      <c r="BE37" s="1">
        <f t="shared" si="11"/>
        <v>0</v>
      </c>
      <c r="BF37" s="1">
        <f t="shared" si="12"/>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3"/>
        <v>0</v>
      </c>
      <c r="CC37" s="1">
        <f t="shared" si="14"/>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2",B37="fr"),Skemaoplysninger!$S$637,"")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c r="DN37" s="580"/>
      <c r="DO37" s="580"/>
      <c r="DP37" s="580"/>
      <c r="DQ37" s="580"/>
      <c r="DR37" s="580"/>
      <c r="DS37" s="580"/>
      <c r="DT37" s="580"/>
      <c r="DU37" s="580"/>
      <c r="DV37" s="580"/>
      <c r="DW37" s="580"/>
      <c r="DX37" s="580"/>
      <c r="DY37" s="580"/>
      <c r="DZ37" s="580"/>
      <c r="EA37" s="580"/>
      <c r="EB37" s="580"/>
      <c r="EC37" s="580"/>
      <c r="ED37" s="580"/>
      <c r="EE37" s="580"/>
      <c r="EF37" s="580"/>
      <c r="EG37" s="580"/>
      <c r="EH37" s="580"/>
      <c r="EI37" s="580"/>
      <c r="EJ37" s="580"/>
      <c r="EK37" s="580"/>
      <c r="EL37" s="580"/>
      <c r="EM37" s="580"/>
      <c r="EN37" s="580"/>
      <c r="EO37" s="580"/>
      <c r="EP37" s="580"/>
      <c r="EQ37" s="580"/>
      <c r="ER37" s="580"/>
      <c r="ES37" s="580"/>
      <c r="ET37" s="580"/>
      <c r="EU37" s="580"/>
      <c r="EV37" s="580"/>
      <c r="EW37" s="580"/>
      <c r="EX37" s="580"/>
      <c r="EY37" s="580"/>
      <c r="EZ37" s="580"/>
      <c r="FA37" s="580"/>
      <c r="FB37" s="580"/>
      <c r="FC37" s="580"/>
      <c r="FD37" s="580"/>
      <c r="FE37" s="580"/>
      <c r="FF37" s="580"/>
      <c r="FG37" s="580"/>
      <c r="FH37" s="580"/>
      <c r="FI37" s="580"/>
      <c r="FJ37" s="580"/>
      <c r="FK37" s="580"/>
      <c r="FL37" s="580"/>
      <c r="FM37" s="580"/>
      <c r="FN37" s="580"/>
      <c r="FO37" s="580"/>
      <c r="FP37" s="580"/>
      <c r="FQ37" s="580"/>
      <c r="FR37" s="580"/>
      <c r="FS37" s="580"/>
      <c r="FT37" s="580"/>
      <c r="FU37" s="580"/>
      <c r="FV37" s="580"/>
      <c r="FW37" s="580"/>
      <c r="FX37" s="580"/>
      <c r="FY37" s="580"/>
      <c r="FZ37" s="580"/>
      <c r="GA37" s="580"/>
      <c r="GB37" s="580"/>
      <c r="GC37" s="580"/>
      <c r="GD37" s="580"/>
      <c r="GE37" s="580"/>
      <c r="GF37" s="580"/>
      <c r="GG37" s="580"/>
      <c r="GH37" s="580"/>
      <c r="GI37" s="580"/>
      <c r="GJ37" s="580"/>
      <c r="GK37" s="580"/>
      <c r="GL37" s="580"/>
      <c r="GM37" s="580"/>
      <c r="GN37" s="580"/>
      <c r="GO37" s="580"/>
      <c r="GP37" s="580"/>
      <c r="GQ37" s="580"/>
      <c r="GR37" s="580"/>
      <c r="GS37" s="580"/>
      <c r="GT37" s="580"/>
      <c r="GU37" s="580"/>
      <c r="GV37" s="580"/>
      <c r="GW37" s="580"/>
      <c r="GX37" s="580"/>
      <c r="GY37" s="580"/>
      <c r="GZ37" s="580"/>
      <c r="HA37" s="580"/>
      <c r="HB37" s="580"/>
      <c r="HC37" s="580"/>
    </row>
    <row r="38" spans="1:211">
      <c r="A38" s="443">
        <f>IF(ISNUMBER(A37),A37+1,1)</f>
        <v>29</v>
      </c>
      <c r="B38" s="218" t="str">
        <f t="shared" si="0"/>
        <v>ma</v>
      </c>
      <c r="C38" s="219" t="s">
        <v>241</v>
      </c>
      <c r="D38" s="220">
        <f t="shared" si="1"/>
        <v>35.285714285714285</v>
      </c>
      <c r="E38" s="906"/>
      <c r="F38" s="907"/>
      <c r="G38" s="908"/>
      <c r="H38" s="594"/>
      <c r="I38" s="855"/>
      <c r="J38" s="726"/>
      <c r="K38" s="669"/>
      <c r="L38" s="669"/>
      <c r="M38" s="669"/>
      <c r="N38" s="557">
        <f t="shared" si="16"/>
        <v>8</v>
      </c>
      <c r="O38" s="557">
        <f t="shared" si="17"/>
        <v>3.75</v>
      </c>
      <c r="P38" s="557">
        <f>IF(Stamoplysninger!$H$29="JA",August!DG38,CX38)</f>
        <v>0.91666666666666674</v>
      </c>
      <c r="Q38" s="557">
        <f t="shared" si="18"/>
        <v>3.333333333333333</v>
      </c>
      <c r="R38" s="725"/>
      <c r="S38" s="564"/>
      <c r="T38" s="565"/>
      <c r="U38" s="565"/>
      <c r="V38" s="559"/>
      <c r="W38" s="763"/>
      <c r="X38" s="560"/>
      <c r="Y38">
        <f t="shared" si="19"/>
        <v>0</v>
      </c>
      <c r="Z38">
        <f t="shared" si="2"/>
        <v>0</v>
      </c>
      <c r="AA38" s="1">
        <f t="shared" si="3"/>
        <v>0</v>
      </c>
      <c r="AB38" s="1">
        <f t="shared" si="4"/>
        <v>0</v>
      </c>
      <c r="AC38" s="1">
        <f t="shared" si="5"/>
        <v>0</v>
      </c>
      <c r="AD38" s="1">
        <f t="shared" si="6"/>
        <v>0</v>
      </c>
      <c r="AE38" s="1">
        <f t="shared" si="7"/>
        <v>0</v>
      </c>
      <c r="AF38" s="1">
        <f>IF(C38="Orlov",Stamoplysninger!$E$15*7.4,0)</f>
        <v>0</v>
      </c>
      <c r="AG38" s="383">
        <f>IF(AND(C38="Skema 1",B38="ma"),Arbejdstidsoversigt!$E$44,"")</f>
        <v>8</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8"/>
        <v>8</v>
      </c>
      <c r="BB38" s="421">
        <f t="shared" si="9"/>
        <v>192</v>
      </c>
      <c r="BC38" s="1">
        <f t="shared" si="20"/>
        <v>0</v>
      </c>
      <c r="BD38" s="1">
        <f t="shared" si="10"/>
        <v>0</v>
      </c>
      <c r="BE38" s="1">
        <f t="shared" si="11"/>
        <v>0</v>
      </c>
      <c r="BF38" s="1">
        <f t="shared" si="12"/>
        <v>0</v>
      </c>
      <c r="BG38" s="382">
        <f>IF(AND(C38="Skema 1",B38="ma"),Skemaoplysninger!$E$28,"")</f>
        <v>0.15625</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3",B38="ti"),Skemaoplysninger!$Z$28,"")</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3.75</v>
      </c>
      <c r="CB38" s="1">
        <f t="shared" si="13"/>
        <v>0</v>
      </c>
      <c r="CC38" s="1">
        <f t="shared" si="14"/>
        <v>0</v>
      </c>
      <c r="CD38" s="382">
        <f>IF(AND(C38="Skema 1",B38="ma"),Skemaoplysninger!$E$37,"")</f>
        <v>0.91666666666666674</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2",B38="fr"),Skemaoplysninger!$S$637,"")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0.91666666666666674</v>
      </c>
      <c r="CY38" s="457">
        <f>IF(C38="Skema 1",Stamoplysninger!$H$30/200,0)</f>
        <v>1</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1</v>
      </c>
      <c r="DN38" s="580"/>
      <c r="DO38" s="580"/>
      <c r="DP38" s="580"/>
      <c r="DQ38" s="580"/>
      <c r="DR38" s="580"/>
      <c r="DS38" s="580"/>
      <c r="DT38" s="580"/>
      <c r="DU38" s="580"/>
      <c r="DV38" s="580"/>
      <c r="DW38" s="580"/>
      <c r="DX38" s="580"/>
      <c r="DY38" s="580"/>
      <c r="DZ38" s="580"/>
      <c r="EA38" s="580"/>
      <c r="EB38" s="580"/>
      <c r="EC38" s="580"/>
      <c r="ED38" s="580"/>
      <c r="EE38" s="580"/>
      <c r="EF38" s="580"/>
      <c r="EG38" s="580"/>
      <c r="EH38" s="580"/>
      <c r="EI38" s="580"/>
      <c r="EJ38" s="580"/>
      <c r="EK38" s="580"/>
      <c r="EL38" s="580"/>
      <c r="EM38" s="580"/>
      <c r="EN38" s="580"/>
      <c r="EO38" s="580"/>
      <c r="EP38" s="580"/>
      <c r="EQ38" s="580"/>
      <c r="ER38" s="580"/>
      <c r="ES38" s="580"/>
      <c r="ET38" s="580"/>
      <c r="EU38" s="580"/>
      <c r="EV38" s="580"/>
      <c r="EW38" s="580"/>
      <c r="EX38" s="580"/>
      <c r="EY38" s="580"/>
      <c r="EZ38" s="580"/>
      <c r="FA38" s="580"/>
      <c r="FB38" s="580"/>
      <c r="FC38" s="580"/>
      <c r="FD38" s="580"/>
      <c r="FE38" s="580"/>
      <c r="FF38" s="580"/>
      <c r="FG38" s="580"/>
      <c r="FH38" s="580"/>
      <c r="FI38" s="580"/>
      <c r="FJ38" s="580"/>
      <c r="FK38" s="580"/>
      <c r="FL38" s="580"/>
      <c r="FM38" s="580"/>
      <c r="FN38" s="580"/>
      <c r="FO38" s="580"/>
      <c r="FP38" s="580"/>
      <c r="FQ38" s="580"/>
      <c r="FR38" s="580"/>
      <c r="FS38" s="580"/>
      <c r="FT38" s="580"/>
      <c r="FU38" s="580"/>
      <c r="FV38" s="580"/>
      <c r="FW38" s="580"/>
      <c r="FX38" s="580"/>
      <c r="FY38" s="580"/>
      <c r="FZ38" s="580"/>
      <c r="GA38" s="580"/>
      <c r="GB38" s="580"/>
      <c r="GC38" s="580"/>
      <c r="GD38" s="580"/>
      <c r="GE38" s="580"/>
      <c r="GF38" s="580"/>
      <c r="GG38" s="580"/>
      <c r="GH38" s="580"/>
      <c r="GI38" s="580"/>
      <c r="GJ38" s="580"/>
      <c r="GK38" s="580"/>
      <c r="GL38" s="580"/>
      <c r="GM38" s="580"/>
      <c r="GN38" s="580"/>
      <c r="GO38" s="580"/>
      <c r="GP38" s="580"/>
      <c r="GQ38" s="580"/>
      <c r="GR38" s="580"/>
      <c r="GS38" s="580"/>
      <c r="GT38" s="580"/>
      <c r="GU38" s="580"/>
      <c r="GV38" s="580"/>
      <c r="GW38" s="580"/>
      <c r="GX38" s="580"/>
      <c r="GY38" s="580"/>
      <c r="GZ38" s="580"/>
      <c r="HA38" s="580"/>
      <c r="HB38" s="580"/>
      <c r="HC38" s="580"/>
    </row>
    <row r="39" spans="1:211">
      <c r="A39" s="443">
        <f t="shared" si="15"/>
        <v>30</v>
      </c>
      <c r="B39" s="218" t="str">
        <f t="shared" si="0"/>
        <v>ti</v>
      </c>
      <c r="C39" s="219" t="s">
        <v>241</v>
      </c>
      <c r="D39" s="220" t="str">
        <f t="shared" si="1"/>
        <v/>
      </c>
      <c r="E39" s="906"/>
      <c r="F39" s="907"/>
      <c r="G39" s="908"/>
      <c r="H39" s="594"/>
      <c r="I39" s="855"/>
      <c r="J39" s="726"/>
      <c r="K39" s="669"/>
      <c r="L39" s="669"/>
      <c r="M39" s="669"/>
      <c r="N39" s="557">
        <f t="shared" si="16"/>
        <v>8</v>
      </c>
      <c r="O39" s="557">
        <f t="shared" si="17"/>
        <v>5.25</v>
      </c>
      <c r="P39" s="557">
        <f>IF(Stamoplysninger!$H$29="JA",August!DG39,CX39)</f>
        <v>1.0833333333333335</v>
      </c>
      <c r="Q39" s="557">
        <f t="shared" si="18"/>
        <v>1.6666666666666665</v>
      </c>
      <c r="R39" s="725"/>
      <c r="S39" s="564"/>
      <c r="T39" s="565"/>
      <c r="U39" s="762"/>
      <c r="V39" s="559"/>
      <c r="W39" s="763"/>
      <c r="X39" s="560"/>
      <c r="Y39">
        <f t="shared" si="19"/>
        <v>0</v>
      </c>
      <c r="Z39">
        <f t="shared" si="2"/>
        <v>0</v>
      </c>
      <c r="AA39" s="1">
        <f t="shared" si="3"/>
        <v>0</v>
      </c>
      <c r="AB39" s="1">
        <f t="shared" si="4"/>
        <v>0</v>
      </c>
      <c r="AC39" s="1">
        <f t="shared" si="5"/>
        <v>0</v>
      </c>
      <c r="AD39" s="1">
        <f t="shared" si="6"/>
        <v>0</v>
      </c>
      <c r="AE39" s="1">
        <f t="shared" si="7"/>
        <v>0</v>
      </c>
      <c r="AF39" s="1">
        <f>IF(C39="Orlov",Stamoplysninger!$E$15*7.4,0)</f>
        <v>0</v>
      </c>
      <c r="AG39" s="383" t="str">
        <f>IF(AND(C39="Skema 1",B39="ma"),Arbejdstidsoversigt!$E$44,"")</f>
        <v/>
      </c>
      <c r="AH39" s="383">
        <f>IF(AND(C39="Skema 1",B39="ti"),Arbejdstidsoversigt!$E$45,"")</f>
        <v>8</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t="str">
        <f>IF(AND(C39="Skema 2",B39="on"),Arbejdstidsoversigt!$E$55,"")</f>
        <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8"/>
        <v>8</v>
      </c>
      <c r="BB39" s="421">
        <f t="shared" si="9"/>
        <v>192</v>
      </c>
      <c r="BC39" s="1">
        <f t="shared" si="20"/>
        <v>0</v>
      </c>
      <c r="BD39" s="1">
        <f t="shared" si="10"/>
        <v>0</v>
      </c>
      <c r="BE39" s="1">
        <f t="shared" si="11"/>
        <v>0</v>
      </c>
      <c r="BF39" s="1">
        <f t="shared" si="12"/>
        <v>0</v>
      </c>
      <c r="BG39" s="382" t="str">
        <f>IF(AND(C39="Skema 1",B39="ma"),Skemaoplysninger!$E$28,"")</f>
        <v/>
      </c>
      <c r="BH39" s="382">
        <f>IF(AND(C39="Skema 1",B39="ti"),Skemaoplysninger!$F$28,"")</f>
        <v>0.21875</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t="str">
        <f>IF(AND(C39="Skema 2",B39="on"),Skemaoplysninger!$Q$28,"")</f>
        <v/>
      </c>
      <c r="BO39" s="382" t="str">
        <f>IF(AND(C39="Skema 2",B39="to"),Skemaoplysninger!$R$28,"")</f>
        <v/>
      </c>
      <c r="BP39" s="382" t="str">
        <f>IF(AND(C39="Skema 2",B39="fr"),Skemaoplysninger!$S$28,"")</f>
        <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5.25</v>
      </c>
      <c r="CB39" s="1">
        <f t="shared" si="13"/>
        <v>0</v>
      </c>
      <c r="CC39" s="1">
        <f t="shared" si="14"/>
        <v>0</v>
      </c>
      <c r="CD39" s="382" t="str">
        <f>IF(AND(C39="Skema 1",B39="ma"),Skemaoplysninger!$E$37,"")</f>
        <v/>
      </c>
      <c r="CE39" s="382">
        <f>IF(AND(C39="Skema 1",B39="ti"),Skemaoplysninger!$F$37,"")</f>
        <v>1.0833333333333335</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t="str">
        <f>IF(AND(C39="Skema 2",B39="on"),Skemaoplysninger!$Q$37,"")</f>
        <v/>
      </c>
      <c r="CL39" s="382" t="str">
        <f>IF(AND(C39="Skema 2",B39="to"),Skemaoplysninger!$R$37,"")</f>
        <v/>
      </c>
      <c r="CM39" s="382" t="str">
        <f>IF(AND(C39="Skema 2",B39="fr"),Skemaoplysninger!$S$637,"")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1.0833333333333335</v>
      </c>
      <c r="CY39" s="457">
        <f>IF(C39="Skema 1",Stamoplysninger!$H$30/200,0)</f>
        <v>1</v>
      </c>
      <c r="CZ39" s="457">
        <f>IF(C39="Skema 2",Stamoplysninger!$H$30/200,0)</f>
        <v>0</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1</v>
      </c>
      <c r="DN39" s="580"/>
      <c r="DO39" s="580"/>
      <c r="DP39" s="580"/>
      <c r="DQ39" s="580"/>
      <c r="DR39" s="580"/>
      <c r="DS39" s="580"/>
      <c r="DT39" s="580"/>
      <c r="DU39" s="580"/>
      <c r="DV39" s="580"/>
      <c r="DW39" s="580"/>
      <c r="DX39" s="580"/>
      <c r="DY39" s="580"/>
      <c r="DZ39" s="580"/>
      <c r="EA39" s="580"/>
      <c r="EB39" s="580"/>
      <c r="EC39" s="580"/>
      <c r="ED39" s="580"/>
      <c r="EE39" s="580"/>
      <c r="EF39" s="580"/>
      <c r="EG39" s="580"/>
      <c r="EH39" s="580"/>
      <c r="EI39" s="580"/>
      <c r="EJ39" s="580"/>
      <c r="EK39" s="580"/>
      <c r="EL39" s="580"/>
      <c r="EM39" s="580"/>
      <c r="EN39" s="580"/>
      <c r="EO39" s="580"/>
      <c r="EP39" s="580"/>
      <c r="EQ39" s="580"/>
      <c r="ER39" s="580"/>
      <c r="ES39" s="580"/>
      <c r="ET39" s="580"/>
      <c r="EU39" s="580"/>
      <c r="EV39" s="580"/>
      <c r="EW39" s="580"/>
      <c r="EX39" s="580"/>
      <c r="EY39" s="580"/>
      <c r="EZ39" s="580"/>
      <c r="FA39" s="580"/>
      <c r="FB39" s="580"/>
      <c r="FC39" s="580"/>
      <c r="FD39" s="580"/>
      <c r="FE39" s="580"/>
      <c r="FF39" s="580"/>
      <c r="FG39" s="580"/>
      <c r="FH39" s="580"/>
      <c r="FI39" s="580"/>
      <c r="FJ39" s="580"/>
      <c r="FK39" s="580"/>
      <c r="FL39" s="580"/>
      <c r="FM39" s="580"/>
      <c r="FN39" s="580"/>
      <c r="FO39" s="580"/>
      <c r="FP39" s="580"/>
      <c r="FQ39" s="580"/>
      <c r="FR39" s="580"/>
      <c r="FS39" s="580"/>
      <c r="FT39" s="580"/>
      <c r="FU39" s="580"/>
      <c r="FV39" s="580"/>
      <c r="FW39" s="580"/>
      <c r="FX39" s="580"/>
      <c r="FY39" s="580"/>
      <c r="FZ39" s="580"/>
      <c r="GA39" s="580"/>
      <c r="GB39" s="580"/>
      <c r="GC39" s="580"/>
      <c r="GD39" s="580"/>
      <c r="GE39" s="580"/>
      <c r="GF39" s="580"/>
      <c r="GG39" s="580"/>
      <c r="GH39" s="580"/>
      <c r="GI39" s="580"/>
      <c r="GJ39" s="580"/>
      <c r="GK39" s="580"/>
      <c r="GL39" s="580"/>
      <c r="GM39" s="580"/>
      <c r="GN39" s="580"/>
      <c r="GO39" s="580"/>
      <c r="GP39" s="580"/>
      <c r="GQ39" s="580"/>
      <c r="GR39" s="580"/>
      <c r="GS39" s="580"/>
      <c r="GT39" s="580"/>
      <c r="GU39" s="580"/>
      <c r="GV39" s="580"/>
      <c r="GW39" s="580"/>
      <c r="GX39" s="580"/>
      <c r="GY39" s="580"/>
      <c r="GZ39" s="580"/>
      <c r="HA39" s="580"/>
      <c r="HB39" s="580"/>
      <c r="HC39" s="580"/>
    </row>
    <row r="40" spans="1:211">
      <c r="A40" s="443">
        <f>IF(ISNUMBER(A39),A39+1,1)</f>
        <v>31</v>
      </c>
      <c r="B40" s="218" t="str">
        <f t="shared" si="0"/>
        <v>on</v>
      </c>
      <c r="C40" s="219" t="s">
        <v>241</v>
      </c>
      <c r="D40" s="220" t="str">
        <f t="shared" si="1"/>
        <v/>
      </c>
      <c r="E40" s="909"/>
      <c r="F40" s="910"/>
      <c r="G40" s="911"/>
      <c r="H40" s="593"/>
      <c r="I40" s="855"/>
      <c r="J40" s="726"/>
      <c r="K40" s="669"/>
      <c r="L40" s="669"/>
      <c r="M40" s="669"/>
      <c r="N40" s="557">
        <f t="shared" si="16"/>
        <v>8</v>
      </c>
      <c r="O40" s="557">
        <f t="shared" si="17"/>
        <v>3.75</v>
      </c>
      <c r="P40" s="557">
        <f>IF(Stamoplysninger!$H$29="JA",August!DG40,CX40)</f>
        <v>0.91666666666666674</v>
      </c>
      <c r="Q40" s="557">
        <f t="shared" si="18"/>
        <v>3.333333333333333</v>
      </c>
      <c r="R40" s="725"/>
      <c r="S40" s="564"/>
      <c r="T40" s="565"/>
      <c r="U40" s="387"/>
      <c r="V40" s="559"/>
      <c r="W40" s="763"/>
      <c r="X40" s="764"/>
      <c r="Y40">
        <f t="shared" si="19"/>
        <v>0</v>
      </c>
      <c r="Z40">
        <f t="shared" si="2"/>
        <v>0</v>
      </c>
      <c r="AA40" s="1">
        <f t="shared" si="3"/>
        <v>0</v>
      </c>
      <c r="AB40" s="1">
        <f t="shared" si="4"/>
        <v>0</v>
      </c>
      <c r="AC40" s="1">
        <f t="shared" si="5"/>
        <v>0</v>
      </c>
      <c r="AD40" s="1">
        <f t="shared" si="6"/>
        <v>0</v>
      </c>
      <c r="AE40" s="1">
        <f t="shared" si="7"/>
        <v>0</v>
      </c>
      <c r="AF40" s="1">
        <f>IF(C40="Orlov",Stamoplysninger!$E$15*7.4,0)</f>
        <v>0</v>
      </c>
      <c r="AG40" s="383" t="str">
        <f>IF(AND(C40="Skema 1",B40="ma"),Arbejdstidsoversigt!$E$44,"")</f>
        <v/>
      </c>
      <c r="AH40" s="383" t="str">
        <f>IF(AND(C40="Skema 1",B40="ti"),Arbejdstidsoversigt!$E$45,"")</f>
        <v/>
      </c>
      <c r="AI40" s="383">
        <f>IF(AND(C40="Skema 1",B40="on"),Arbejdstidsoversigt!$E$46,"")</f>
        <v>8</v>
      </c>
      <c r="AJ40" s="383" t="str">
        <f>IF(AND(C40="Skema 1",B40="to"),Arbejdstidsoversigt!$E$47,"")</f>
        <v/>
      </c>
      <c r="AK40" s="383" t="str">
        <f>IF(AND(C40="Skema 1",B40="fr"),Arbejdstidsoversigt!$E$48,"")</f>
        <v/>
      </c>
      <c r="AL40" s="383" t="str">
        <f>IF(AND(C40="Skema 2",B40="ma"),Arbejdstidsoversigt!$E$53,"")</f>
        <v/>
      </c>
      <c r="AM40" s="383" t="str">
        <f>IF(AND(C40="Skema 2",B40="ti"),Arbejdstidsoversigt!$E$54,"")</f>
        <v/>
      </c>
      <c r="AN40" s="383" t="str">
        <f>IF(AND(C40="Skema 2",B40="on"),Arbejdstidsoversigt!$E$55,"")</f>
        <v/>
      </c>
      <c r="AO40" s="383" t="str">
        <f>IF(AND(C40="Skema 2",B40="to"),Arbejdstidsoversigt!$E$56,"")</f>
        <v/>
      </c>
      <c r="AP40" s="383" t="str">
        <f>IF(AND(C40="Skema 2",B40="fr"),Arbejdstidsoversigt!$E$57,"")</f>
        <v/>
      </c>
      <c r="AQ40" s="383" t="str">
        <f>IF(AND(C40="Skema 3",B40="ma"),Arbejdstidsoversigt!$E$62,"")</f>
        <v/>
      </c>
      <c r="AR40" s="383" t="str">
        <f>IF(AND(C40="Skema 3",B40="ti"),Arbejdstidsoversigt!$E$63,"")</f>
        <v/>
      </c>
      <c r="AS40" s="383" t="str">
        <f>IF(AND(C40="Skema 3",B40="on"),Arbejdstidsoversigt!$E$64,"")</f>
        <v/>
      </c>
      <c r="AT40" s="383" t="str">
        <f>IF(AND(C40="Skema 3",B40="to"),Arbejdstidsoversigt!$E$65,"")</f>
        <v/>
      </c>
      <c r="AU40" s="383" t="str">
        <f>IF(AND(C40="Skema 3",B40="fr"),Arbejdstidsoversigt!$E$66,"")</f>
        <v/>
      </c>
      <c r="AV40" s="383" t="str">
        <f>IF(AND(C40="Skema 4",B40="ma"),Arbejdstidsoversigt!$E$71,"")</f>
        <v/>
      </c>
      <c r="AW40" s="383" t="str">
        <f>IF(AND(C40="Skema 4",B40="ti"),Arbejdstidsoversigt!$E$72,"")</f>
        <v/>
      </c>
      <c r="AX40" s="383" t="str">
        <f>IF(AND(C40="Skema 4",B40="on"),Arbejdstidsoversigt!$E$73,"")</f>
        <v/>
      </c>
      <c r="AY40" s="383" t="str">
        <f>IF(AND(C40="Skema 4",B40="to"),Arbejdstidsoversigt!$E$74,"")</f>
        <v/>
      </c>
      <c r="AZ40" s="383" t="str">
        <f>IF(AND(C40="Skema 4",B40="fr"),Arbejdstidsoversigt!$E$75,"")</f>
        <v/>
      </c>
      <c r="BA40" s="1">
        <f t="shared" si="8"/>
        <v>8</v>
      </c>
      <c r="BB40" s="421">
        <f t="shared" si="9"/>
        <v>192</v>
      </c>
      <c r="BC40" s="1">
        <f t="shared" si="20"/>
        <v>0</v>
      </c>
      <c r="BD40" s="1">
        <f t="shared" si="10"/>
        <v>0</v>
      </c>
      <c r="BE40" s="1">
        <f t="shared" si="11"/>
        <v>0</v>
      </c>
      <c r="BF40" s="1">
        <f t="shared" si="12"/>
        <v>0</v>
      </c>
      <c r="BG40" s="382" t="str">
        <f>IF(AND(C40="Skema 1",B40="ma"),Skemaoplysninger!$E$28,"")</f>
        <v/>
      </c>
      <c r="BH40" s="382" t="str">
        <f>IF(AND(C40="Skema 1",B40="ti"),Skemaoplysninger!$F$28,"")</f>
        <v/>
      </c>
      <c r="BI40" s="382">
        <f>IF(AND(C40="Skema 1",B40="on"),Skemaoplysninger!$G$28,"")</f>
        <v>0.15625</v>
      </c>
      <c r="BJ40" s="382" t="str">
        <f>IF(AND(C40="Skema 1",B40="to"),Skemaoplysninger!$H$28,"")</f>
        <v/>
      </c>
      <c r="BK40" s="382" t="str">
        <f>IF(AND(C40="Skema 1",B40="fr"),Skemaoplysninger!$I$28,"")</f>
        <v/>
      </c>
      <c r="BL40" s="382" t="str">
        <f>IF(AND(C40="Skema 2",B40="ma"),Skemaoplysninger!$O$28,"")</f>
        <v/>
      </c>
      <c r="BM40" s="382" t="str">
        <f>IF(AND(C40="Skema 2",B40="ti"),Skemaoplysninger!$P$28,"")</f>
        <v/>
      </c>
      <c r="BN40" s="382" t="str">
        <f>IF(AND(C40="Skema 2",B40="on"),Skemaoplysninger!$Q$28,"")</f>
        <v/>
      </c>
      <c r="BO40" s="382" t="str">
        <f>IF(AND(C40="Skema 2",B40="to"),Skemaoplysninger!$R$28,"")</f>
        <v/>
      </c>
      <c r="BP40" s="382" t="str">
        <f>IF(AND(C40="Skema 2",B40="fr"),Skemaoplysninger!$S$28,"")</f>
        <v/>
      </c>
      <c r="BQ40" s="382" t="str">
        <f>IF(AND(C40="Skema 3",B40="ma"),Skemaoplysninger!$Y$28,"")</f>
        <v/>
      </c>
      <c r="BR40" s="382" t="str">
        <f>IF(AND(C40="Skema 3",B40="ti"),Arbejdstidsoversigt!#REF!,"")</f>
        <v/>
      </c>
      <c r="BS40" s="382" t="str">
        <f>IF(AND(C40="Skema 3",B40="on"),Skemaoplysninger!$AA$28,"")</f>
        <v/>
      </c>
      <c r="BT40" s="382" t="str">
        <f>IF(AND(C40="Skema 3",B40="to"),Skemaoplysninger!$AB$28,"")</f>
        <v/>
      </c>
      <c r="BU40" s="382" t="str">
        <f>IF(AND(C40="Skema 3",B40="fr"),Skemaoplysninger!$AC$28,"")</f>
        <v/>
      </c>
      <c r="BV40" s="382" t="str">
        <f>IF(AND(C40="Skema 4",B40="ma"),Skemaoplysninger!$AI$28,"")</f>
        <v/>
      </c>
      <c r="BW40" s="382" t="str">
        <f>IF(AND(C40="Skema 4",B40="ti"),Skemaoplysninger!$AJ$28,"")</f>
        <v/>
      </c>
      <c r="BX40" s="382" t="str">
        <f>IF(AND(C40="Skema 4",B40="on"),Skemaoplysninger!$AK$28,"")</f>
        <v/>
      </c>
      <c r="BY40" s="382" t="str">
        <f>IF(AND(C40="Skema 4",B40="to"),Skemaoplysninger!$AL$28,"")</f>
        <v/>
      </c>
      <c r="BZ40" s="382" t="str">
        <f>IF(AND(C40="Skema 4",B40="fr"),Skemaoplysninger!$AM$28,"")</f>
        <v/>
      </c>
      <c r="CA40" s="1">
        <f t="shared" si="21"/>
        <v>3.75</v>
      </c>
      <c r="CB40" s="1">
        <f t="shared" si="13"/>
        <v>0</v>
      </c>
      <c r="CC40" s="1">
        <f t="shared" si="14"/>
        <v>0</v>
      </c>
      <c r="CD40" s="382" t="str">
        <f>IF(AND(C40="Skema 1",B40="ma"),Skemaoplysninger!$E$37,"")</f>
        <v/>
      </c>
      <c r="CE40" s="382" t="str">
        <f>IF(AND(C40="Skema 1",B40="ti"),Skemaoplysninger!$F$37,"")</f>
        <v/>
      </c>
      <c r="CF40" s="382">
        <f>IF(AND(C40="Skema 1",B40="on"),Skemaoplysninger!$G$37,"")</f>
        <v>0.91666666666666674</v>
      </c>
      <c r="CG40" s="382" t="str">
        <f>IF(AND(C40="Skema 1",B40="to"),Skemaoplysninger!$H$37,"")</f>
        <v/>
      </c>
      <c r="CH40" s="382" t="str">
        <f>IF(AND(C40="Skema 1",B40="fr"),Skemaoplysninger!$I$37,"")</f>
        <v/>
      </c>
      <c r="CI40" s="382" t="str">
        <f>IF(AND(C40="Skema 2",B40="ma"),Skemaoplysninger!$O$37,"")</f>
        <v/>
      </c>
      <c r="CJ40" s="382" t="str">
        <f>IF(AND(C40="Skema 2",B40="ti"),Skemaoplysninger!$P$37,"")</f>
        <v/>
      </c>
      <c r="CK40" s="382" t="str">
        <f>IF(AND(C40="Skema 2",B40="on"),Skemaoplysninger!$Q$37,"")</f>
        <v/>
      </c>
      <c r="CL40" s="382" t="str">
        <f>IF(AND(C40="Skema 2",B40="to"),Skemaoplysninger!$R$37,"")</f>
        <v/>
      </c>
      <c r="CM40" s="382" t="str">
        <f>IF(AND(C40="Skema 2",B40="fr"),Skemaoplysninger!$S$637,"")</f>
        <v/>
      </c>
      <c r="CN40" s="382" t="str">
        <f>IF(AND(C40="Skema 3",B40="ma"),Skemaoplysninger!$Y$37,"")</f>
        <v/>
      </c>
      <c r="CO40" s="382" t="str">
        <f>IF(AND(C40="Skema 3",B40="ti"),Skemaoplysninger!$Z$37,"")</f>
        <v/>
      </c>
      <c r="CP40" s="382" t="str">
        <f>IF(AND(C40="Skema 3",B40="on"),Skemaoplysninger!$AA$37,"")</f>
        <v/>
      </c>
      <c r="CQ40" s="382" t="str">
        <f>IF(AND(C40="Skema 3",B40="to"),Skemaoplysninger!$AB$37,"")</f>
        <v/>
      </c>
      <c r="CR40" s="382" t="str">
        <f>IF(AND(C40="Skema 3",B40="fr"),Skemaoplysninger!$AC$37,"")</f>
        <v/>
      </c>
      <c r="CS40" s="382" t="str">
        <f>IF(AND(C40="Skema 4",B40="ma"),Skemaoplysninger!$AI$37,"")</f>
        <v/>
      </c>
      <c r="CT40" s="382" t="str">
        <f>IF(AND(C40="Skema 4",B40="ti"),Skemaoplysninger!$AJ$37,"")</f>
        <v/>
      </c>
      <c r="CU40" s="382" t="str">
        <f>IF(AND(C40="Skema 4",B40="on"),Skemaoplysninger!$AK$37,"")</f>
        <v/>
      </c>
      <c r="CV40" s="382" t="str">
        <f>IF(AND(C40="Skema 4",B40="to"),Skemaoplysninger!$AL$37,"")</f>
        <v/>
      </c>
      <c r="CW40" s="382" t="str">
        <f>IF(AND(C40="Skema 4",B40="fr"),Skemaoplysninger!$AM$37,"")</f>
        <v/>
      </c>
      <c r="CX40" s="457">
        <f>IF(Stamoplysninger!$H$29="NEJ",SUM(CB40:CW40),0)</f>
        <v>0.91666666666666674</v>
      </c>
      <c r="CY40" s="457">
        <f>IF(C40="Skema 1",Stamoplysninger!$H$30/200,0)</f>
        <v>1</v>
      </c>
      <c r="CZ40" s="457">
        <f>IF(C40="Skema 2",Stamoplysninger!$H$30/200,0)</f>
        <v>0</v>
      </c>
      <c r="DA40" s="457">
        <f>IF(C40="Skema 3",Stamoplysninger!$H$30/200,0)</f>
        <v>0</v>
      </c>
      <c r="DB40" s="457">
        <f>IF(C40="Skema 4",Stamoplysninger!$H$30/200,0)</f>
        <v>0</v>
      </c>
      <c r="DC40" s="457">
        <f>IF(C40="fagdag",Stamoplysninger!$H$30/200,0)</f>
        <v>0</v>
      </c>
      <c r="DD40" s="457">
        <f>IF(C40="emnedag",Stamoplysninger!$H$30/200,0)</f>
        <v>0</v>
      </c>
      <c r="DE40" s="457">
        <f>IF(C40="lejrskole",Stamoplysninger!$H$30/200,0)</f>
        <v>0</v>
      </c>
      <c r="DF40" s="457">
        <f>IF(C40="ekskursion",Stamoplysninger!$H$30/200,0)</f>
        <v>0</v>
      </c>
      <c r="DG40" s="457">
        <f t="shared" si="22"/>
        <v>1</v>
      </c>
      <c r="DN40" s="580"/>
      <c r="DO40" s="580"/>
      <c r="DP40" s="580"/>
      <c r="DQ40" s="580"/>
      <c r="DR40" s="580"/>
      <c r="DS40" s="580"/>
      <c r="DT40" s="580"/>
      <c r="DU40" s="580"/>
      <c r="DV40" s="580"/>
      <c r="DW40" s="580"/>
      <c r="DX40" s="580"/>
      <c r="DY40" s="580"/>
      <c r="DZ40" s="580"/>
      <c r="EA40" s="580"/>
      <c r="EB40" s="580"/>
      <c r="EC40" s="580"/>
      <c r="ED40" s="580"/>
      <c r="EE40" s="580"/>
      <c r="EF40" s="580"/>
      <c r="EG40" s="580"/>
      <c r="EH40" s="580"/>
      <c r="EI40" s="580"/>
      <c r="EJ40" s="580"/>
      <c r="EK40" s="580"/>
      <c r="EL40" s="580"/>
      <c r="EM40" s="580"/>
      <c r="EN40" s="580"/>
      <c r="EO40" s="580"/>
      <c r="EP40" s="580"/>
      <c r="EQ40" s="580"/>
      <c r="ER40" s="580"/>
      <c r="ES40" s="580"/>
      <c r="ET40" s="580"/>
      <c r="EU40" s="580"/>
      <c r="EV40" s="580"/>
      <c r="EW40" s="580"/>
      <c r="EX40" s="580"/>
      <c r="EY40" s="580"/>
      <c r="EZ40" s="580"/>
      <c r="FA40" s="580"/>
      <c r="FB40" s="580"/>
      <c r="FC40" s="580"/>
      <c r="FD40" s="580"/>
      <c r="FE40" s="580"/>
      <c r="FF40" s="580"/>
      <c r="FG40" s="580"/>
      <c r="FH40" s="580"/>
      <c r="FI40" s="580"/>
      <c r="FJ40" s="580"/>
      <c r="FK40" s="580"/>
      <c r="FL40" s="580"/>
      <c r="FM40" s="580"/>
      <c r="FN40" s="580"/>
      <c r="FO40" s="580"/>
      <c r="FP40" s="580"/>
      <c r="FQ40" s="580"/>
      <c r="FR40" s="580"/>
      <c r="FS40" s="580"/>
      <c r="FT40" s="580"/>
      <c r="FU40" s="580"/>
      <c r="FV40" s="580"/>
      <c r="FW40" s="580"/>
      <c r="FX40" s="580"/>
      <c r="FY40" s="580"/>
      <c r="FZ40" s="580"/>
      <c r="GA40" s="580"/>
      <c r="GB40" s="580"/>
      <c r="GC40" s="580"/>
      <c r="GD40" s="580"/>
      <c r="GE40" s="580"/>
      <c r="GF40" s="580"/>
      <c r="GG40" s="580"/>
      <c r="GH40" s="580"/>
      <c r="GI40" s="580"/>
      <c r="GJ40" s="580"/>
      <c r="GK40" s="580"/>
      <c r="GL40" s="580"/>
      <c r="GM40" s="580"/>
      <c r="GN40" s="580"/>
      <c r="GO40" s="580"/>
      <c r="GP40" s="580"/>
      <c r="GQ40" s="580"/>
      <c r="GR40" s="580"/>
      <c r="GS40" s="580"/>
      <c r="GT40" s="580"/>
      <c r="GU40" s="580"/>
      <c r="GV40" s="580"/>
      <c r="GW40" s="580"/>
      <c r="GX40" s="580"/>
      <c r="GY40" s="580"/>
      <c r="GZ40" s="580"/>
      <c r="HA40" s="580"/>
      <c r="HB40" s="580"/>
      <c r="HC40" s="580"/>
    </row>
    <row r="41" spans="1:211" s="586" customFormat="1" ht="17" thickBot="1">
      <c r="A41" s="1101" t="s">
        <v>308</v>
      </c>
      <c r="B41" s="1102"/>
      <c r="C41" s="1102"/>
      <c r="D41" s="1102"/>
      <c r="E41" s="1102"/>
      <c r="F41" s="1102"/>
      <c r="G41" s="1102"/>
      <c r="H41" s="1102"/>
      <c r="I41" s="1103"/>
      <c r="J41" s="552"/>
      <c r="K41" s="562"/>
      <c r="L41" s="562"/>
      <c r="M41" s="562"/>
      <c r="N41" s="562">
        <f t="shared" ref="N41:Q41" si="23">SUM(N10:N40)</f>
        <v>158</v>
      </c>
      <c r="O41" s="562">
        <f t="shared" si="23"/>
        <v>67.5</v>
      </c>
      <c r="P41" s="562">
        <f t="shared" si="23"/>
        <v>15.5</v>
      </c>
      <c r="Q41" s="562">
        <f t="shared" si="23"/>
        <v>75</v>
      </c>
      <c r="R41" s="584">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7</v>
      </c>
      <c r="S41" s="750"/>
      <c r="T41" s="751"/>
      <c r="U41" s="751"/>
      <c r="V41" s="751">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751">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752">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384">
        <f>SUM(Y10:Y40)</f>
        <v>0</v>
      </c>
      <c r="Z41" s="706">
        <f>Z10+Z11+Z12+Z13+Z14+Z15+Z16+Z17+Z18+Z19+Z20+Z21+Z22+Z23+Z24+Z25+Z26+Z27+Z28+Z29+Z30+Z31+Z32+Z33+Z34+Z35+Z36+Z37+Z38+Z39+Z40</f>
        <v>0</v>
      </c>
      <c r="AA41" s="585">
        <f t="shared" ref="AA41:AF41" si="24">SUM(AA10:AA40)</f>
        <v>7</v>
      </c>
      <c r="AB41" s="585">
        <f t="shared" si="24"/>
        <v>0</v>
      </c>
      <c r="AC41" s="585">
        <f t="shared" si="24"/>
        <v>18</v>
      </c>
      <c r="AD41" s="585">
        <f t="shared" si="24"/>
        <v>0</v>
      </c>
      <c r="AE41" s="585">
        <f t="shared" si="24"/>
        <v>0</v>
      </c>
      <c r="AF41" s="585">
        <f t="shared" si="24"/>
        <v>0</v>
      </c>
      <c r="AQ41" s="587"/>
      <c r="AR41" s="587"/>
      <c r="AS41" s="587"/>
      <c r="AT41" s="587"/>
      <c r="AU41" s="587"/>
      <c r="AV41" s="587"/>
      <c r="AW41" s="587"/>
      <c r="AX41" s="587"/>
      <c r="AY41" s="587"/>
      <c r="AZ41" s="587"/>
      <c r="BA41" s="588">
        <f>SUM(BA10:BA40)</f>
        <v>158</v>
      </c>
      <c r="BB41" s="589"/>
      <c r="BC41" s="585">
        <f>SUM(BC10:BC40)</f>
        <v>0</v>
      </c>
      <c r="BD41" s="585">
        <f>SUM(BD10:BD40)</f>
        <v>0</v>
      </c>
      <c r="BE41" s="585">
        <f>SUM(BE10:BE40)</f>
        <v>0</v>
      </c>
      <c r="BF41" s="585">
        <f t="shared" ref="BF41" si="25">SUM(BF10:BF40)</f>
        <v>2.25</v>
      </c>
      <c r="BQ41" s="587"/>
      <c r="BR41" s="587"/>
      <c r="BS41" s="587"/>
      <c r="BT41" s="587"/>
      <c r="BU41" s="587"/>
      <c r="BV41" s="587"/>
      <c r="BW41" s="587"/>
      <c r="BX41" s="587"/>
      <c r="BY41" s="587"/>
      <c r="BZ41" s="587"/>
      <c r="CA41" s="585">
        <f>SUM(CA10:CA40)</f>
        <v>67.5</v>
      </c>
      <c r="CB41" s="585">
        <f t="shared" ref="CB41" si="26">SUM(CB10:CB40)</f>
        <v>0</v>
      </c>
      <c r="CC41" s="585">
        <f t="shared" ref="CC41" si="27">SUM(CC10:CC40)</f>
        <v>1</v>
      </c>
      <c r="CN41" s="587"/>
      <c r="CO41" s="587"/>
      <c r="CP41" s="587"/>
      <c r="CQ41" s="587"/>
      <c r="CR41" s="587"/>
      <c r="CS41" s="587"/>
      <c r="CT41" s="587"/>
      <c r="CU41" s="587"/>
      <c r="CV41" s="587"/>
      <c r="CW41" s="587"/>
      <c r="CX41" s="590"/>
      <c r="CY41" s="590">
        <f t="shared" ref="CY41:DG41" si="28">SUM(CY10:CY40)</f>
        <v>17</v>
      </c>
      <c r="CZ41" s="590">
        <f t="shared" si="28"/>
        <v>0</v>
      </c>
      <c r="DA41" s="590">
        <f t="shared" si="28"/>
        <v>0</v>
      </c>
      <c r="DB41" s="590">
        <f t="shared" si="28"/>
        <v>0</v>
      </c>
      <c r="DC41" s="590">
        <f t="shared" si="28"/>
        <v>0</v>
      </c>
      <c r="DD41" s="590">
        <f t="shared" si="28"/>
        <v>1</v>
      </c>
      <c r="DE41" s="590">
        <f t="shared" si="28"/>
        <v>0</v>
      </c>
      <c r="DF41" s="590">
        <f t="shared" si="28"/>
        <v>0</v>
      </c>
      <c r="DG41" s="590">
        <f t="shared" si="28"/>
        <v>18</v>
      </c>
      <c r="DN41" s="749"/>
      <c r="DO41" s="749"/>
      <c r="DP41" s="749"/>
      <c r="DQ41" s="749"/>
      <c r="DR41" s="749"/>
      <c r="DS41" s="749"/>
      <c r="DT41" s="749"/>
      <c r="DU41" s="749"/>
      <c r="DV41" s="749"/>
      <c r="DW41" s="749"/>
      <c r="DX41" s="749"/>
      <c r="DY41" s="749"/>
      <c r="DZ41" s="749"/>
      <c r="EA41" s="749"/>
      <c r="EB41" s="749"/>
      <c r="EC41" s="749"/>
      <c r="ED41" s="749"/>
      <c r="EE41" s="749"/>
      <c r="EF41" s="749"/>
      <c r="EG41" s="749"/>
      <c r="EH41" s="749"/>
      <c r="EI41" s="749"/>
      <c r="EJ41" s="749"/>
      <c r="EK41" s="749"/>
      <c r="EL41" s="749"/>
      <c r="EM41" s="749"/>
      <c r="EN41" s="749"/>
      <c r="EO41" s="749"/>
      <c r="EP41" s="749"/>
      <c r="EQ41" s="749"/>
      <c r="ER41" s="749"/>
      <c r="ES41" s="749"/>
      <c r="ET41" s="749"/>
      <c r="EU41" s="749"/>
      <c r="EV41" s="749"/>
      <c r="EW41" s="749"/>
      <c r="EX41" s="749"/>
      <c r="EY41" s="749"/>
      <c r="EZ41" s="749"/>
      <c r="FA41" s="749"/>
      <c r="FB41" s="749"/>
      <c r="FC41" s="749"/>
      <c r="FD41" s="749"/>
      <c r="FE41" s="749"/>
      <c r="FF41" s="749"/>
      <c r="FG41" s="749"/>
      <c r="FH41" s="749"/>
      <c r="FI41" s="749"/>
      <c r="FJ41" s="749"/>
      <c r="FK41" s="749"/>
      <c r="FL41" s="749"/>
      <c r="FM41" s="749"/>
      <c r="FN41" s="749"/>
      <c r="FO41" s="749"/>
      <c r="FP41" s="749"/>
      <c r="FQ41" s="749"/>
      <c r="FR41" s="749"/>
      <c r="FS41" s="749"/>
      <c r="FT41" s="749"/>
      <c r="FU41" s="749"/>
      <c r="FV41" s="749"/>
      <c r="FW41" s="749"/>
      <c r="FX41" s="749"/>
      <c r="FY41" s="749"/>
      <c r="FZ41" s="749"/>
      <c r="GA41" s="749"/>
      <c r="GB41" s="749"/>
      <c r="GC41" s="749"/>
      <c r="GD41" s="749"/>
      <c r="GE41" s="749"/>
      <c r="GF41" s="749"/>
      <c r="GG41" s="749"/>
      <c r="GH41" s="749"/>
      <c r="GI41" s="749"/>
      <c r="GJ41" s="749"/>
      <c r="GK41" s="749"/>
      <c r="GL41" s="749"/>
      <c r="GM41" s="749"/>
      <c r="GN41" s="749"/>
      <c r="GO41" s="749"/>
      <c r="GP41" s="749"/>
      <c r="GQ41" s="749"/>
      <c r="GR41" s="749"/>
      <c r="GS41" s="749"/>
      <c r="GT41" s="749"/>
      <c r="GU41" s="749"/>
      <c r="GV41" s="749"/>
      <c r="GW41" s="749"/>
      <c r="GX41" s="749"/>
      <c r="GY41" s="749"/>
      <c r="GZ41" s="749"/>
      <c r="HA41" s="749"/>
      <c r="HB41" s="749"/>
      <c r="HC41" s="749"/>
    </row>
    <row r="42" spans="1:211" s="435" customFormat="1" ht="17" thickBot="1">
      <c r="A42" s="444"/>
      <c r="B42" s="444"/>
      <c r="C42" s="444"/>
      <c r="D42" s="444"/>
      <c r="E42" s="444"/>
      <c r="F42" s="444"/>
      <c r="G42" s="444"/>
      <c r="H42" s="444"/>
      <c r="I42" s="444"/>
      <c r="J42" s="444"/>
      <c r="K42" s="437"/>
      <c r="L42" s="437"/>
      <c r="M42" s="437"/>
      <c r="N42" s="437"/>
      <c r="O42" s="437"/>
      <c r="P42" s="437"/>
      <c r="Q42" s="437"/>
      <c r="R42" s="437"/>
      <c r="S42" s="437"/>
      <c r="T42" s="437"/>
      <c r="U42" s="437"/>
      <c r="V42" s="437"/>
      <c r="W42" s="437"/>
      <c r="X42" s="765"/>
      <c r="Y42" s="454"/>
      <c r="Z42" s="445"/>
      <c r="AA42" s="446"/>
      <c r="AB42" s="445"/>
      <c r="AC42" s="445"/>
      <c r="AD42" s="446"/>
      <c r="AE42" s="446"/>
      <c r="AF42" s="446"/>
      <c r="AG42" s="446"/>
      <c r="AR42" s="447"/>
      <c r="AS42" s="447"/>
      <c r="AT42" s="447"/>
      <c r="AU42" s="447"/>
      <c r="AV42" s="447"/>
      <c r="AW42" s="447"/>
      <c r="AX42" s="447"/>
      <c r="AY42" s="447"/>
      <c r="AZ42" s="447"/>
      <c r="BA42" s="447"/>
      <c r="BB42" s="447"/>
      <c r="BC42" s="446"/>
      <c r="BD42" s="446"/>
      <c r="BE42" s="446"/>
      <c r="BF42" s="446"/>
      <c r="BG42" s="448"/>
      <c r="BR42" s="447"/>
      <c r="BS42" s="447"/>
      <c r="BT42" s="447"/>
      <c r="BU42" s="447"/>
      <c r="BV42" s="447"/>
      <c r="BW42" s="447"/>
      <c r="BX42" s="447"/>
      <c r="BY42" s="447"/>
      <c r="BZ42" s="447"/>
      <c r="CA42" s="447"/>
      <c r="CB42" s="446"/>
      <c r="CC42" s="446"/>
      <c r="CD42" s="448"/>
      <c r="CO42" s="447"/>
      <c r="CP42" s="447"/>
      <c r="CQ42" s="447"/>
      <c r="CR42" s="447"/>
      <c r="CS42" s="447"/>
      <c r="CT42" s="447"/>
      <c r="CU42" s="447"/>
      <c r="CV42" s="447"/>
      <c r="CW42" s="447"/>
      <c r="CX42" s="458"/>
      <c r="CY42" s="458"/>
      <c r="DN42" s="708"/>
      <c r="DO42" s="708"/>
      <c r="DP42" s="708"/>
      <c r="DQ42" s="708"/>
      <c r="DR42" s="708"/>
      <c r="DS42" s="708"/>
      <c r="DT42" s="708"/>
      <c r="DU42" s="708"/>
      <c r="DV42" s="708"/>
      <c r="DW42" s="708"/>
      <c r="DX42" s="708"/>
      <c r="DY42" s="708"/>
      <c r="DZ42" s="708"/>
      <c r="EA42" s="708"/>
      <c r="EB42" s="708"/>
      <c r="EC42" s="708"/>
      <c r="ED42" s="708"/>
      <c r="EE42" s="708"/>
      <c r="EF42" s="708"/>
      <c r="EG42" s="708"/>
      <c r="EH42" s="708"/>
      <c r="EI42" s="708"/>
      <c r="EJ42" s="708"/>
      <c r="EK42" s="708"/>
      <c r="EL42" s="708"/>
      <c r="EM42" s="708"/>
      <c r="EN42" s="708"/>
      <c r="EO42" s="708"/>
      <c r="EP42" s="708"/>
      <c r="EQ42" s="708"/>
      <c r="ER42" s="708"/>
      <c r="ES42" s="708"/>
      <c r="ET42" s="708"/>
      <c r="EU42" s="708"/>
      <c r="EV42" s="708"/>
      <c r="EW42" s="708"/>
      <c r="EX42" s="708"/>
      <c r="EY42" s="708"/>
      <c r="EZ42" s="708"/>
      <c r="FA42" s="708"/>
      <c r="FB42" s="708"/>
      <c r="FC42" s="708"/>
      <c r="FD42" s="708"/>
      <c r="FE42" s="708"/>
      <c r="FF42" s="708"/>
      <c r="FG42" s="708"/>
      <c r="FH42" s="708"/>
      <c r="FI42" s="708"/>
      <c r="FJ42" s="708"/>
      <c r="FK42" s="708"/>
      <c r="FL42" s="708"/>
      <c r="FM42" s="708"/>
      <c r="FN42" s="708"/>
      <c r="FO42" s="708"/>
      <c r="FP42" s="708"/>
      <c r="FQ42" s="708"/>
      <c r="FR42" s="708"/>
      <c r="FS42" s="708"/>
      <c r="FT42" s="708"/>
      <c r="FU42" s="708"/>
      <c r="FV42" s="708"/>
      <c r="FW42" s="708"/>
      <c r="FX42" s="708"/>
      <c r="FY42" s="708"/>
      <c r="FZ42" s="708"/>
      <c r="GA42" s="708"/>
      <c r="GB42" s="708"/>
      <c r="GC42" s="708"/>
      <c r="GD42" s="708"/>
      <c r="GE42" s="708"/>
      <c r="GF42" s="708"/>
      <c r="GG42" s="708"/>
      <c r="GH42" s="708"/>
      <c r="GI42" s="708"/>
      <c r="GJ42" s="708"/>
      <c r="GK42" s="708"/>
      <c r="GL42" s="708"/>
      <c r="GM42" s="708"/>
      <c r="GN42" s="708"/>
      <c r="GO42" s="708"/>
      <c r="GP42" s="708"/>
      <c r="GQ42" s="708"/>
      <c r="GR42" s="708"/>
      <c r="GS42" s="708"/>
      <c r="GT42" s="708"/>
      <c r="GU42" s="708"/>
      <c r="GV42" s="708"/>
      <c r="GW42" s="708"/>
      <c r="GX42" s="708"/>
      <c r="GY42" s="708"/>
      <c r="GZ42" s="708"/>
      <c r="HA42" s="708"/>
      <c r="HB42" s="708"/>
      <c r="HC42" s="708"/>
    </row>
    <row r="43" spans="1:211" ht="70" customHeight="1">
      <c r="A43" s="1138" t="str">
        <f>"Arbejdstid for "&amp;A8&amp;" måned:"</f>
        <v>Arbejdstid for August måned:</v>
      </c>
      <c r="B43" s="1139"/>
      <c r="C43" s="1139"/>
      <c r="D43" s="1139"/>
      <c r="E43" s="1139"/>
      <c r="F43" s="1139"/>
      <c r="G43" s="1139"/>
      <c r="H43" s="571" t="s">
        <v>303</v>
      </c>
      <c r="I43" s="1139" t="s">
        <v>264</v>
      </c>
      <c r="J43" s="1140"/>
      <c r="K43" s="1141"/>
      <c r="L43" s="472"/>
      <c r="M43" s="1164" t="str">
        <f>"Ulempetimer og weekendtimer i "&amp;A6&amp;""</f>
        <v>Ulempetimer og weekendtimer i August måneds kalender for: Beate Simonsen. Måneden vedr. normperioden: 01.08.2022 - 31.07.2023.</v>
      </c>
      <c r="N43" s="1165"/>
      <c r="O43" s="1165"/>
      <c r="P43" s="1165"/>
      <c r="Q43" s="1165"/>
      <c r="R43" s="1165"/>
      <c r="S43" s="1165"/>
      <c r="T43" s="1165"/>
      <c r="U43" s="1165"/>
      <c r="V43" s="1165"/>
      <c r="W43" s="1165"/>
      <c r="X43" s="1166"/>
      <c r="Y43" s="386"/>
      <c r="Z43" s="437"/>
      <c r="AA43" s="437"/>
      <c r="AB43" s="437"/>
      <c r="AG43" s="124"/>
      <c r="AH43" s="124"/>
      <c r="BB43" s="436"/>
      <c r="BO43" s="1"/>
      <c r="CL43" s="1"/>
      <c r="CW43" s="455"/>
      <c r="CX43" s="455"/>
      <c r="CY43"/>
      <c r="CZ43"/>
      <c r="DN43" s="580"/>
      <c r="DO43" s="580"/>
      <c r="DP43" s="580"/>
      <c r="DQ43" s="580"/>
      <c r="DR43" s="580"/>
      <c r="DS43" s="580"/>
      <c r="DT43" s="580"/>
      <c r="DU43" s="580"/>
      <c r="DV43" s="580"/>
      <c r="DW43" s="580"/>
      <c r="DX43" s="580"/>
      <c r="DY43" s="580"/>
      <c r="DZ43" s="580"/>
      <c r="EA43" s="580"/>
      <c r="EB43" s="580"/>
      <c r="EC43" s="580"/>
      <c r="ED43" s="580"/>
      <c r="EE43" s="580"/>
      <c r="EF43" s="580"/>
      <c r="EG43" s="580"/>
      <c r="EH43" s="580"/>
      <c r="EI43" s="580"/>
      <c r="EJ43" s="580"/>
      <c r="EK43" s="580"/>
      <c r="EL43" s="580"/>
      <c r="EM43" s="580"/>
      <c r="EN43" s="580"/>
      <c r="EO43" s="580"/>
      <c r="EP43" s="580"/>
      <c r="EQ43" s="580"/>
      <c r="ER43" s="580"/>
      <c r="ES43" s="580"/>
      <c r="ET43" s="580"/>
      <c r="EU43" s="580"/>
      <c r="EV43" s="580"/>
      <c r="EW43" s="580"/>
      <c r="EX43" s="580"/>
      <c r="EY43" s="580"/>
      <c r="EZ43" s="580"/>
      <c r="FA43" s="580"/>
      <c r="FB43" s="580"/>
      <c r="FC43" s="580"/>
      <c r="FD43" s="580"/>
      <c r="FE43" s="580"/>
      <c r="FF43" s="580"/>
      <c r="FG43" s="580"/>
      <c r="FH43" s="580"/>
      <c r="FI43" s="580"/>
      <c r="FJ43" s="580"/>
      <c r="FK43" s="580"/>
      <c r="FL43" s="580"/>
      <c r="FM43" s="580"/>
      <c r="FN43" s="580"/>
      <c r="FO43" s="580"/>
      <c r="FP43" s="580"/>
      <c r="FQ43" s="580"/>
      <c r="FR43" s="580"/>
      <c r="FS43" s="580"/>
      <c r="FT43" s="580"/>
      <c r="FU43" s="580"/>
      <c r="FV43" s="580"/>
      <c r="FW43" s="580"/>
      <c r="FX43" s="580"/>
      <c r="FY43" s="580"/>
      <c r="FZ43" s="580"/>
      <c r="GA43" s="580"/>
      <c r="GB43" s="580"/>
      <c r="GC43" s="580"/>
      <c r="GD43" s="580"/>
      <c r="GE43" s="580"/>
      <c r="GF43" s="580"/>
      <c r="GG43" s="580"/>
      <c r="GH43" s="580"/>
      <c r="GI43" s="580"/>
      <c r="GJ43" s="580"/>
      <c r="GK43" s="580"/>
      <c r="GL43" s="580"/>
      <c r="GM43" s="580"/>
      <c r="GN43" s="580"/>
      <c r="GO43" s="580"/>
      <c r="GP43" s="580"/>
      <c r="GQ43" s="580"/>
      <c r="GR43" s="580"/>
      <c r="GS43" s="580"/>
      <c r="GT43" s="580"/>
      <c r="GU43" s="580"/>
      <c r="GV43" s="580"/>
      <c r="GW43" s="580"/>
      <c r="GX43" s="580"/>
      <c r="GY43" s="580"/>
      <c r="GZ43" s="580"/>
      <c r="HA43" s="580"/>
      <c r="HB43" s="580"/>
      <c r="HC43" s="580"/>
    </row>
    <row r="44" spans="1:211">
      <c r="A44" s="1105" t="s">
        <v>302</v>
      </c>
      <c r="B44" s="1106"/>
      <c r="C44" s="1106"/>
      <c r="D44" s="1106"/>
      <c r="E44" s="1106"/>
      <c r="F44" s="1106"/>
      <c r="G44" s="1106"/>
      <c r="H44" s="466">
        <f>D68</f>
        <v>23</v>
      </c>
      <c r="I44" s="1107">
        <f>IF(Stamoplysninger!$E$12="Ja",1924/Arbejdstidsoversigt!$K$9*Stamoplysninger!$E$15*$H$44,August!$H$44*7.4*Stamoplysninger!$E$13)</f>
        <v>169.54789272030652</v>
      </c>
      <c r="J44" s="1108"/>
      <c r="K44" s="1109"/>
      <c r="L44" s="468"/>
      <c r="M44" s="1167" t="s">
        <v>368</v>
      </c>
      <c r="N44" s="1168"/>
      <c r="O44" s="1168"/>
      <c r="P44" s="1168"/>
      <c r="Q44" s="1168"/>
      <c r="R44" s="1168"/>
      <c r="S44" s="1168"/>
      <c r="T44" s="1168"/>
      <c r="U44" s="1168"/>
      <c r="V44" s="1169">
        <f>M63+S62+T62+M66+M70+M64+N63+N70</f>
        <v>1.75</v>
      </c>
      <c r="W44" s="1169"/>
      <c r="X44" s="1170"/>
      <c r="Y44" s="437"/>
      <c r="Z44" s="437"/>
      <c r="AA44" s="437"/>
      <c r="AB44" s="437"/>
      <c r="AG44" s="124"/>
      <c r="AH44" s="124"/>
      <c r="BB44" s="436"/>
      <c r="BO44" s="1"/>
      <c r="CL44" s="1"/>
      <c r="CW44" s="455"/>
      <c r="CX44" s="455"/>
      <c r="CY44"/>
      <c r="CZ44"/>
      <c r="DN44" s="580"/>
      <c r="DO44" s="580"/>
      <c r="DP44" s="580"/>
      <c r="DQ44" s="580"/>
      <c r="DR44" s="580"/>
      <c r="DS44" s="580"/>
      <c r="DT44" s="580"/>
      <c r="DU44" s="580"/>
      <c r="DV44" s="580"/>
      <c r="DW44" s="580"/>
      <c r="DX44" s="580"/>
      <c r="DY44" s="580"/>
      <c r="DZ44" s="580"/>
      <c r="EA44" s="580"/>
      <c r="EB44" s="580"/>
      <c r="EC44" s="580"/>
      <c r="ED44" s="580"/>
      <c r="EE44" s="580"/>
      <c r="EF44" s="580"/>
      <c r="EG44" s="580"/>
      <c r="EH44" s="580"/>
      <c r="EI44" s="580"/>
      <c r="EJ44" s="580"/>
      <c r="EK44" s="580"/>
      <c r="EL44" s="580"/>
      <c r="EM44" s="580"/>
      <c r="EN44" s="580"/>
      <c r="EO44" s="580"/>
      <c r="EP44" s="580"/>
      <c r="EQ44" s="580"/>
      <c r="ER44" s="580"/>
      <c r="ES44" s="580"/>
      <c r="ET44" s="580"/>
      <c r="EU44" s="580"/>
      <c r="EV44" s="580"/>
      <c r="EW44" s="580"/>
      <c r="EX44" s="580"/>
      <c r="EY44" s="580"/>
      <c r="EZ44" s="580"/>
      <c r="FA44" s="580"/>
      <c r="FB44" s="580"/>
      <c r="FC44" s="580"/>
      <c r="FD44" s="580"/>
      <c r="FE44" s="580"/>
      <c r="FF44" s="580"/>
      <c r="FG44" s="580"/>
      <c r="FH44" s="580"/>
      <c r="FI44" s="580"/>
      <c r="FJ44" s="580"/>
      <c r="FK44" s="580"/>
      <c r="FL44" s="580"/>
      <c r="FM44" s="580"/>
      <c r="FN44" s="580"/>
      <c r="FO44" s="580"/>
      <c r="FP44" s="580"/>
      <c r="FQ44" s="580"/>
      <c r="FR44" s="580"/>
      <c r="FS44" s="580"/>
      <c r="FT44" s="580"/>
      <c r="FU44" s="580"/>
      <c r="FV44" s="580"/>
      <c r="FW44" s="580"/>
      <c r="FX44" s="580"/>
      <c r="FY44" s="580"/>
      <c r="FZ44" s="580"/>
      <c r="GA44" s="580"/>
      <c r="GB44" s="580"/>
      <c r="GC44" s="580"/>
      <c r="GD44" s="580"/>
      <c r="GE44" s="580"/>
      <c r="GF44" s="580"/>
      <c r="GG44" s="580"/>
      <c r="GH44" s="580"/>
      <c r="GI44" s="580"/>
      <c r="GJ44" s="580"/>
      <c r="GK44" s="580"/>
      <c r="GL44" s="580"/>
      <c r="GM44" s="580"/>
      <c r="GN44" s="580"/>
      <c r="GO44" s="580"/>
      <c r="GP44" s="580"/>
      <c r="GQ44" s="580"/>
      <c r="GR44" s="580"/>
      <c r="GS44" s="580"/>
      <c r="GT44" s="580"/>
      <c r="GU44" s="580"/>
      <c r="GV44" s="580"/>
      <c r="GW44" s="580"/>
      <c r="GX44" s="580"/>
      <c r="GY44" s="580"/>
      <c r="GZ44" s="580"/>
      <c r="HA44" s="580"/>
      <c r="HB44" s="580"/>
      <c r="HC44" s="580"/>
    </row>
    <row r="45" spans="1:211">
      <c r="A45" s="1105" t="str">
        <f>"Ferie "&amp;A8&amp;" måned"</f>
        <v>Ferie August måned</v>
      </c>
      <c r="B45" s="1106"/>
      <c r="C45" s="1106"/>
      <c r="D45" s="1106"/>
      <c r="E45" s="1106"/>
      <c r="F45" s="1106"/>
      <c r="G45" s="1106"/>
      <c r="H45" s="467">
        <f>IF(D63&gt;0,$D$63,"0")</f>
        <v>2</v>
      </c>
      <c r="I45" s="1110">
        <f>H45*7.4*Stamoplysninger!$E$15</f>
        <v>14.8</v>
      </c>
      <c r="J45" s="1111"/>
      <c r="K45" s="1112"/>
      <c r="L45" s="468"/>
      <c r="M45" s="1171" t="s">
        <v>307</v>
      </c>
      <c r="N45" s="1172"/>
      <c r="O45" s="1172"/>
      <c r="P45" s="1172"/>
      <c r="Q45" s="1172"/>
      <c r="R45" s="1172"/>
      <c r="S45" s="1172"/>
      <c r="T45" s="1172"/>
      <c r="U45" s="1172"/>
      <c r="V45" s="1173">
        <f>M62+S61+T61+M65+M69+M61+N61+N69</f>
        <v>0</v>
      </c>
      <c r="W45" s="1173"/>
      <c r="X45" s="1174"/>
      <c r="Y45" s="437"/>
      <c r="Z45" s="437"/>
      <c r="AA45" s="437"/>
      <c r="AB45" s="437"/>
      <c r="AG45" s="124"/>
      <c r="AH45" s="124"/>
      <c r="BB45" s="436"/>
      <c r="BO45" s="1"/>
      <c r="CL45" s="1"/>
      <c r="CW45" s="455"/>
      <c r="CX45" s="455"/>
      <c r="CY45"/>
      <c r="CZ45"/>
      <c r="DN45" s="580"/>
      <c r="DO45" s="580"/>
      <c r="DP45" s="580"/>
      <c r="DQ45" s="580"/>
      <c r="DR45" s="580"/>
      <c r="DS45" s="580"/>
      <c r="DT45" s="580"/>
      <c r="DU45" s="580"/>
      <c r="DV45" s="580"/>
      <c r="DW45" s="580"/>
      <c r="DX45" s="580"/>
      <c r="DY45" s="580"/>
      <c r="DZ45" s="580"/>
      <c r="EA45" s="580"/>
      <c r="EB45" s="580"/>
      <c r="EC45" s="580"/>
      <c r="ED45" s="580"/>
      <c r="EE45" s="580"/>
      <c r="EF45" s="580"/>
      <c r="EG45" s="580"/>
      <c r="EH45" s="580"/>
      <c r="EI45" s="580"/>
      <c r="EJ45" s="580"/>
      <c r="EK45" s="580"/>
      <c r="EL45" s="580"/>
      <c r="EM45" s="580"/>
      <c r="EN45" s="580"/>
      <c r="EO45" s="580"/>
      <c r="EP45" s="580"/>
      <c r="EQ45" s="580"/>
      <c r="ER45" s="580"/>
      <c r="ES45" s="580"/>
      <c r="ET45" s="580"/>
      <c r="EU45" s="580"/>
      <c r="EV45" s="580"/>
      <c r="EW45" s="580"/>
      <c r="EX45" s="580"/>
      <c r="EY45" s="580"/>
      <c r="EZ45" s="580"/>
      <c r="FA45" s="580"/>
      <c r="FB45" s="580"/>
      <c r="FC45" s="580"/>
      <c r="FD45" s="580"/>
      <c r="FE45" s="580"/>
      <c r="FF45" s="580"/>
      <c r="FG45" s="580"/>
      <c r="FH45" s="580"/>
      <c r="FI45" s="580"/>
      <c r="FJ45" s="580"/>
      <c r="FK45" s="580"/>
      <c r="FL45" s="580"/>
      <c r="FM45" s="580"/>
      <c r="FN45" s="580"/>
      <c r="FO45" s="580"/>
      <c r="FP45" s="580"/>
      <c r="FQ45" s="580"/>
      <c r="FR45" s="580"/>
      <c r="FS45" s="580"/>
      <c r="FT45" s="580"/>
      <c r="FU45" s="580"/>
      <c r="FV45" s="580"/>
      <c r="FW45" s="580"/>
      <c r="FX45" s="580"/>
      <c r="FY45" s="580"/>
      <c r="FZ45" s="580"/>
      <c r="GA45" s="580"/>
      <c r="GB45" s="580"/>
      <c r="GC45" s="580"/>
      <c r="GD45" s="580"/>
      <c r="GE45" s="580"/>
      <c r="GF45" s="580"/>
      <c r="GG45" s="580"/>
      <c r="GH45" s="580"/>
      <c r="GI45" s="580"/>
      <c r="GJ45" s="580"/>
      <c r="GK45" s="580"/>
      <c r="GL45" s="580"/>
      <c r="GM45" s="580"/>
      <c r="GN45" s="580"/>
      <c r="GO45" s="580"/>
      <c r="GP45" s="580"/>
      <c r="GQ45" s="580"/>
      <c r="GR45" s="580"/>
      <c r="GS45" s="580"/>
      <c r="GT45" s="580"/>
      <c r="GU45" s="580"/>
      <c r="GV45" s="580"/>
      <c r="GW45" s="580"/>
      <c r="GX45" s="580"/>
      <c r="GY45" s="580"/>
      <c r="GZ45" s="580"/>
      <c r="HA45" s="580"/>
      <c r="HB45" s="580"/>
      <c r="HC45" s="580"/>
    </row>
    <row r="46" spans="1:211">
      <c r="A46" s="1105" t="str">
        <f>"Søgnehelligdage i "&amp;A8&amp;" måned"</f>
        <v>Søgnehelligdage i August måned</v>
      </c>
      <c r="B46" s="1106"/>
      <c r="C46" s="1106"/>
      <c r="D46" s="1106"/>
      <c r="E46" s="1106"/>
      <c r="F46" s="1106"/>
      <c r="G46" s="1106"/>
      <c r="H46" s="467">
        <f>IF(D62&gt;0,D62,0)</f>
        <v>0</v>
      </c>
      <c r="I46" s="1110">
        <f>H46*7.4*Stamoplysninger!$E$15</f>
        <v>0</v>
      </c>
      <c r="J46" s="1111"/>
      <c r="K46" s="1112"/>
      <c r="L46" s="678"/>
      <c r="M46" s="1175" t="s">
        <v>559</v>
      </c>
      <c r="N46" s="1176"/>
      <c r="O46" s="1176"/>
      <c r="P46" s="1176"/>
      <c r="Q46" s="1176"/>
      <c r="R46" s="1176"/>
      <c r="S46" s="1176"/>
      <c r="T46" s="1176"/>
      <c r="U46" s="1176"/>
      <c r="V46" s="1132">
        <f>August!V58</f>
        <v>0</v>
      </c>
      <c r="W46" s="1132"/>
      <c r="X46" s="1133"/>
      <c r="Y46" s="437"/>
      <c r="Z46" s="437"/>
      <c r="AA46" s="437"/>
      <c r="AB46" s="437"/>
      <c r="AG46" s="124"/>
      <c r="AH46" s="124"/>
      <c r="BB46" s="436"/>
      <c r="BO46" s="1"/>
      <c r="CL46" s="1"/>
      <c r="CW46" s="455"/>
      <c r="CX46" s="455"/>
      <c r="CY46"/>
      <c r="CZ46"/>
      <c r="DN46" s="580"/>
      <c r="DO46" s="580"/>
      <c r="DP46" s="580"/>
      <c r="DQ46" s="580"/>
      <c r="DR46" s="580"/>
      <c r="DS46" s="580"/>
      <c r="DT46" s="580"/>
      <c r="DU46" s="580"/>
      <c r="DV46" s="580"/>
      <c r="DW46" s="580"/>
      <c r="DX46" s="580"/>
      <c r="DY46" s="580"/>
      <c r="DZ46" s="580"/>
      <c r="EA46" s="580"/>
      <c r="EB46" s="580"/>
      <c r="EC46" s="580"/>
      <c r="ED46" s="580"/>
      <c r="EE46" s="580"/>
      <c r="EF46" s="580"/>
      <c r="EG46" s="580"/>
      <c r="EH46" s="580"/>
      <c r="EI46" s="580"/>
      <c r="EJ46" s="580"/>
      <c r="EK46" s="580"/>
      <c r="EL46" s="580"/>
      <c r="EM46" s="580"/>
      <c r="EN46" s="580"/>
      <c r="EO46" s="580"/>
      <c r="EP46" s="580"/>
      <c r="EQ46" s="580"/>
      <c r="ER46" s="580"/>
      <c r="ES46" s="580"/>
      <c r="ET46" s="580"/>
      <c r="EU46" s="580"/>
      <c r="EV46" s="580"/>
      <c r="EW46" s="580"/>
      <c r="EX46" s="580"/>
      <c r="EY46" s="580"/>
      <c r="EZ46" s="580"/>
      <c r="FA46" s="580"/>
      <c r="FB46" s="580"/>
      <c r="FC46" s="580"/>
      <c r="FD46" s="580"/>
      <c r="FE46" s="580"/>
      <c r="FF46" s="580"/>
      <c r="FG46" s="580"/>
      <c r="FH46" s="580"/>
      <c r="FI46" s="580"/>
      <c r="FJ46" s="580"/>
      <c r="FK46" s="580"/>
      <c r="FL46" s="580"/>
      <c r="FM46" s="580"/>
      <c r="FN46" s="580"/>
      <c r="FO46" s="580"/>
      <c r="FP46" s="580"/>
      <c r="FQ46" s="580"/>
      <c r="FR46" s="580"/>
      <c r="FS46" s="580"/>
      <c r="FT46" s="580"/>
      <c r="FU46" s="580"/>
      <c r="FV46" s="580"/>
      <c r="FW46" s="580"/>
      <c r="FX46" s="580"/>
      <c r="FY46" s="580"/>
      <c r="FZ46" s="580"/>
      <c r="GA46" s="580"/>
      <c r="GB46" s="580"/>
      <c r="GC46" s="580"/>
      <c r="GD46" s="580"/>
      <c r="GE46" s="580"/>
      <c r="GF46" s="580"/>
      <c r="GG46" s="580"/>
      <c r="GH46" s="580"/>
      <c r="GI46" s="580"/>
      <c r="GJ46" s="580"/>
      <c r="GK46" s="580"/>
      <c r="GL46" s="580"/>
      <c r="GM46" s="580"/>
      <c r="GN46" s="580"/>
      <c r="GO46" s="580"/>
      <c r="GP46" s="580"/>
      <c r="GQ46" s="580"/>
      <c r="GR46" s="580"/>
      <c r="GS46" s="580"/>
      <c r="GT46" s="580"/>
      <c r="GU46" s="580"/>
      <c r="GV46" s="580"/>
      <c r="GW46" s="580"/>
      <c r="GX46" s="580"/>
      <c r="GY46" s="580"/>
      <c r="GZ46" s="580"/>
      <c r="HA46" s="580"/>
      <c r="HB46" s="580"/>
      <c r="HC46" s="580"/>
    </row>
    <row r="47" spans="1:211">
      <c r="A47" s="1105" t="str">
        <f>"Nettoarbejdstid ialt i "&amp;A8&amp;" måned"</f>
        <v>Nettoarbejdstid ialt i August måned</v>
      </c>
      <c r="B47" s="1106"/>
      <c r="C47" s="1106"/>
      <c r="D47" s="1106"/>
      <c r="E47" s="1106"/>
      <c r="F47" s="1106"/>
      <c r="G47" s="1106"/>
      <c r="H47" s="470">
        <f>H44-H45-H46</f>
        <v>21</v>
      </c>
      <c r="I47" s="1110">
        <f>I44-I45-I46</f>
        <v>154.74789272030651</v>
      </c>
      <c r="J47" s="1111"/>
      <c r="K47" s="1112"/>
      <c r="L47" s="678"/>
      <c r="M47" s="1134" t="s">
        <v>354</v>
      </c>
      <c r="N47" s="1135"/>
      <c r="O47" s="1135"/>
      <c r="P47" s="1135"/>
      <c r="Q47" s="1135"/>
      <c r="R47" s="1135"/>
      <c r="S47" s="1135"/>
      <c r="T47" s="1135"/>
      <c r="U47" s="1135"/>
      <c r="V47" s="1136">
        <f>V45+V46</f>
        <v>0</v>
      </c>
      <c r="W47" s="1136"/>
      <c r="X47" s="1137"/>
      <c r="Y47" s="437"/>
      <c r="Z47" s="437"/>
      <c r="AA47" s="437"/>
      <c r="AB47" s="437"/>
      <c r="AG47" s="124"/>
      <c r="AH47" s="124"/>
      <c r="BB47" s="436"/>
      <c r="BO47" s="1"/>
      <c r="CL47" s="1"/>
      <c r="CW47" s="455"/>
      <c r="CX47" s="455"/>
      <c r="CY47"/>
      <c r="CZ47"/>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row>
    <row r="48" spans="1:211">
      <c r="A48" s="1113" t="str">
        <f>"Planlagt arbejdstid efter ovennstående "&amp;A8&amp;" måned kalender"</f>
        <v>Planlagt arbejdstid efter ovennstående August måned kalender</v>
      </c>
      <c r="B48" s="1114"/>
      <c r="C48" s="1114"/>
      <c r="D48" s="1114"/>
      <c r="E48" s="1114"/>
      <c r="F48" s="1114"/>
      <c r="G48" s="1114"/>
      <c r="H48" s="866">
        <f>D54+D55+D56+D57+D58+D59+D60</f>
        <v>21</v>
      </c>
      <c r="I48" s="1115">
        <f>N41+R41-J57</f>
        <v>165</v>
      </c>
      <c r="J48" s="1116"/>
      <c r="K48" s="1117"/>
      <c r="L48" s="678"/>
      <c r="M48" s="1157" t="s">
        <v>345</v>
      </c>
      <c r="N48" s="1158"/>
      <c r="O48" s="1158"/>
      <c r="P48" s="1158"/>
      <c r="Q48" s="1158"/>
      <c r="R48" s="1158"/>
      <c r="S48" s="1158"/>
      <c r="T48" s="1158"/>
      <c r="U48" s="1158"/>
      <c r="V48" s="1158"/>
      <c r="W48" s="1158"/>
      <c r="X48" s="1159"/>
      <c r="Y48" s="437"/>
      <c r="Z48" s="437"/>
      <c r="AA48" s="437"/>
      <c r="AB48" s="437"/>
      <c r="AG48" s="124"/>
      <c r="AH48" s="124"/>
      <c r="BB48" s="436"/>
      <c r="BO48" s="1"/>
      <c r="CL48" s="1"/>
      <c r="CW48" s="455"/>
      <c r="CX48" s="455"/>
      <c r="CY48"/>
      <c r="CZ48"/>
      <c r="DN48" s="580"/>
      <c r="DO48" s="580"/>
      <c r="DP48" s="580"/>
      <c r="DQ48" s="580"/>
      <c r="DR48" s="580"/>
      <c r="DS48" s="580"/>
      <c r="DT48" s="580"/>
      <c r="DU48" s="580"/>
      <c r="DV48" s="580"/>
      <c r="DW48" s="580"/>
      <c r="DX48" s="580"/>
      <c r="DY48" s="580"/>
      <c r="DZ48" s="580"/>
      <c r="EA48" s="580"/>
      <c r="EB48" s="580"/>
      <c r="EC48" s="580"/>
      <c r="ED48" s="580"/>
      <c r="EE48" s="580"/>
      <c r="EF48" s="580"/>
      <c r="EG48" s="580"/>
      <c r="EH48" s="580"/>
      <c r="EI48" s="580"/>
      <c r="EJ48" s="580"/>
      <c r="EK48" s="580"/>
      <c r="EL48" s="580"/>
      <c r="EM48" s="580"/>
      <c r="EN48" s="580"/>
      <c r="EO48" s="580"/>
      <c r="EP48" s="580"/>
      <c r="EQ48" s="580"/>
      <c r="ER48" s="580"/>
      <c r="ES48" s="580"/>
      <c r="ET48" s="580"/>
      <c r="EU48" s="580"/>
      <c r="EV48" s="580"/>
      <c r="EW48" s="580"/>
      <c r="EX48" s="580"/>
      <c r="EY48" s="580"/>
      <c r="EZ48" s="580"/>
      <c r="FA48" s="580"/>
      <c r="FB48" s="580"/>
      <c r="FC48" s="580"/>
      <c r="FD48" s="580"/>
      <c r="FE48" s="580"/>
      <c r="FF48" s="580"/>
      <c r="FG48" s="580"/>
      <c r="FH48" s="580"/>
      <c r="FI48" s="580"/>
      <c r="FJ48" s="580"/>
      <c r="FK48" s="580"/>
      <c r="FL48" s="580"/>
      <c r="FM48" s="580"/>
      <c r="FN48" s="580"/>
      <c r="FO48" s="580"/>
      <c r="FP48" s="580"/>
      <c r="FQ48" s="580"/>
      <c r="FR48" s="580"/>
      <c r="FS48" s="580"/>
      <c r="FT48" s="580"/>
      <c r="FU48" s="580"/>
      <c r="FV48" s="580"/>
      <c r="FW48" s="580"/>
      <c r="FX48" s="580"/>
      <c r="FY48" s="580"/>
      <c r="FZ48" s="580"/>
      <c r="GA48" s="580"/>
      <c r="GB48" s="580"/>
      <c r="GC48" s="580"/>
      <c r="GD48" s="580"/>
      <c r="GE48" s="580"/>
      <c r="GF48" s="580"/>
      <c r="GG48" s="580"/>
      <c r="GH48" s="580"/>
      <c r="GI48" s="580"/>
      <c r="GJ48" s="580"/>
      <c r="GK48" s="580"/>
      <c r="GL48" s="580"/>
      <c r="GM48" s="580"/>
      <c r="GN48" s="580"/>
      <c r="GO48" s="580"/>
      <c r="GP48" s="580"/>
      <c r="GQ48" s="580"/>
      <c r="GR48" s="580"/>
      <c r="GS48" s="580"/>
      <c r="GT48" s="580"/>
      <c r="GU48" s="580"/>
      <c r="GV48" s="580"/>
      <c r="GW48" s="580"/>
      <c r="GX48" s="580"/>
      <c r="GY48" s="580"/>
      <c r="GZ48" s="580"/>
      <c r="HA48" s="580"/>
      <c r="HB48" s="580"/>
      <c r="HC48" s="580"/>
    </row>
    <row r="49" spans="1:211">
      <c r="A49" s="1121" t="s">
        <v>574</v>
      </c>
      <c r="B49" s="1122"/>
      <c r="C49" s="1122"/>
      <c r="D49" s="1122"/>
      <c r="E49" s="1122"/>
      <c r="F49" s="1122"/>
      <c r="G49" s="1122"/>
      <c r="H49" s="1123"/>
      <c r="I49" s="1118">
        <f>(M61+M63+M71+M73+M67+M68+M72)*-1</f>
        <v>0</v>
      </c>
      <c r="J49" s="1119"/>
      <c r="K49" s="1120"/>
      <c r="L49" s="678"/>
      <c r="M49" s="1160" t="s">
        <v>633</v>
      </c>
      <c r="N49" s="1161"/>
      <c r="O49" s="1161"/>
      <c r="P49" s="1161"/>
      <c r="Q49" s="1161"/>
      <c r="R49" s="1161"/>
      <c r="S49" s="1161"/>
      <c r="T49" s="1161"/>
      <c r="U49" s="1161"/>
      <c r="V49" s="1162" t="s">
        <v>264</v>
      </c>
      <c r="W49" s="1162"/>
      <c r="X49" s="1163"/>
      <c r="Y49" s="437"/>
      <c r="Z49" s="437"/>
      <c r="AA49" s="437"/>
      <c r="AB49" s="437"/>
      <c r="AG49" s="124"/>
      <c r="AH49" s="124"/>
      <c r="BB49" s="436"/>
      <c r="BO49" s="1"/>
      <c r="CL49" s="1"/>
      <c r="CW49" s="455"/>
      <c r="CX49" s="455"/>
      <c r="CY49"/>
      <c r="CZ49"/>
      <c r="DN49" s="580"/>
      <c r="DO49" s="580"/>
      <c r="DP49" s="580"/>
      <c r="DQ49" s="580"/>
      <c r="DR49" s="580"/>
      <c r="DS49" s="580"/>
      <c r="DT49" s="580"/>
      <c r="DU49" s="580"/>
      <c r="DV49" s="580"/>
      <c r="DW49" s="580"/>
      <c r="DX49" s="580"/>
      <c r="DY49" s="580"/>
      <c r="DZ49" s="580"/>
      <c r="EA49" s="580"/>
      <c r="EB49" s="580"/>
      <c r="EC49" s="580"/>
      <c r="ED49" s="580"/>
      <c r="EE49" s="580"/>
      <c r="EF49" s="580"/>
      <c r="EG49" s="580"/>
      <c r="EH49" s="580"/>
      <c r="EI49" s="580"/>
      <c r="EJ49" s="580"/>
      <c r="EK49" s="580"/>
      <c r="EL49" s="580"/>
      <c r="EM49" s="580"/>
      <c r="EN49" s="580"/>
      <c r="EO49" s="580"/>
      <c r="EP49" s="580"/>
      <c r="EQ49" s="580"/>
      <c r="ER49" s="580"/>
      <c r="ES49" s="580"/>
      <c r="ET49" s="580"/>
      <c r="EU49" s="580"/>
      <c r="EV49" s="580"/>
      <c r="EW49" s="580"/>
      <c r="EX49" s="580"/>
      <c r="EY49" s="580"/>
      <c r="EZ49" s="580"/>
      <c r="FA49" s="580"/>
      <c r="FB49" s="580"/>
      <c r="FC49" s="580"/>
      <c r="FD49" s="580"/>
      <c r="FE49" s="580"/>
      <c r="FF49" s="580"/>
      <c r="FG49" s="580"/>
      <c r="FH49" s="580"/>
      <c r="FI49" s="580"/>
      <c r="FJ49" s="580"/>
      <c r="FK49" s="580"/>
      <c r="FL49" s="580"/>
      <c r="FM49" s="580"/>
      <c r="FN49" s="580"/>
      <c r="FO49" s="580"/>
      <c r="FP49" s="580"/>
      <c r="FQ49" s="580"/>
      <c r="FR49" s="580"/>
      <c r="FS49" s="580"/>
      <c r="FT49" s="580"/>
      <c r="FU49" s="580"/>
      <c r="FV49" s="580"/>
      <c r="FW49" s="580"/>
      <c r="FX49" s="580"/>
      <c r="FY49" s="580"/>
      <c r="FZ49" s="580"/>
      <c r="GA49" s="580"/>
      <c r="GB49" s="580"/>
      <c r="GC49" s="580"/>
      <c r="GD49" s="580"/>
      <c r="GE49" s="580"/>
      <c r="GF49" s="580"/>
      <c r="GG49" s="580"/>
      <c r="GH49" s="580"/>
      <c r="GI49" s="580"/>
      <c r="GJ49" s="580"/>
      <c r="GK49" s="580"/>
      <c r="GL49" s="580"/>
      <c r="GM49" s="580"/>
      <c r="GN49" s="580"/>
      <c r="GO49" s="580"/>
      <c r="GP49" s="580"/>
      <c r="GQ49" s="580"/>
      <c r="GR49" s="580"/>
      <c r="GS49" s="580"/>
      <c r="GT49" s="580"/>
      <c r="GU49" s="580"/>
      <c r="GV49" s="580"/>
      <c r="GW49" s="580"/>
      <c r="GX49" s="580"/>
      <c r="GY49" s="580"/>
      <c r="GZ49" s="580"/>
      <c r="HA49" s="580"/>
      <c r="HB49" s="580"/>
      <c r="HC49" s="580"/>
    </row>
    <row r="50" spans="1:211">
      <c r="A50" s="1126" t="str">
        <f>"Arbejde særligt planlagt for "&amp;A8&amp;" måned efter fanen skemaoplysninger"</f>
        <v>Arbejde særligt planlagt for August måned efter fanen skemaoplysninger</v>
      </c>
      <c r="B50" s="1127"/>
      <c r="C50" s="1127"/>
      <c r="D50" s="1127"/>
      <c r="E50" s="1127"/>
      <c r="F50" s="1127"/>
      <c r="G50" s="1127"/>
      <c r="H50" s="1128"/>
      <c r="I50" s="1116">
        <f>Skemaoplysninger!K67</f>
        <v>10</v>
      </c>
      <c r="J50" s="1124"/>
      <c r="K50" s="1125"/>
      <c r="L50" s="679"/>
      <c r="M50" s="1147"/>
      <c r="N50" s="1148"/>
      <c r="O50" s="1148"/>
      <c r="P50" s="1148"/>
      <c r="Q50" s="1148"/>
      <c r="R50" s="1148"/>
      <c r="S50" s="1148"/>
      <c r="T50" s="1148"/>
      <c r="U50" s="1148"/>
      <c r="V50" s="1149"/>
      <c r="W50" s="1149"/>
      <c r="X50" s="1150"/>
      <c r="Y50" s="437"/>
      <c r="Z50" s="437"/>
      <c r="AA50" s="437"/>
      <c r="AB50" s="437"/>
      <c r="AG50" s="124"/>
      <c r="AH50" s="124"/>
      <c r="BB50" s="436"/>
      <c r="BO50" s="1"/>
      <c r="CL50" s="1"/>
      <c r="CW50" s="455"/>
      <c r="CX50" s="455"/>
      <c r="CY50"/>
      <c r="CZ50"/>
      <c r="DN50" s="580"/>
      <c r="DO50" s="580"/>
      <c r="DP50" s="580"/>
      <c r="DQ50" s="580"/>
      <c r="DR50" s="580"/>
      <c r="DS50" s="580"/>
      <c r="DT50" s="580"/>
      <c r="DU50" s="580"/>
      <c r="DV50" s="580"/>
      <c r="DW50" s="580"/>
      <c r="DX50" s="580"/>
      <c r="DY50" s="580"/>
      <c r="DZ50" s="580"/>
      <c r="EA50" s="580"/>
      <c r="EB50" s="580"/>
      <c r="EC50" s="580"/>
      <c r="ED50" s="580"/>
      <c r="EE50" s="580"/>
      <c r="EF50" s="580"/>
      <c r="EG50" s="580"/>
      <c r="EH50" s="580"/>
      <c r="EI50" s="580"/>
      <c r="EJ50" s="580"/>
      <c r="EK50" s="580"/>
      <c r="EL50" s="580"/>
      <c r="EM50" s="580"/>
      <c r="EN50" s="580"/>
      <c r="EO50" s="580"/>
      <c r="EP50" s="580"/>
      <c r="EQ50" s="580"/>
      <c r="ER50" s="580"/>
      <c r="ES50" s="580"/>
      <c r="ET50" s="580"/>
      <c r="EU50" s="580"/>
      <c r="EV50" s="580"/>
      <c r="EW50" s="580"/>
      <c r="EX50" s="580"/>
      <c r="EY50" s="580"/>
      <c r="EZ50" s="580"/>
      <c r="FA50" s="580"/>
      <c r="FB50" s="580"/>
      <c r="FC50" s="580"/>
      <c r="FD50" s="580"/>
      <c r="FE50" s="580"/>
      <c r="FF50" s="580"/>
      <c r="FG50" s="580"/>
      <c r="FH50" s="580"/>
      <c r="FI50" s="580"/>
      <c r="FJ50" s="580"/>
      <c r="FK50" s="580"/>
      <c r="FL50" s="580"/>
      <c r="FM50" s="580"/>
      <c r="FN50" s="580"/>
      <c r="FO50" s="580"/>
      <c r="FP50" s="580"/>
      <c r="FQ50" s="580"/>
      <c r="FR50" s="580"/>
      <c r="FS50" s="580"/>
      <c r="FT50" s="580"/>
      <c r="FU50" s="580"/>
      <c r="FV50" s="580"/>
      <c r="FW50" s="580"/>
      <c r="FX50" s="580"/>
      <c r="FY50" s="580"/>
      <c r="FZ50" s="580"/>
      <c r="GA50" s="580"/>
      <c r="GB50" s="580"/>
      <c r="GC50" s="580"/>
      <c r="GD50" s="580"/>
      <c r="GE50" s="580"/>
      <c r="GF50" s="580"/>
      <c r="GG50" s="580"/>
      <c r="GH50" s="580"/>
      <c r="GI50" s="580"/>
      <c r="GJ50" s="580"/>
      <c r="GK50" s="580"/>
      <c r="GL50" s="580"/>
      <c r="GM50" s="580"/>
      <c r="GN50" s="580"/>
      <c r="GO50" s="580"/>
      <c r="GP50" s="580"/>
      <c r="GQ50" s="580"/>
      <c r="GR50" s="580"/>
      <c r="GS50" s="580"/>
      <c r="GT50" s="580"/>
      <c r="GU50" s="580"/>
      <c r="GV50" s="580"/>
      <c r="GW50" s="580"/>
      <c r="GX50" s="580"/>
      <c r="GY50" s="580"/>
      <c r="GZ50" s="580"/>
      <c r="HA50" s="580"/>
      <c r="HB50" s="580"/>
      <c r="HC50" s="580"/>
    </row>
    <row r="51" spans="1:211">
      <c r="A51" s="1142" t="s">
        <v>573</v>
      </c>
      <c r="B51" s="1143"/>
      <c r="C51" s="1143"/>
      <c r="D51" s="1143"/>
      <c r="E51" s="1143"/>
      <c r="F51" s="1143"/>
      <c r="G51" s="1143"/>
      <c r="H51" s="1143"/>
      <c r="I51" s="1144">
        <f>V41+X41-N58</f>
        <v>0</v>
      </c>
      <c r="J51" s="1145"/>
      <c r="K51" s="1146"/>
      <c r="L51" s="680"/>
      <c r="M51" s="1147"/>
      <c r="N51" s="1148"/>
      <c r="O51" s="1148"/>
      <c r="P51" s="1148"/>
      <c r="Q51" s="1148"/>
      <c r="R51" s="1148"/>
      <c r="S51" s="1148"/>
      <c r="T51" s="1148"/>
      <c r="U51" s="1148"/>
      <c r="V51" s="1149"/>
      <c r="W51" s="1149"/>
      <c r="X51" s="1150"/>
      <c r="Y51" s="454"/>
      <c r="Z51" s="437"/>
      <c r="AB51" s="437"/>
      <c r="AC51" s="437"/>
      <c r="AD51" s="436"/>
      <c r="AG51" s="436"/>
      <c r="AI51" s="124"/>
      <c r="AJ51" s="124"/>
      <c r="BC51" s="437"/>
      <c r="BD51" s="436"/>
      <c r="BQ51" s="1"/>
      <c r="CN51" s="1"/>
      <c r="CX51" s="455"/>
      <c r="CZ51"/>
      <c r="DN51" s="580"/>
      <c r="DO51" s="580"/>
      <c r="DP51" s="580"/>
      <c r="DQ51" s="580"/>
      <c r="DR51" s="580"/>
      <c r="DS51" s="580"/>
      <c r="DT51" s="580"/>
      <c r="DU51" s="580"/>
      <c r="DV51" s="580"/>
      <c r="DW51" s="580"/>
      <c r="DX51" s="580"/>
      <c r="DY51" s="580"/>
      <c r="DZ51" s="580"/>
      <c r="EA51" s="580"/>
      <c r="EB51" s="580"/>
      <c r="EC51" s="580"/>
      <c r="ED51" s="580"/>
      <c r="EE51" s="580"/>
      <c r="EF51" s="580"/>
      <c r="EG51" s="580"/>
      <c r="EH51" s="580"/>
      <c r="EI51" s="580"/>
      <c r="EJ51" s="580"/>
      <c r="EK51" s="580"/>
      <c r="EL51" s="580"/>
      <c r="EM51" s="580"/>
      <c r="EN51" s="580"/>
      <c r="EO51" s="580"/>
      <c r="EP51" s="580"/>
      <c r="EQ51" s="580"/>
      <c r="ER51" s="580"/>
      <c r="ES51" s="580"/>
      <c r="ET51" s="580"/>
      <c r="EU51" s="580"/>
      <c r="EV51" s="580"/>
      <c r="EW51" s="580"/>
      <c r="EX51" s="580"/>
      <c r="EY51" s="580"/>
      <c r="EZ51" s="580"/>
      <c r="FA51" s="580"/>
      <c r="FB51" s="580"/>
      <c r="FC51" s="580"/>
      <c r="FD51" s="580"/>
      <c r="FE51" s="580"/>
      <c r="FF51" s="580"/>
      <c r="FG51" s="580"/>
      <c r="FH51" s="580"/>
      <c r="FI51" s="580"/>
      <c r="FJ51" s="580"/>
      <c r="FK51" s="580"/>
      <c r="FL51" s="580"/>
      <c r="FM51" s="580"/>
      <c r="FN51" s="580"/>
      <c r="FO51" s="580"/>
      <c r="FP51" s="580"/>
      <c r="FQ51" s="580"/>
      <c r="FR51" s="580"/>
      <c r="FS51" s="580"/>
      <c r="FT51" s="580"/>
      <c r="FU51" s="580"/>
      <c r="FV51" s="580"/>
      <c r="FW51" s="580"/>
      <c r="FX51" s="580"/>
      <c r="FY51" s="580"/>
      <c r="FZ51" s="580"/>
      <c r="GA51" s="580"/>
      <c r="GB51" s="580"/>
      <c r="GC51" s="580"/>
      <c r="GD51" s="580"/>
      <c r="GE51" s="580"/>
      <c r="GF51" s="580"/>
      <c r="GG51" s="580"/>
      <c r="GH51" s="580"/>
      <c r="GI51" s="580"/>
      <c r="GJ51" s="580"/>
      <c r="GK51" s="580"/>
      <c r="GL51" s="580"/>
      <c r="GM51" s="580"/>
      <c r="GN51" s="580"/>
      <c r="GO51" s="580"/>
      <c r="GP51" s="580"/>
      <c r="GQ51" s="580"/>
      <c r="GR51" s="580"/>
      <c r="GS51" s="580"/>
      <c r="GT51" s="580"/>
      <c r="GU51" s="580"/>
      <c r="GV51" s="580"/>
      <c r="GW51" s="580"/>
      <c r="GX51" s="580"/>
      <c r="GY51" s="580"/>
      <c r="GZ51" s="580"/>
      <c r="HA51" s="580"/>
      <c r="HB51" s="580"/>
      <c r="HC51" s="580"/>
    </row>
    <row r="52" spans="1:211" ht="17" thickBot="1">
      <c r="A52" s="471" t="str">
        <f>"Faktisk arbejdstid ialt i "&amp;A8&amp;" måned"</f>
        <v>Faktisk arbejdstid ialt i August måned</v>
      </c>
      <c r="B52" s="553"/>
      <c r="C52" s="554"/>
      <c r="D52" s="554"/>
      <c r="E52" s="554"/>
      <c r="F52" s="554"/>
      <c r="G52" s="554"/>
      <c r="H52" s="555"/>
      <c r="I52" s="1129">
        <f>I48+I51+I50+I49</f>
        <v>175</v>
      </c>
      <c r="J52" s="1130"/>
      <c r="K52" s="1131"/>
      <c r="L52" s="439"/>
      <c r="M52" s="1147"/>
      <c r="N52" s="1148"/>
      <c r="O52" s="1148"/>
      <c r="P52" s="1148"/>
      <c r="Q52" s="1148"/>
      <c r="R52" s="1148"/>
      <c r="S52" s="1148"/>
      <c r="T52" s="1148"/>
      <c r="U52" s="1148"/>
      <c r="V52" s="1149"/>
      <c r="W52" s="1149"/>
      <c r="X52" s="1150"/>
      <c r="Y52" s="454"/>
      <c r="Z52" s="437"/>
      <c r="AB52" s="437"/>
      <c r="AC52" s="437"/>
      <c r="AH52" s="124"/>
      <c r="AI52" s="124"/>
      <c r="BC52" s="436"/>
      <c r="BP52" s="1"/>
      <c r="CM52" s="1"/>
      <c r="CX52" s="455"/>
      <c r="CZ52"/>
      <c r="DN52" s="580"/>
      <c r="DO52" s="580"/>
      <c r="DP52" s="580"/>
      <c r="DQ52" s="580"/>
      <c r="DR52" s="580"/>
      <c r="DS52" s="580"/>
      <c r="DT52" s="580"/>
      <c r="DU52" s="580"/>
      <c r="DV52" s="580"/>
      <c r="DW52" s="580"/>
      <c r="DX52" s="580"/>
      <c r="DY52" s="580"/>
      <c r="DZ52" s="580"/>
      <c r="EA52" s="580"/>
      <c r="EB52" s="580"/>
      <c r="EC52" s="580"/>
      <c r="ED52" s="580"/>
      <c r="EE52" s="580"/>
      <c r="EF52" s="580"/>
      <c r="EG52" s="580"/>
      <c r="EH52" s="580"/>
      <c r="EI52" s="580"/>
      <c r="EJ52" s="580"/>
      <c r="EK52" s="580"/>
      <c r="EL52" s="580"/>
      <c r="EM52" s="580"/>
      <c r="EN52" s="580"/>
      <c r="EO52" s="580"/>
      <c r="EP52" s="580"/>
      <c r="EQ52" s="580"/>
      <c r="ER52" s="580"/>
      <c r="ES52" s="580"/>
      <c r="ET52" s="580"/>
      <c r="EU52" s="580"/>
      <c r="EV52" s="580"/>
      <c r="EW52" s="580"/>
      <c r="EX52" s="580"/>
      <c r="EY52" s="580"/>
      <c r="EZ52" s="580"/>
      <c r="FA52" s="580"/>
      <c r="FB52" s="580"/>
      <c r="FC52" s="580"/>
      <c r="FD52" s="580"/>
      <c r="FE52" s="580"/>
      <c r="FF52" s="580"/>
      <c r="FG52" s="580"/>
      <c r="FH52" s="580"/>
      <c r="FI52" s="580"/>
      <c r="FJ52" s="580"/>
      <c r="FK52" s="580"/>
      <c r="FL52" s="580"/>
      <c r="FM52" s="580"/>
      <c r="FN52" s="580"/>
      <c r="FO52" s="580"/>
      <c r="FP52" s="580"/>
      <c r="FQ52" s="580"/>
      <c r="FR52" s="580"/>
      <c r="FS52" s="580"/>
      <c r="FT52" s="580"/>
      <c r="FU52" s="580"/>
      <c r="FV52" s="580"/>
      <c r="FW52" s="580"/>
      <c r="FX52" s="580"/>
      <c r="FY52" s="580"/>
      <c r="FZ52" s="580"/>
      <c r="GA52" s="580"/>
      <c r="GB52" s="580"/>
      <c r="GC52" s="580"/>
      <c r="GD52" s="580"/>
      <c r="GE52" s="580"/>
      <c r="GF52" s="580"/>
      <c r="GG52" s="580"/>
      <c r="GH52" s="580"/>
      <c r="GI52" s="580"/>
      <c r="GJ52" s="580"/>
      <c r="GK52" s="580"/>
      <c r="GL52" s="580"/>
      <c r="GM52" s="580"/>
      <c r="GN52" s="580"/>
      <c r="GO52" s="580"/>
      <c r="GP52" s="580"/>
      <c r="GQ52" s="580"/>
      <c r="GR52" s="580"/>
      <c r="GS52" s="580"/>
      <c r="GT52" s="580"/>
      <c r="GU52" s="580"/>
      <c r="GV52" s="580"/>
      <c r="GW52" s="580"/>
      <c r="GX52" s="580"/>
      <c r="GY52" s="580"/>
      <c r="GZ52" s="580"/>
      <c r="HA52" s="580"/>
      <c r="HB52" s="580"/>
      <c r="HC52" s="580"/>
    </row>
    <row r="53" spans="1:211">
      <c r="A53" s="465"/>
      <c r="B53" s="465"/>
      <c r="C53" s="465"/>
      <c r="D53" s="465"/>
      <c r="E53" s="465"/>
      <c r="F53" s="465"/>
      <c r="G53" s="465"/>
      <c r="H53" s="452"/>
      <c r="I53" s="683"/>
      <c r="J53" s="683"/>
      <c r="K53" s="473" t="s">
        <v>343</v>
      </c>
      <c r="L53" s="681"/>
      <c r="M53" s="1147"/>
      <c r="N53" s="1148"/>
      <c r="O53" s="1148"/>
      <c r="P53" s="1148"/>
      <c r="Q53" s="1148"/>
      <c r="R53" s="1148"/>
      <c r="S53" s="1148"/>
      <c r="T53" s="1148"/>
      <c r="U53" s="1148"/>
      <c r="V53" s="1149"/>
      <c r="W53" s="1149"/>
      <c r="X53" s="1150"/>
      <c r="Y53" s="437"/>
      <c r="Z53" s="437"/>
      <c r="AA53" s="437"/>
      <c r="AB53" s="437"/>
      <c r="AC53" s="387"/>
      <c r="AD53" s="454"/>
      <c r="AE53" s="454"/>
      <c r="AF53" s="454"/>
      <c r="AG53" s="454"/>
      <c r="AH53" s="437"/>
      <c r="AJ53" s="437"/>
      <c r="AK53" s="437"/>
      <c r="AO53" s="124"/>
      <c r="AP53" s="124"/>
      <c r="BJ53" s="436"/>
      <c r="BW53" s="1"/>
      <c r="CT53" s="1"/>
      <c r="CY53"/>
      <c r="CZ53"/>
      <c r="DE53" s="455"/>
      <c r="DF53" s="455"/>
      <c r="DN53" s="580"/>
      <c r="DO53" s="580"/>
      <c r="DP53" s="580"/>
      <c r="DQ53" s="580"/>
      <c r="DR53" s="580"/>
      <c r="DS53" s="580"/>
      <c r="DT53" s="580"/>
      <c r="DU53" s="580"/>
      <c r="DV53" s="580"/>
      <c r="DW53" s="580"/>
      <c r="DX53" s="580"/>
      <c r="DY53" s="580"/>
      <c r="DZ53" s="580"/>
      <c r="EA53" s="580"/>
      <c r="EB53" s="580"/>
      <c r="EC53" s="580"/>
      <c r="ED53" s="580"/>
      <c r="EE53" s="580"/>
      <c r="EF53" s="580"/>
      <c r="EG53" s="580"/>
      <c r="EH53" s="580"/>
      <c r="EI53" s="580"/>
      <c r="EJ53" s="580"/>
      <c r="EK53" s="580"/>
      <c r="EL53" s="580"/>
      <c r="EM53" s="580"/>
      <c r="EN53" s="580"/>
      <c r="EO53" s="580"/>
      <c r="EP53" s="580"/>
      <c r="EQ53" s="580"/>
      <c r="ER53" s="580"/>
      <c r="ES53" s="580"/>
      <c r="ET53" s="580"/>
      <c r="EU53" s="580"/>
      <c r="EV53" s="580"/>
      <c r="EW53" s="580"/>
      <c r="EX53" s="580"/>
      <c r="EY53" s="580"/>
      <c r="EZ53" s="580"/>
      <c r="FA53" s="580"/>
      <c r="FB53" s="580"/>
      <c r="FC53" s="580"/>
      <c r="FD53" s="580"/>
      <c r="FE53" s="580"/>
      <c r="FF53" s="580"/>
      <c r="FG53" s="580"/>
      <c r="FH53" s="580"/>
      <c r="FI53" s="580"/>
      <c r="FJ53" s="580"/>
      <c r="FK53" s="580"/>
      <c r="FL53" s="580"/>
      <c r="FM53" s="580"/>
      <c r="FN53" s="580"/>
      <c r="FO53" s="580"/>
      <c r="FP53" s="580"/>
      <c r="FQ53" s="580"/>
      <c r="FR53" s="580"/>
      <c r="FS53" s="580"/>
      <c r="FT53" s="580"/>
      <c r="FU53" s="580"/>
      <c r="FV53" s="580"/>
      <c r="FW53" s="580"/>
      <c r="FX53" s="580"/>
      <c r="FY53" s="580"/>
      <c r="FZ53" s="580"/>
      <c r="GA53" s="580"/>
      <c r="GB53" s="580"/>
      <c r="GC53" s="580"/>
      <c r="GD53" s="580"/>
      <c r="GE53" s="580"/>
      <c r="GF53" s="580"/>
      <c r="GG53" s="580"/>
      <c r="GH53" s="580"/>
      <c r="GI53" s="580"/>
      <c r="GJ53" s="580"/>
      <c r="GK53" s="580"/>
      <c r="GL53" s="580"/>
      <c r="GM53" s="580"/>
      <c r="GN53" s="580"/>
      <c r="GO53" s="580"/>
      <c r="GP53" s="580"/>
      <c r="GQ53" s="580"/>
      <c r="GR53" s="580"/>
      <c r="GS53" s="580"/>
      <c r="GT53" s="580"/>
      <c r="GU53" s="580"/>
      <c r="GV53" s="580"/>
      <c r="GW53" s="580"/>
      <c r="GX53" s="580"/>
      <c r="GY53" s="580"/>
      <c r="GZ53" s="580"/>
      <c r="HA53" s="580"/>
      <c r="HB53" s="580"/>
      <c r="HC53" s="580"/>
    </row>
    <row r="54" spans="1:211">
      <c r="A54" s="685" t="s">
        <v>241</v>
      </c>
      <c r="B54" s="698"/>
      <c r="C54" s="698"/>
      <c r="D54" s="685">
        <f>COUNTIF([0]!AUGUST,"Skema 1")</f>
        <v>17</v>
      </c>
      <c r="E54" s="699"/>
      <c r="F54" s="700" t="s">
        <v>221</v>
      </c>
      <c r="G54" s="700">
        <f>COUNTIFS($B$10:$B$40,"ma",[0]!AUGUST,"Skema 1")</f>
        <v>3</v>
      </c>
      <c r="H54" s="576"/>
      <c r="I54" s="576"/>
      <c r="J54" s="577"/>
      <c r="K54" s="681"/>
      <c r="L54" s="681"/>
      <c r="M54" s="1147"/>
      <c r="N54" s="1148"/>
      <c r="O54" s="1148"/>
      <c r="P54" s="1148"/>
      <c r="Q54" s="1148"/>
      <c r="R54" s="1148"/>
      <c r="S54" s="1148"/>
      <c r="T54" s="1148"/>
      <c r="U54" s="1148"/>
      <c r="V54" s="1149"/>
      <c r="W54" s="1149"/>
      <c r="X54" s="1150"/>
      <c r="Y54" s="437"/>
      <c r="Z54" s="437"/>
      <c r="AA54" s="437"/>
      <c r="AB54" s="437"/>
      <c r="AC54" s="387"/>
      <c r="AD54" s="454"/>
      <c r="AE54" s="454"/>
      <c r="AF54" s="454"/>
      <c r="AG54" s="454"/>
      <c r="AH54" s="437"/>
      <c r="AJ54" s="437"/>
      <c r="AK54" s="437"/>
      <c r="AO54" s="124"/>
      <c r="AP54" s="124"/>
      <c r="BJ54" s="436"/>
      <c r="BW54" s="1"/>
      <c r="CT54" s="1"/>
      <c r="CY54"/>
      <c r="CZ54"/>
      <c r="DE54" s="455"/>
      <c r="DF54" s="455"/>
      <c r="DN54" s="580"/>
      <c r="DO54" s="580"/>
      <c r="DP54" s="580"/>
      <c r="DQ54" s="580"/>
      <c r="DR54" s="580"/>
      <c r="DS54" s="580"/>
      <c r="DT54" s="580"/>
      <c r="DU54" s="580"/>
      <c r="DV54" s="580"/>
      <c r="DW54" s="580"/>
      <c r="DX54" s="580"/>
      <c r="DY54" s="580"/>
      <c r="DZ54" s="580"/>
      <c r="EA54" s="580"/>
      <c r="EB54" s="580"/>
      <c r="EC54" s="580"/>
      <c r="ED54" s="580"/>
      <c r="EE54" s="580"/>
      <c r="EF54" s="580"/>
      <c r="EG54" s="580"/>
      <c r="EH54" s="580"/>
      <c r="EI54" s="580"/>
      <c r="EJ54" s="580"/>
      <c r="EK54" s="580"/>
      <c r="EL54" s="580"/>
      <c r="EM54" s="580"/>
      <c r="EN54" s="580"/>
      <c r="EO54" s="580"/>
      <c r="EP54" s="580"/>
      <c r="EQ54" s="580"/>
      <c r="ER54" s="580"/>
      <c r="ES54" s="580"/>
      <c r="ET54" s="580"/>
      <c r="EU54" s="580"/>
      <c r="EV54" s="580"/>
      <c r="EW54" s="580"/>
      <c r="EX54" s="580"/>
      <c r="EY54" s="580"/>
      <c r="EZ54" s="580"/>
      <c r="FA54" s="580"/>
      <c r="FB54" s="580"/>
      <c r="FC54" s="580"/>
      <c r="FD54" s="580"/>
      <c r="FE54" s="580"/>
      <c r="FF54" s="580"/>
      <c r="FG54" s="580"/>
      <c r="FH54" s="580"/>
      <c r="FI54" s="580"/>
      <c r="FJ54" s="580"/>
      <c r="FK54" s="580"/>
      <c r="FL54" s="580"/>
      <c r="FM54" s="580"/>
      <c r="FN54" s="580"/>
      <c r="FO54" s="580"/>
      <c r="FP54" s="580"/>
      <c r="FQ54" s="580"/>
      <c r="FR54" s="580"/>
      <c r="FS54" s="580"/>
      <c r="FT54" s="580"/>
      <c r="FU54" s="580"/>
      <c r="FV54" s="580"/>
      <c r="FW54" s="580"/>
      <c r="FX54" s="580"/>
      <c r="FY54" s="580"/>
      <c r="FZ54" s="580"/>
      <c r="GA54" s="580"/>
      <c r="GB54" s="580"/>
      <c r="GC54" s="580"/>
      <c r="GD54" s="580"/>
      <c r="GE54" s="580"/>
      <c r="GF54" s="580"/>
      <c r="GG54" s="580"/>
      <c r="GH54" s="580"/>
      <c r="GI54" s="580"/>
      <c r="GJ54" s="580"/>
      <c r="GK54" s="580"/>
      <c r="GL54" s="580"/>
      <c r="GM54" s="580"/>
      <c r="GN54" s="580"/>
      <c r="GO54" s="580"/>
      <c r="GP54" s="580"/>
      <c r="GQ54" s="580"/>
      <c r="GR54" s="580"/>
      <c r="GS54" s="580"/>
      <c r="GT54" s="580"/>
      <c r="GU54" s="580"/>
      <c r="GV54" s="580"/>
      <c r="GW54" s="580"/>
      <c r="GX54" s="580"/>
      <c r="GY54" s="580"/>
      <c r="GZ54" s="580"/>
      <c r="HA54" s="580"/>
      <c r="HB54" s="580"/>
      <c r="HC54" s="580"/>
    </row>
    <row r="55" spans="1:211">
      <c r="A55" s="1104" t="s">
        <v>242</v>
      </c>
      <c r="B55" s="1104"/>
      <c r="C55" s="1104"/>
      <c r="D55" s="685">
        <f>COUNTIF([0]!AUGUST,"Skema 2")</f>
        <v>0</v>
      </c>
      <c r="E55" s="699"/>
      <c r="F55" s="700" t="s">
        <v>222</v>
      </c>
      <c r="G55" s="700">
        <f>COUNTIFS($B$10:$B$40,"ti",[0]!AUGUST,"Skema 1")</f>
        <v>4</v>
      </c>
      <c r="H55" s="576"/>
      <c r="I55" s="576"/>
      <c r="J55" s="577"/>
      <c r="K55" s="681"/>
      <c r="L55" s="681"/>
      <c r="M55" s="1147"/>
      <c r="N55" s="1148"/>
      <c r="O55" s="1148"/>
      <c r="P55" s="1148"/>
      <c r="Q55" s="1148"/>
      <c r="R55" s="1148"/>
      <c r="S55" s="1148"/>
      <c r="T55" s="1148"/>
      <c r="U55" s="1148"/>
      <c r="V55" s="1149"/>
      <c r="W55" s="1149"/>
      <c r="X55" s="1150"/>
      <c r="Y55" s="437"/>
      <c r="Z55" s="437"/>
      <c r="AA55" s="437"/>
      <c r="AB55" s="437"/>
      <c r="AC55" s="387"/>
      <c r="AD55" s="454"/>
      <c r="AE55" s="454"/>
      <c r="AF55" s="454"/>
      <c r="AG55" s="454"/>
      <c r="AH55" s="437"/>
      <c r="AJ55" s="437"/>
      <c r="AK55" s="437"/>
      <c r="AO55" s="124"/>
      <c r="AP55" s="124"/>
      <c r="BJ55" s="436"/>
      <c r="BW55" s="1"/>
      <c r="CT55" s="1"/>
      <c r="CY55"/>
      <c r="CZ55"/>
      <c r="DE55" s="455"/>
      <c r="DF55" s="455"/>
      <c r="DN55" s="580"/>
      <c r="DO55" s="580"/>
      <c r="DP55" s="580"/>
      <c r="DQ55" s="580"/>
      <c r="DR55" s="580"/>
      <c r="DS55" s="580"/>
      <c r="DT55" s="580"/>
      <c r="DU55" s="580"/>
      <c r="DV55" s="580"/>
      <c r="DW55" s="580"/>
      <c r="DX55" s="580"/>
      <c r="DY55" s="580"/>
      <c r="DZ55" s="580"/>
      <c r="EA55" s="580"/>
      <c r="EB55" s="580"/>
      <c r="EC55" s="580"/>
      <c r="ED55" s="580"/>
      <c r="EE55" s="580"/>
      <c r="EF55" s="580"/>
      <c r="EG55" s="580"/>
      <c r="EH55" s="580"/>
      <c r="EI55" s="580"/>
      <c r="EJ55" s="580"/>
      <c r="EK55" s="580"/>
      <c r="EL55" s="580"/>
      <c r="EM55" s="580"/>
      <c r="EN55" s="580"/>
      <c r="EO55" s="580"/>
      <c r="EP55" s="580"/>
      <c r="EQ55" s="580"/>
      <c r="ER55" s="580"/>
      <c r="ES55" s="580"/>
      <c r="ET55" s="580"/>
      <c r="EU55" s="580"/>
      <c r="EV55" s="580"/>
      <c r="EW55" s="580"/>
      <c r="EX55" s="580"/>
      <c r="EY55" s="580"/>
      <c r="EZ55" s="580"/>
      <c r="FA55" s="580"/>
      <c r="FB55" s="580"/>
      <c r="FC55" s="580"/>
      <c r="FD55" s="580"/>
      <c r="FE55" s="580"/>
      <c r="FF55" s="580"/>
      <c r="FG55" s="580"/>
      <c r="FH55" s="580"/>
      <c r="FI55" s="580"/>
      <c r="FJ55" s="580"/>
      <c r="FK55" s="580"/>
      <c r="FL55" s="580"/>
      <c r="FM55" s="580"/>
      <c r="FN55" s="580"/>
      <c r="FO55" s="580"/>
      <c r="FP55" s="580"/>
      <c r="FQ55" s="580"/>
      <c r="FR55" s="580"/>
      <c r="FS55" s="580"/>
      <c r="FT55" s="580"/>
      <c r="FU55" s="580"/>
      <c r="FV55" s="580"/>
      <c r="FW55" s="580"/>
      <c r="FX55" s="580"/>
      <c r="FY55" s="580"/>
      <c r="FZ55" s="580"/>
      <c r="GA55" s="580"/>
      <c r="GB55" s="580"/>
      <c r="GC55" s="580"/>
      <c r="GD55" s="580"/>
      <c r="GE55" s="580"/>
      <c r="GF55" s="580"/>
      <c r="GG55" s="580"/>
      <c r="GH55" s="580"/>
      <c r="GI55" s="580"/>
      <c r="GJ55" s="580"/>
      <c r="GK55" s="580"/>
      <c r="GL55" s="580"/>
      <c r="GM55" s="580"/>
      <c r="GN55" s="580"/>
      <c r="GO55" s="580"/>
      <c r="GP55" s="580"/>
      <c r="GQ55" s="580"/>
      <c r="GR55" s="580"/>
      <c r="GS55" s="580"/>
      <c r="GT55" s="580"/>
      <c r="GU55" s="580"/>
      <c r="GV55" s="580"/>
      <c r="GW55" s="580"/>
      <c r="GX55" s="580"/>
      <c r="GY55" s="580"/>
      <c r="GZ55" s="580"/>
      <c r="HA55" s="580"/>
      <c r="HB55" s="580"/>
      <c r="HC55" s="580"/>
    </row>
    <row r="56" spans="1:211" ht="17" thickBot="1">
      <c r="A56" s="1104" t="s">
        <v>243</v>
      </c>
      <c r="B56" s="1104"/>
      <c r="C56" s="1104"/>
      <c r="D56" s="685">
        <f>COUNTIF([0]!AUGUST,"Skema 3")</f>
        <v>0</v>
      </c>
      <c r="E56" s="699"/>
      <c r="F56" s="700" t="s">
        <v>223</v>
      </c>
      <c r="G56" s="700">
        <f>COUNTIFS($B$10:$B$40,"on",[0]!AUGUST,"Skema 1")</f>
        <v>4</v>
      </c>
      <c r="H56" s="576"/>
      <c r="I56" s="576"/>
      <c r="J56" s="577"/>
      <c r="K56" s="681"/>
      <c r="L56" s="681"/>
      <c r="M56" s="1151" t="s">
        <v>346</v>
      </c>
      <c r="N56" s="1152"/>
      <c r="O56" s="1152"/>
      <c r="P56" s="1152"/>
      <c r="Q56" s="1152"/>
      <c r="R56" s="1152"/>
      <c r="S56" s="1152"/>
      <c r="T56" s="1152"/>
      <c r="U56" s="1153"/>
      <c r="V56" s="1154">
        <f>V47-SUM(V50:W55)</f>
        <v>0</v>
      </c>
      <c r="W56" s="1155"/>
      <c r="X56" s="1156"/>
      <c r="Y56" s="437"/>
      <c r="Z56" s="437"/>
      <c r="AA56" s="437"/>
      <c r="AB56" s="437"/>
      <c r="AC56" s="387"/>
      <c r="AD56" s="454"/>
      <c r="AE56" s="454"/>
      <c r="AF56" s="454"/>
      <c r="AG56" s="454"/>
      <c r="AH56" s="437"/>
      <c r="AJ56" s="437"/>
      <c r="AK56" s="437"/>
      <c r="AO56" s="124"/>
      <c r="AP56" s="124"/>
      <c r="BJ56" s="436"/>
      <c r="BW56" s="1"/>
      <c r="CT56" s="1"/>
      <c r="CY56"/>
      <c r="CZ56"/>
      <c r="DE56" s="455"/>
      <c r="DF56" s="455"/>
      <c r="DN56" s="580"/>
      <c r="DO56" s="580"/>
      <c r="DP56" s="580"/>
      <c r="DQ56" s="580"/>
      <c r="DR56" s="580"/>
      <c r="DS56" s="580"/>
      <c r="DT56" s="580"/>
      <c r="DU56" s="580"/>
      <c r="DV56" s="580"/>
      <c r="DW56" s="580"/>
      <c r="DX56" s="580"/>
      <c r="DY56" s="580"/>
      <c r="DZ56" s="580"/>
      <c r="EA56" s="580"/>
      <c r="EB56" s="580"/>
      <c r="EC56" s="580"/>
      <c r="ED56" s="580"/>
      <c r="EE56" s="580"/>
      <c r="EF56" s="580"/>
      <c r="EG56" s="580"/>
      <c r="EH56" s="580"/>
      <c r="EI56" s="580"/>
      <c r="EJ56" s="580"/>
      <c r="EK56" s="580"/>
      <c r="EL56" s="580"/>
      <c r="EM56" s="580"/>
      <c r="EN56" s="580"/>
      <c r="EO56" s="580"/>
      <c r="EP56" s="580"/>
      <c r="EQ56" s="580"/>
      <c r="ER56" s="580"/>
      <c r="ES56" s="580"/>
      <c r="ET56" s="580"/>
      <c r="EU56" s="580"/>
      <c r="EV56" s="580"/>
      <c r="EW56" s="580"/>
      <c r="EX56" s="580"/>
      <c r="EY56" s="580"/>
      <c r="EZ56" s="580"/>
      <c r="FA56" s="580"/>
      <c r="FB56" s="580"/>
      <c r="FC56" s="580"/>
      <c r="FD56" s="580"/>
      <c r="FE56" s="580"/>
      <c r="FF56" s="580"/>
      <c r="FG56" s="580"/>
      <c r="FH56" s="580"/>
      <c r="FI56" s="580"/>
      <c r="FJ56" s="580"/>
      <c r="FK56" s="580"/>
      <c r="FL56" s="580"/>
      <c r="FM56" s="580"/>
      <c r="FN56" s="580"/>
      <c r="FO56" s="580"/>
      <c r="FP56" s="580"/>
      <c r="FQ56" s="580"/>
      <c r="FR56" s="580"/>
      <c r="FS56" s="580"/>
      <c r="FT56" s="580"/>
      <c r="FU56" s="580"/>
      <c r="FV56" s="580"/>
      <c r="FW56" s="580"/>
      <c r="FX56" s="580"/>
      <c r="FY56" s="580"/>
      <c r="FZ56" s="580"/>
      <c r="GA56" s="580"/>
      <c r="GB56" s="580"/>
      <c r="GC56" s="580"/>
      <c r="GD56" s="580"/>
      <c r="GE56" s="580"/>
      <c r="GF56" s="580"/>
      <c r="GG56" s="580"/>
      <c r="GH56" s="580"/>
      <c r="GI56" s="580"/>
      <c r="GJ56" s="580"/>
      <c r="GK56" s="580"/>
      <c r="GL56" s="580"/>
      <c r="GM56" s="580"/>
      <c r="GN56" s="580"/>
      <c r="GO56" s="580"/>
      <c r="GP56" s="580"/>
      <c r="GQ56" s="580"/>
      <c r="GR56" s="580"/>
      <c r="GS56" s="580"/>
      <c r="GT56" s="580"/>
      <c r="GU56" s="580"/>
      <c r="GV56" s="580"/>
      <c r="GW56" s="580"/>
      <c r="GX56" s="580"/>
      <c r="GY56" s="580"/>
      <c r="GZ56" s="580"/>
      <c r="HA56" s="580"/>
      <c r="HB56" s="580"/>
      <c r="HC56" s="580"/>
    </row>
    <row r="57" spans="1:211" hidden="1">
      <c r="A57" s="1104" t="s">
        <v>244</v>
      </c>
      <c r="B57" s="1104"/>
      <c r="C57" s="1104"/>
      <c r="D57" s="685">
        <f>COUNTIF([0]!AUGUST,"Skema 4")</f>
        <v>0</v>
      </c>
      <c r="E57" s="699"/>
      <c r="F57" s="700" t="s">
        <v>225</v>
      </c>
      <c r="G57" s="700">
        <f>COUNTIFS($B$10:$B$40,"to",[0]!AUGUST,"Skema 1")</f>
        <v>3</v>
      </c>
      <c r="H57" s="576"/>
      <c r="I57" s="883" t="s">
        <v>618</v>
      </c>
      <c r="J57" s="884">
        <f>IF(C10="Ikke relevant",R10,0)+IF(C11="Ikke relevant",R11,0)+IF(C12="Ikke relevant",R12,0)+IF(C13="Ikke relevant",R13,0)+IF(C14="Ikke relevant",R14,0)+IF(C14="Ikke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relevant",R39,0)+IF(C40="Ikke relevant",R40,0)</f>
        <v>0</v>
      </c>
      <c r="K57" s="45"/>
      <c r="L57" s="578"/>
      <c r="M57" s="761" t="s">
        <v>378</v>
      </c>
      <c r="N57" s="761" t="s">
        <v>482</v>
      </c>
      <c r="O57" s="465"/>
      <c r="P57" s="465"/>
      <c r="Q57" s="465"/>
      <c r="R57" s="465"/>
      <c r="S57" s="465"/>
      <c r="T57" s="465"/>
      <c r="U57" s="465"/>
      <c r="V57" s="465"/>
      <c r="W57" s="465"/>
      <c r="X57" s="465"/>
      <c r="Y57" s="437"/>
      <c r="Z57" s="437"/>
      <c r="AA57" s="437"/>
      <c r="AB57" s="437"/>
      <c r="AC57" s="387"/>
      <c r="AD57" s="454"/>
      <c r="AE57" s="454"/>
      <c r="AF57" s="454"/>
      <c r="AG57" s="454"/>
      <c r="AH57" s="437"/>
      <c r="AJ57" s="437"/>
      <c r="AK57" s="437"/>
      <c r="AO57" s="124"/>
      <c r="AP57" s="124"/>
      <c r="BJ57" s="436"/>
      <c r="BW57" s="1"/>
      <c r="CT57" s="1"/>
      <c r="CY57"/>
      <c r="CZ57"/>
      <c r="DE57" s="455"/>
      <c r="DF57" s="455"/>
      <c r="DN57" s="580"/>
      <c r="DO57" s="580"/>
      <c r="DP57" s="580"/>
      <c r="DQ57" s="580"/>
      <c r="DR57" s="580"/>
      <c r="DS57" s="580"/>
      <c r="DT57" s="580"/>
      <c r="DU57" s="580"/>
      <c r="DV57" s="580"/>
      <c r="DW57" s="580"/>
      <c r="DX57" s="580"/>
      <c r="DY57" s="580"/>
      <c r="DZ57" s="580"/>
      <c r="EA57" s="580"/>
      <c r="EB57" s="580"/>
      <c r="EC57" s="580"/>
      <c r="ED57" s="580"/>
      <c r="EE57" s="580"/>
      <c r="EF57" s="580"/>
      <c r="EG57" s="580"/>
      <c r="EH57" s="580"/>
      <c r="EI57" s="580"/>
      <c r="EJ57" s="580"/>
      <c r="EK57" s="580"/>
      <c r="EL57" s="580"/>
      <c r="EM57" s="580"/>
      <c r="EN57" s="580"/>
      <c r="EO57" s="580"/>
      <c r="EP57" s="580"/>
      <c r="EQ57" s="580"/>
      <c r="ER57" s="580"/>
      <c r="ES57" s="580"/>
      <c r="ET57" s="580"/>
      <c r="EU57" s="580"/>
      <c r="EV57" s="580"/>
      <c r="EW57" s="580"/>
      <c r="EX57" s="580"/>
      <c r="EY57" s="580"/>
      <c r="EZ57" s="580"/>
      <c r="FA57" s="580"/>
      <c r="FB57" s="580"/>
      <c r="FC57" s="580"/>
      <c r="FD57" s="580"/>
      <c r="FE57" s="580"/>
      <c r="FF57" s="580"/>
      <c r="FG57" s="580"/>
      <c r="FH57" s="580"/>
      <c r="FI57" s="580"/>
      <c r="FJ57" s="580"/>
      <c r="FK57" s="580"/>
      <c r="FL57" s="580"/>
      <c r="FM57" s="580"/>
      <c r="FN57" s="580"/>
      <c r="FO57" s="580"/>
      <c r="FP57" s="580"/>
      <c r="FQ57" s="580"/>
      <c r="FR57" s="580"/>
      <c r="FS57" s="580"/>
      <c r="FT57" s="580"/>
      <c r="FU57" s="580"/>
      <c r="FV57" s="580"/>
      <c r="FW57" s="580"/>
      <c r="FX57" s="580"/>
      <c r="FY57" s="580"/>
      <c r="FZ57" s="580"/>
      <c r="GA57" s="580"/>
      <c r="GB57" s="580"/>
      <c r="GC57" s="580"/>
      <c r="GD57" s="580"/>
      <c r="GE57" s="580"/>
      <c r="GF57" s="580"/>
      <c r="GG57" s="580"/>
      <c r="GH57" s="580"/>
      <c r="GI57" s="580"/>
      <c r="GJ57" s="580"/>
      <c r="GK57" s="580"/>
      <c r="GL57" s="580"/>
      <c r="GM57" s="580"/>
      <c r="GN57" s="580"/>
      <c r="GO57" s="580"/>
      <c r="GP57" s="580"/>
      <c r="GQ57" s="580"/>
      <c r="GR57" s="580"/>
      <c r="GS57" s="580"/>
      <c r="GT57" s="580"/>
      <c r="GU57" s="580"/>
      <c r="GV57" s="580"/>
      <c r="GW57" s="580"/>
      <c r="GX57" s="580"/>
      <c r="GY57" s="580"/>
      <c r="GZ57" s="580"/>
      <c r="HA57" s="580"/>
      <c r="HB57" s="580"/>
      <c r="HC57" s="580"/>
    </row>
    <row r="58" spans="1:211" hidden="1">
      <c r="A58" s="685" t="s">
        <v>117</v>
      </c>
      <c r="B58" s="685"/>
      <c r="C58" s="685"/>
      <c r="D58" s="685">
        <f>COUNTIF([0]!AUGUST,"Fagdag")+COUNTIF([0]!AUGUST,"emnedag")</f>
        <v>1</v>
      </c>
      <c r="E58" s="699"/>
      <c r="F58" s="700" t="s">
        <v>224</v>
      </c>
      <c r="G58" s="700">
        <f>COUNTIFS($B$10:$B$40,"fr",[0]!AUGUST,"Skema 1")</f>
        <v>3</v>
      </c>
      <c r="H58" s="576"/>
      <c r="I58" s="578" t="s">
        <v>380</v>
      </c>
      <c r="J58" s="577"/>
      <c r="K58" s="578"/>
      <c r="L58" s="45"/>
      <c r="M58"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8"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8" s="754"/>
      <c r="P58" s="581"/>
      <c r="Q58" s="757" t="s">
        <v>382</v>
      </c>
      <c r="R58" s="459"/>
      <c r="S58" s="459"/>
      <c r="T58" s="459" t="s">
        <v>383</v>
      </c>
      <c r="U58" s="459"/>
      <c r="V58" s="459"/>
      <c r="W58" s="582"/>
      <c r="X58" s="582"/>
      <c r="Y58" s="437"/>
      <c r="Z58" s="437"/>
      <c r="AA58" s="437"/>
      <c r="AB58" s="437"/>
      <c r="AC58" s="437"/>
      <c r="AD58" s="387"/>
      <c r="AE58" s="454"/>
      <c r="AF58" s="454"/>
      <c r="AG58" s="454"/>
      <c r="AH58" s="454"/>
      <c r="AI58" s="437"/>
      <c r="AK58" s="437"/>
      <c r="AL58" s="437"/>
      <c r="AP58" s="124"/>
      <c r="AQ58" s="124"/>
      <c r="BK58" s="436"/>
      <c r="BX58" s="1"/>
      <c r="CU58" s="1"/>
      <c r="CY58"/>
      <c r="CZ58"/>
      <c r="DF58" s="455"/>
      <c r="DG58" s="455"/>
      <c r="DN58" s="580"/>
      <c r="DO58" s="580"/>
      <c r="DP58" s="580"/>
      <c r="DQ58" s="580"/>
      <c r="DR58" s="580"/>
      <c r="DS58" s="580"/>
      <c r="DT58" s="580"/>
      <c r="DU58" s="580"/>
      <c r="DV58" s="580"/>
      <c r="DW58" s="580"/>
      <c r="DX58" s="580"/>
      <c r="DY58" s="580"/>
      <c r="DZ58" s="580"/>
      <c r="EA58" s="580"/>
      <c r="EB58" s="580"/>
      <c r="EC58" s="580"/>
      <c r="ED58" s="580"/>
      <c r="EE58" s="580"/>
      <c r="EF58" s="580"/>
      <c r="EG58" s="580"/>
      <c r="EH58" s="580"/>
      <c r="EI58" s="580"/>
      <c r="EJ58" s="580"/>
      <c r="EK58" s="580"/>
      <c r="EL58" s="580"/>
      <c r="EM58" s="580"/>
      <c r="EN58" s="580"/>
      <c r="EO58" s="580"/>
      <c r="EP58" s="580"/>
      <c r="EQ58" s="580"/>
      <c r="ER58" s="580"/>
      <c r="ES58" s="580"/>
      <c r="ET58" s="580"/>
      <c r="EU58" s="580"/>
      <c r="EV58" s="580"/>
      <c r="EW58" s="580"/>
      <c r="EX58" s="580"/>
      <c r="EY58" s="580"/>
      <c r="EZ58" s="580"/>
      <c r="FA58" s="580"/>
      <c r="FB58" s="580"/>
      <c r="FC58" s="580"/>
      <c r="FD58" s="580"/>
      <c r="FE58" s="580"/>
      <c r="FF58" s="580"/>
      <c r="FG58" s="580"/>
      <c r="FH58" s="580"/>
      <c r="FI58" s="580"/>
      <c r="FJ58" s="580"/>
      <c r="FK58" s="580"/>
      <c r="FL58" s="580"/>
      <c r="FM58" s="580"/>
      <c r="FN58" s="580"/>
      <c r="FO58" s="580"/>
      <c r="FP58" s="580"/>
      <c r="FQ58" s="580"/>
      <c r="FR58" s="580"/>
      <c r="FS58" s="580"/>
      <c r="FT58" s="580"/>
      <c r="FU58" s="580"/>
      <c r="FV58" s="580"/>
      <c r="FW58" s="580"/>
      <c r="FX58" s="580"/>
      <c r="FY58" s="580"/>
      <c r="FZ58" s="580"/>
      <c r="GA58" s="580"/>
      <c r="GB58" s="580"/>
      <c r="GC58" s="580"/>
      <c r="GD58" s="580"/>
      <c r="GE58" s="580"/>
      <c r="GF58" s="580"/>
      <c r="GG58" s="580"/>
      <c r="GH58" s="580"/>
      <c r="GI58" s="580"/>
      <c r="GJ58" s="580"/>
      <c r="GK58" s="580"/>
      <c r="GL58" s="580"/>
      <c r="GM58" s="580"/>
      <c r="GN58" s="580"/>
      <c r="GO58" s="580"/>
      <c r="GP58" s="580"/>
      <c r="GQ58" s="580"/>
      <c r="GR58" s="580"/>
      <c r="GS58" s="580"/>
      <c r="GT58" s="580"/>
      <c r="GU58" s="580"/>
      <c r="GV58" s="580"/>
      <c r="GW58" s="580"/>
      <c r="GX58" s="580"/>
      <c r="GY58" s="580"/>
      <c r="GZ58" s="580"/>
      <c r="HA58" s="580"/>
      <c r="HB58" s="580"/>
      <c r="HC58" s="580"/>
    </row>
    <row r="59" spans="1:211" hidden="1">
      <c r="A59" s="701" t="s">
        <v>116</v>
      </c>
      <c r="B59" s="685"/>
      <c r="C59" s="685"/>
      <c r="D59" s="685">
        <f>COUNTIF([0]!AUGUST,"Lejrskole")+COUNTIF([0]!AUGUST,"Ekskursion")</f>
        <v>0</v>
      </c>
      <c r="E59" s="699"/>
      <c r="F59" s="700"/>
      <c r="G59" s="700"/>
      <c r="H59" s="576"/>
      <c r="I59" s="578" t="s">
        <v>394</v>
      </c>
      <c r="J59" s="577"/>
      <c r="K59" s="578"/>
      <c r="L59" s="45"/>
      <c r="M59"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9"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9" s="755">
        <v>0.5</v>
      </c>
      <c r="P59" s="581"/>
      <c r="Q59" s="757" t="s">
        <v>379</v>
      </c>
      <c r="R59" s="459"/>
      <c r="S59" s="459"/>
      <c r="T59" s="459"/>
      <c r="U59" s="459"/>
      <c r="V59" s="459"/>
      <c r="W59" s="582"/>
      <c r="X59" s="582"/>
      <c r="Y59" s="437"/>
      <c r="Z59" s="437"/>
      <c r="AA59" s="437"/>
      <c r="AB59" s="437"/>
      <c r="AC59" s="437"/>
      <c r="AD59" s="387"/>
      <c r="AE59" s="454"/>
      <c r="AF59" s="454"/>
      <c r="AG59" s="454"/>
      <c r="AH59" s="454"/>
      <c r="AI59" s="437"/>
      <c r="AK59" s="437"/>
      <c r="AL59" s="437"/>
      <c r="AP59" s="124"/>
      <c r="AQ59" s="124"/>
      <c r="BK59" s="436"/>
      <c r="BX59" s="1"/>
      <c r="CU59" s="1"/>
      <c r="CY59"/>
      <c r="CZ59"/>
      <c r="DF59" s="455"/>
      <c r="DG59" s="455"/>
      <c r="DN59" s="580"/>
      <c r="DO59" s="580"/>
      <c r="DP59" s="580"/>
      <c r="DQ59" s="580"/>
      <c r="DR59" s="580"/>
      <c r="DS59" s="580"/>
      <c r="DT59" s="580"/>
      <c r="DU59" s="580"/>
      <c r="DV59" s="580"/>
      <c r="DW59" s="580"/>
      <c r="DX59" s="580"/>
      <c r="DY59" s="580"/>
      <c r="DZ59" s="580"/>
      <c r="EA59" s="580"/>
      <c r="EB59" s="580"/>
      <c r="EC59" s="580"/>
      <c r="ED59" s="580"/>
      <c r="EE59" s="580"/>
      <c r="EF59" s="580"/>
      <c r="EG59" s="580"/>
      <c r="EH59" s="580"/>
      <c r="EI59" s="580"/>
      <c r="EJ59" s="580"/>
      <c r="EK59" s="580"/>
      <c r="EL59" s="580"/>
      <c r="EM59" s="580"/>
      <c r="EN59" s="580"/>
      <c r="EO59" s="580"/>
      <c r="EP59" s="580"/>
      <c r="EQ59" s="580"/>
      <c r="ER59" s="580"/>
      <c r="ES59" s="580"/>
      <c r="ET59" s="580"/>
      <c r="EU59" s="580"/>
      <c r="EV59" s="580"/>
      <c r="EW59" s="580"/>
      <c r="EX59" s="580"/>
      <c r="EY59" s="580"/>
      <c r="EZ59" s="580"/>
      <c r="FA59" s="580"/>
      <c r="FB59" s="580"/>
      <c r="FC59" s="580"/>
      <c r="FD59" s="580"/>
      <c r="FE59" s="580"/>
      <c r="FF59" s="580"/>
      <c r="FG59" s="580"/>
      <c r="FH59" s="580"/>
      <c r="FI59" s="580"/>
      <c r="FJ59" s="580"/>
      <c r="FK59" s="580"/>
      <c r="FL59" s="580"/>
      <c r="FM59" s="580"/>
      <c r="FN59" s="580"/>
      <c r="FO59" s="580"/>
      <c r="FP59" s="580"/>
      <c r="FQ59" s="580"/>
      <c r="FR59" s="580"/>
      <c r="FS59" s="580"/>
      <c r="FT59" s="580"/>
      <c r="FU59" s="580"/>
      <c r="FV59" s="580"/>
      <c r="FW59" s="580"/>
      <c r="FX59" s="580"/>
      <c r="FY59" s="580"/>
      <c r="FZ59" s="580"/>
      <c r="GA59" s="580"/>
      <c r="GB59" s="580"/>
      <c r="GC59" s="580"/>
      <c r="GD59" s="580"/>
      <c r="GE59" s="580"/>
      <c r="GF59" s="580"/>
      <c r="GG59" s="580"/>
      <c r="GH59" s="580"/>
      <c r="GI59" s="580"/>
      <c r="GJ59" s="580"/>
      <c r="GK59" s="580"/>
      <c r="GL59" s="580"/>
      <c r="GM59" s="580"/>
      <c r="GN59" s="580"/>
      <c r="GO59" s="580"/>
      <c r="GP59" s="580"/>
      <c r="GQ59" s="580"/>
      <c r="GR59" s="580"/>
      <c r="GS59" s="580"/>
      <c r="GT59" s="580"/>
      <c r="GU59" s="580"/>
      <c r="GV59" s="580"/>
      <c r="GW59" s="580"/>
      <c r="GX59" s="580"/>
      <c r="GY59" s="580"/>
      <c r="GZ59" s="580"/>
      <c r="HA59" s="580"/>
      <c r="HB59" s="580"/>
      <c r="HC59" s="580"/>
    </row>
    <row r="60" spans="1:211" hidden="1">
      <c r="A60" s="685" t="s">
        <v>115</v>
      </c>
      <c r="B60" s="685"/>
      <c r="C60" s="685"/>
      <c r="D60" s="685">
        <f>COUNTIF([0]!AUGUST,"Pæd.dag")</f>
        <v>3</v>
      </c>
      <c r="E60" s="699"/>
      <c r="F60" s="700" t="s">
        <v>226</v>
      </c>
      <c r="G60" s="700">
        <f>COUNTIFS($B$10:$B$40,"ma",[0]!AUGUST,"Skema 2")</f>
        <v>0</v>
      </c>
      <c r="H60" s="576"/>
      <c r="I60" s="576" t="s">
        <v>393</v>
      </c>
      <c r="J60" s="577"/>
      <c r="K60" s="45"/>
      <c r="L60" s="45"/>
      <c r="M60" s="754">
        <f>SUM(M58:M59)</f>
        <v>0</v>
      </c>
      <c r="N60" s="754">
        <f>SUM(N58:N59)</f>
        <v>0</v>
      </c>
      <c r="O60" s="756">
        <f>(M60+N60)/2</f>
        <v>0</v>
      </c>
      <c r="P60" s="581">
        <f>SUM(M60:O60)</f>
        <v>0</v>
      </c>
      <c r="Q60" s="757">
        <f>(M60+N60)*25%</f>
        <v>0</v>
      </c>
      <c r="R60" s="459"/>
      <c r="S60" s="459"/>
      <c r="T60" s="459"/>
      <c r="U60" s="459"/>
      <c r="V60" s="459"/>
      <c r="W60" s="582"/>
      <c r="X60" s="582"/>
      <c r="Y60" s="437"/>
      <c r="Z60" s="437"/>
      <c r="AA60" s="437"/>
      <c r="AB60" s="437"/>
      <c r="AC60" s="437"/>
      <c r="AD60" s="387"/>
      <c r="AE60" s="454"/>
      <c r="AF60" s="454"/>
      <c r="AG60" s="454"/>
      <c r="AH60" s="454"/>
      <c r="AI60" s="437"/>
      <c r="AK60" s="437"/>
      <c r="AL60" s="437"/>
      <c r="AP60" s="124"/>
      <c r="AQ60" s="124"/>
      <c r="BK60" s="436"/>
      <c r="BX60" s="1"/>
      <c r="CU60" s="1"/>
      <c r="CY60"/>
      <c r="CZ60"/>
      <c r="DF60" s="455"/>
      <c r="DG60" s="455"/>
      <c r="DN60" s="580"/>
      <c r="DO60" s="580"/>
      <c r="DP60" s="580"/>
      <c r="DQ60" s="580"/>
      <c r="DR60" s="580"/>
      <c r="DS60" s="580"/>
      <c r="DT60" s="580"/>
      <c r="DU60" s="580"/>
      <c r="DV60" s="580"/>
      <c r="DW60" s="580"/>
      <c r="DX60" s="580"/>
      <c r="DY60" s="580"/>
      <c r="DZ60" s="580"/>
      <c r="EA60" s="580"/>
      <c r="EB60" s="580"/>
      <c r="EC60" s="580"/>
      <c r="ED60" s="580"/>
      <c r="EE60" s="580"/>
      <c r="EF60" s="580"/>
      <c r="EG60" s="580"/>
      <c r="EH60" s="580"/>
      <c r="EI60" s="580"/>
      <c r="EJ60" s="580"/>
      <c r="EK60" s="580"/>
      <c r="EL60" s="580"/>
      <c r="EM60" s="580"/>
      <c r="EN60" s="580"/>
      <c r="EO60" s="580"/>
      <c r="EP60" s="580"/>
      <c r="EQ60" s="580"/>
      <c r="ER60" s="580"/>
      <c r="ES60" s="580"/>
      <c r="ET60" s="580"/>
      <c r="EU60" s="580"/>
      <c r="EV60" s="580"/>
      <c r="EW60" s="580"/>
      <c r="EX60" s="580"/>
      <c r="EY60" s="580"/>
      <c r="EZ60" s="580"/>
      <c r="FA60" s="580"/>
      <c r="FB60" s="580"/>
      <c r="FC60" s="580"/>
      <c r="FD60" s="580"/>
      <c r="FE60" s="580"/>
      <c r="FF60" s="580"/>
      <c r="FG60" s="580"/>
      <c r="FH60" s="580"/>
      <c r="FI60" s="580"/>
      <c r="FJ60" s="580"/>
      <c r="FK60" s="580"/>
      <c r="FL60" s="580"/>
      <c r="FM60" s="580"/>
      <c r="FN60" s="580"/>
      <c r="FO60" s="580"/>
      <c r="FP60" s="580"/>
      <c r="FQ60" s="580"/>
      <c r="FR60" s="580"/>
      <c r="FS60" s="580"/>
      <c r="FT60" s="580"/>
      <c r="FU60" s="580"/>
      <c r="FV60" s="580"/>
      <c r="FW60" s="580"/>
      <c r="FX60" s="580"/>
      <c r="FY60" s="580"/>
      <c r="FZ60" s="580"/>
      <c r="GA60" s="580"/>
      <c r="GB60" s="580"/>
      <c r="GC60" s="580"/>
      <c r="GD60" s="580"/>
      <c r="GE60" s="580"/>
      <c r="GF60" s="580"/>
      <c r="GG60" s="580"/>
      <c r="GH60" s="580"/>
      <c r="GI60" s="580"/>
      <c r="GJ60" s="580"/>
      <c r="GK60" s="580"/>
      <c r="GL60" s="580"/>
      <c r="GM60" s="580"/>
      <c r="GN60" s="580"/>
      <c r="GO60" s="580"/>
      <c r="GP60" s="580"/>
      <c r="GQ60" s="580"/>
      <c r="GR60" s="580"/>
      <c r="GS60" s="580"/>
      <c r="GT60" s="580"/>
      <c r="GU60" s="580"/>
      <c r="GV60" s="580"/>
      <c r="GW60" s="580"/>
      <c r="GX60" s="580"/>
      <c r="GY60" s="580"/>
      <c r="GZ60" s="580"/>
      <c r="HA60" s="580"/>
      <c r="HB60" s="580"/>
      <c r="HC60" s="580"/>
    </row>
    <row r="61" spans="1:211" hidden="1">
      <c r="A61" s="685" t="s">
        <v>138</v>
      </c>
      <c r="B61" s="685"/>
      <c r="C61" s="685"/>
      <c r="D61" s="685">
        <f>COUNTIF([0]!AUGUST,"Weekend")</f>
        <v>8</v>
      </c>
      <c r="E61" s="699"/>
      <c r="F61" s="700" t="s">
        <v>227</v>
      </c>
      <c r="G61" s="700">
        <f>COUNTIFS($B$10:$B$40,"ti",[0]!AUGUST,"Skema 2")</f>
        <v>0</v>
      </c>
      <c r="H61" s="576"/>
      <c r="I61" s="576" t="s">
        <v>564</v>
      </c>
      <c r="J61" s="577"/>
      <c r="K61" s="45"/>
      <c r="L61" s="45"/>
      <c r="M61" s="858">
        <f>IF(Stamoplysninger!$B$26="Weekendtimer og weekendtillæg afspadseres.",M58,0)</f>
        <v>0</v>
      </c>
      <c r="N61" s="858">
        <f>IF(Stamoplysninger!$B$26="Weekendtimer og weekendtillæg afspadseres.",N58,0)</f>
        <v>0</v>
      </c>
      <c r="O61" s="754"/>
      <c r="P61" s="581"/>
      <c r="Q61" s="757" t="s">
        <v>384</v>
      </c>
      <c r="R61" s="459"/>
      <c r="S61" s="459">
        <f>IF(Stamoplysninger!B22="Ulempetillæg afspadseres med 25%(Kræver en aftale imellem ledelsen og den ansatte)",Q60,0)</f>
        <v>0</v>
      </c>
      <c r="T61" s="459">
        <f>IF(Stamoplysninger!B22="Ulempetillæg afspadseres med 25%(Kræver en aftale imellem ledelsen og den ansatte)",(R41+X41)*0.25,0)</f>
        <v>0</v>
      </c>
      <c r="U61" s="459"/>
      <c r="V61" s="459"/>
      <c r="W61" s="582"/>
      <c r="X61" s="582"/>
      <c r="Y61" s="437"/>
      <c r="Z61" s="437"/>
      <c r="AA61" s="437"/>
      <c r="AB61" s="437"/>
      <c r="AC61" s="437"/>
      <c r="AD61" s="387"/>
      <c r="AE61" s="454"/>
      <c r="AF61" s="454"/>
      <c r="AG61" s="454"/>
      <c r="AH61" s="454"/>
      <c r="AI61" s="437"/>
      <c r="AK61" s="437"/>
      <c r="AL61" s="437"/>
      <c r="AP61" s="124"/>
      <c r="AQ61" s="124"/>
      <c r="BK61" s="436"/>
      <c r="BX61" s="1"/>
      <c r="CU61" s="1"/>
      <c r="CY61"/>
      <c r="CZ61"/>
      <c r="DF61" s="455"/>
      <c r="DG61" s="455"/>
      <c r="DN61" s="580"/>
      <c r="DO61" s="580"/>
      <c r="DP61" s="580"/>
      <c r="DQ61" s="580"/>
      <c r="DR61" s="580"/>
      <c r="DS61" s="580"/>
      <c r="DT61" s="580"/>
      <c r="DU61" s="580"/>
      <c r="DV61" s="580"/>
      <c r="DW61" s="580"/>
      <c r="DX61" s="580"/>
      <c r="DY61" s="580"/>
      <c r="DZ61" s="580"/>
      <c r="EA61" s="580"/>
      <c r="EB61" s="580"/>
      <c r="EC61" s="580"/>
      <c r="ED61" s="580"/>
      <c r="EE61" s="580"/>
      <c r="EF61" s="580"/>
      <c r="EG61" s="580"/>
      <c r="EH61" s="580"/>
      <c r="EI61" s="580"/>
      <c r="EJ61" s="580"/>
      <c r="EK61" s="580"/>
      <c r="EL61" s="580"/>
      <c r="EM61" s="580"/>
      <c r="EN61" s="580"/>
      <c r="EO61" s="580"/>
      <c r="EP61" s="580"/>
      <c r="EQ61" s="580"/>
      <c r="ER61" s="580"/>
      <c r="ES61" s="580"/>
      <c r="ET61" s="580"/>
      <c r="EU61" s="580"/>
      <c r="EV61" s="580"/>
      <c r="EW61" s="580"/>
      <c r="EX61" s="580"/>
      <c r="EY61" s="580"/>
      <c r="EZ61" s="580"/>
      <c r="FA61" s="580"/>
      <c r="FB61" s="580"/>
      <c r="FC61" s="580"/>
      <c r="FD61" s="580"/>
      <c r="FE61" s="580"/>
      <c r="FF61" s="580"/>
      <c r="FG61" s="580"/>
      <c r="FH61" s="580"/>
      <c r="FI61" s="580"/>
      <c r="FJ61" s="580"/>
      <c r="FK61" s="580"/>
      <c r="FL61" s="580"/>
      <c r="FM61" s="580"/>
      <c r="FN61" s="580"/>
      <c r="FO61" s="580"/>
      <c r="FP61" s="580"/>
      <c r="FQ61" s="580"/>
      <c r="FR61" s="580"/>
      <c r="FS61" s="580"/>
      <c r="FT61" s="580"/>
      <c r="FU61" s="580"/>
      <c r="FV61" s="580"/>
      <c r="FW61" s="580"/>
      <c r="FX61" s="580"/>
      <c r="FY61" s="580"/>
      <c r="FZ61" s="580"/>
      <c r="GA61" s="580"/>
      <c r="GB61" s="580"/>
      <c r="GC61" s="580"/>
      <c r="GD61" s="580"/>
      <c r="GE61" s="580"/>
      <c r="GF61" s="580"/>
      <c r="GG61" s="580"/>
      <c r="GH61" s="580"/>
      <c r="GI61" s="580"/>
      <c r="GJ61" s="580"/>
      <c r="GK61" s="580"/>
      <c r="GL61" s="580"/>
      <c r="GM61" s="580"/>
      <c r="GN61" s="580"/>
      <c r="GO61" s="580"/>
      <c r="GP61" s="580"/>
      <c r="GQ61" s="580"/>
      <c r="GR61" s="580"/>
      <c r="GS61" s="580"/>
      <c r="GT61" s="580"/>
      <c r="GU61" s="580"/>
      <c r="GV61" s="580"/>
      <c r="GW61" s="580"/>
      <c r="GX61" s="580"/>
      <c r="GY61" s="580"/>
      <c r="GZ61" s="580"/>
      <c r="HA61" s="580"/>
      <c r="HB61" s="580"/>
      <c r="HC61" s="580"/>
    </row>
    <row r="62" spans="1:211" hidden="1">
      <c r="A62" s="685" t="s">
        <v>146</v>
      </c>
      <c r="B62" s="685"/>
      <c r="C62" s="685"/>
      <c r="D62" s="685">
        <f>COUNTIF([0]!AUGUST,"SH-dag")</f>
        <v>0</v>
      </c>
      <c r="E62" s="699"/>
      <c r="F62" s="700" t="s">
        <v>228</v>
      </c>
      <c r="G62" s="700">
        <f>COUNTIFS($B$10:$B$40,"on",[0]!AUGUST,"Skema 2")</f>
        <v>0</v>
      </c>
      <c r="H62" s="576"/>
      <c r="I62" s="854" t="s">
        <v>565</v>
      </c>
      <c r="J62" s="854"/>
      <c r="K62" s="854"/>
      <c r="L62" s="854"/>
      <c r="M62" s="858">
        <f>IF(Stamoplysninger!$B$26="Weekendtimer og weekendtillæg afspadseres.",O60,0)</f>
        <v>0</v>
      </c>
      <c r="N62" s="858">
        <f>IF(Stamoplysninger!$B$26="Weekendtimer og weekendtillæg afspadseres.",O60,0)</f>
        <v>0</v>
      </c>
      <c r="O62" s="754"/>
      <c r="P62" s="581"/>
      <c r="Q62" s="757" t="s">
        <v>381</v>
      </c>
      <c r="R62" s="459"/>
      <c r="S62" s="459">
        <f>IF(Stamoplysninger!B22="Ulempetillæg udbetales med 25% af nettotimelønnen.",Q60,0)</f>
        <v>0</v>
      </c>
      <c r="T62" s="459">
        <f>IF(Stamoplysninger!B22="Ulempetillæg udbetales med 25% af nettotimelønnen.",(R41+X41)*0.25,0)</f>
        <v>1.75</v>
      </c>
      <c r="U62" s="459"/>
      <c r="V62" s="459"/>
      <c r="W62" s="582"/>
      <c r="X62" s="582"/>
      <c r="Y62"/>
      <c r="Z62"/>
      <c r="AA62" s="436"/>
      <c r="AO62" s="1"/>
      <c r="BL62" s="1"/>
      <c r="BW62" s="455"/>
      <c r="BX62" s="455"/>
      <c r="CY62"/>
      <c r="CZ62"/>
      <c r="DN62" s="580"/>
      <c r="DO62" s="580"/>
      <c r="DP62" s="580"/>
      <c r="DQ62" s="580"/>
      <c r="DR62" s="580"/>
      <c r="DS62" s="580"/>
      <c r="DT62" s="580"/>
      <c r="DU62" s="580"/>
      <c r="DV62" s="580"/>
      <c r="DW62" s="580"/>
      <c r="DX62" s="580"/>
      <c r="DY62" s="580"/>
      <c r="DZ62" s="580"/>
      <c r="EA62" s="580"/>
      <c r="EB62" s="580"/>
      <c r="EC62" s="580"/>
      <c r="ED62" s="580"/>
      <c r="EE62" s="580"/>
      <c r="EF62" s="580"/>
      <c r="EG62" s="580"/>
      <c r="EH62" s="580"/>
      <c r="EI62" s="580"/>
      <c r="EJ62" s="580"/>
      <c r="EK62" s="580"/>
      <c r="EL62" s="580"/>
      <c r="EM62" s="580"/>
      <c r="EN62" s="580"/>
      <c r="EO62" s="580"/>
      <c r="EP62" s="580"/>
      <c r="EQ62" s="580"/>
      <c r="ER62" s="580"/>
      <c r="ES62" s="580"/>
      <c r="ET62" s="580"/>
      <c r="EU62" s="580"/>
      <c r="EV62" s="580"/>
      <c r="EW62" s="580"/>
      <c r="EX62" s="580"/>
      <c r="EY62" s="580"/>
      <c r="EZ62" s="580"/>
      <c r="FA62" s="580"/>
      <c r="FB62" s="580"/>
      <c r="FC62" s="580"/>
      <c r="FD62" s="580"/>
      <c r="FE62" s="580"/>
      <c r="FF62" s="580"/>
      <c r="FG62" s="580"/>
      <c r="FH62" s="580"/>
      <c r="FI62" s="580"/>
      <c r="FJ62" s="580"/>
      <c r="FK62" s="580"/>
      <c r="FL62" s="580"/>
      <c r="FM62" s="580"/>
      <c r="FN62" s="580"/>
      <c r="FO62" s="580"/>
      <c r="FP62" s="580"/>
      <c r="FQ62" s="580"/>
      <c r="FR62" s="580"/>
      <c r="FS62" s="580"/>
      <c r="FT62" s="580"/>
      <c r="FU62" s="580"/>
      <c r="FV62" s="580"/>
      <c r="FW62" s="580"/>
      <c r="FX62" s="580"/>
      <c r="FY62" s="580"/>
      <c r="FZ62" s="580"/>
      <c r="GA62" s="580"/>
      <c r="GB62" s="580"/>
      <c r="GC62" s="580"/>
      <c r="GD62" s="580"/>
      <c r="GE62" s="580"/>
      <c r="GF62" s="580"/>
      <c r="GG62" s="580"/>
      <c r="GH62" s="580"/>
      <c r="GI62" s="580"/>
      <c r="GJ62" s="580"/>
      <c r="GK62" s="580"/>
      <c r="GL62" s="580"/>
      <c r="GM62" s="580"/>
      <c r="GN62" s="580"/>
      <c r="GO62" s="580"/>
      <c r="GP62" s="580"/>
      <c r="GQ62" s="580"/>
      <c r="GR62" s="580"/>
      <c r="GS62" s="580"/>
      <c r="GT62" s="580"/>
      <c r="GU62" s="580"/>
      <c r="GV62" s="580"/>
      <c r="GW62" s="580"/>
      <c r="GX62" s="580"/>
      <c r="GY62" s="580"/>
      <c r="GZ62" s="580"/>
      <c r="HA62" s="580"/>
      <c r="HB62" s="580"/>
      <c r="HC62" s="580"/>
    </row>
    <row r="63" spans="1:211" hidden="1">
      <c r="A63" s="685" t="s">
        <v>114</v>
      </c>
      <c r="B63" s="685"/>
      <c r="C63" s="685"/>
      <c r="D63" s="685">
        <f>COUNTIF([0]!AUGUST,"Feriedag")</f>
        <v>2</v>
      </c>
      <c r="E63" s="699"/>
      <c r="F63" s="700" t="s">
        <v>229</v>
      </c>
      <c r="G63" s="700">
        <f>COUNTIFS($B$10:$B$40,"to",[0]!AUGUST,"Skema 2")</f>
        <v>0</v>
      </c>
      <c r="H63" s="576"/>
      <c r="I63" s="854" t="s">
        <v>566</v>
      </c>
      <c r="J63" s="854"/>
      <c r="K63" s="854"/>
      <c r="L63" s="854"/>
      <c r="M63" s="859">
        <f>IF(Stamoplysninger!$B$26="Weekendtimer og weekendtillæg udbetales.",M58,0)</f>
        <v>0</v>
      </c>
      <c r="N63" s="859">
        <f>IF(Stamoplysninger!$B$26="Weekendtimer og weekendtillæg udbetales.",N58,0)</f>
        <v>0</v>
      </c>
      <c r="O63" s="754"/>
      <c r="P63" s="581"/>
      <c r="Q63" s="757"/>
      <c r="R63" s="459"/>
      <c r="S63" s="459"/>
      <c r="T63" s="459"/>
      <c r="U63" s="459"/>
      <c r="V63" s="459"/>
      <c r="W63" s="582"/>
      <c r="X63" s="582"/>
      <c r="Y63"/>
      <c r="Z63"/>
      <c r="AA63" s="436"/>
      <c r="AO63" s="1"/>
      <c r="BL63" s="1"/>
      <c r="BW63" s="455"/>
      <c r="BX63" s="455"/>
      <c r="CY63"/>
      <c r="CZ63"/>
      <c r="DN63" s="580"/>
      <c r="DO63" s="580"/>
      <c r="DP63" s="580"/>
      <c r="DQ63" s="580"/>
      <c r="DR63" s="580"/>
      <c r="DS63" s="580"/>
      <c r="DT63" s="580"/>
      <c r="DU63" s="580"/>
      <c r="DV63" s="580"/>
      <c r="DW63" s="580"/>
      <c r="DX63" s="580"/>
      <c r="DY63" s="580"/>
      <c r="DZ63" s="580"/>
      <c r="EA63" s="580"/>
      <c r="EB63" s="580"/>
      <c r="EC63" s="580"/>
      <c r="ED63" s="580"/>
      <c r="EE63" s="580"/>
      <c r="EF63" s="580"/>
      <c r="EG63" s="580"/>
      <c r="EH63" s="580"/>
      <c r="EI63" s="580"/>
      <c r="EJ63" s="580"/>
      <c r="EK63" s="580"/>
      <c r="EL63" s="580"/>
      <c r="EM63" s="580"/>
      <c r="EN63" s="580"/>
      <c r="EO63" s="580"/>
      <c r="EP63" s="580"/>
      <c r="EQ63" s="580"/>
      <c r="ER63" s="580"/>
      <c r="ES63" s="580"/>
      <c r="ET63" s="580"/>
      <c r="EU63" s="580"/>
      <c r="EV63" s="580"/>
      <c r="EW63" s="580"/>
      <c r="EX63" s="580"/>
      <c r="EY63" s="580"/>
      <c r="EZ63" s="580"/>
      <c r="FA63" s="580"/>
      <c r="FB63" s="580"/>
      <c r="FC63" s="580"/>
      <c r="FD63" s="580"/>
      <c r="FE63" s="580"/>
      <c r="FF63" s="580"/>
      <c r="FG63" s="580"/>
      <c r="FH63" s="580"/>
      <c r="FI63" s="580"/>
      <c r="FJ63" s="580"/>
      <c r="FK63" s="580"/>
      <c r="FL63" s="580"/>
      <c r="FM63" s="580"/>
      <c r="FN63" s="580"/>
      <c r="FO63" s="580"/>
      <c r="FP63" s="580"/>
      <c r="FQ63" s="580"/>
      <c r="FR63" s="580"/>
      <c r="FS63" s="580"/>
      <c r="FT63" s="580"/>
      <c r="FU63" s="580"/>
      <c r="FV63" s="580"/>
      <c r="FW63" s="580"/>
      <c r="FX63" s="580"/>
      <c r="FY63" s="580"/>
      <c r="FZ63" s="580"/>
      <c r="GA63" s="580"/>
      <c r="GB63" s="580"/>
      <c r="GC63" s="580"/>
      <c r="GD63" s="580"/>
      <c r="GE63" s="580"/>
      <c r="GF63" s="580"/>
      <c r="GG63" s="580"/>
      <c r="GH63" s="580"/>
      <c r="GI63" s="580"/>
      <c r="GJ63" s="580"/>
      <c r="GK63" s="580"/>
      <c r="GL63" s="580"/>
      <c r="GM63" s="580"/>
      <c r="GN63" s="580"/>
      <c r="GO63" s="580"/>
      <c r="GP63" s="580"/>
      <c r="GQ63" s="580"/>
      <c r="GR63" s="580"/>
      <c r="GS63" s="580"/>
      <c r="GT63" s="580"/>
      <c r="GU63" s="580"/>
      <c r="GV63" s="580"/>
      <c r="GW63" s="580"/>
      <c r="GX63" s="580"/>
      <c r="GY63" s="580"/>
      <c r="GZ63" s="580"/>
      <c r="HA63" s="580"/>
      <c r="HB63" s="580"/>
      <c r="HC63" s="580"/>
    </row>
    <row r="64" spans="1:211" hidden="1">
      <c r="A64" s="685" t="s">
        <v>210</v>
      </c>
      <c r="B64" s="685"/>
      <c r="C64" s="685"/>
      <c r="D64" s="685">
        <f>COUNTIF([0]!AUGUST,"Nul-dag")</f>
        <v>0</v>
      </c>
      <c r="E64" s="699"/>
      <c r="F64" s="700" t="s">
        <v>230</v>
      </c>
      <c r="G64" s="700">
        <f>COUNTIFS($B$10:$B$40,"fr",[0]!AUGUST,"Skema 2")</f>
        <v>0</v>
      </c>
      <c r="H64" s="576"/>
      <c r="I64" s="854" t="s">
        <v>567</v>
      </c>
      <c r="J64" s="854"/>
      <c r="K64" s="854"/>
      <c r="L64" s="854"/>
      <c r="M64" s="859">
        <f>IF(Stamoplysninger!$B$26="Weekendtimer og weekendtillæg udbetales.",O60,0)</f>
        <v>0</v>
      </c>
      <c r="N64" s="859">
        <f>IF(Stamoplysninger!$B$26="Weekendtimer og weekendtillæg udbetales.",O60,0)</f>
        <v>0</v>
      </c>
      <c r="O64" s="754"/>
      <c r="P64" s="581"/>
      <c r="Q64" s="757"/>
      <c r="R64" s="459"/>
      <c r="S64" s="459"/>
      <c r="T64" s="459"/>
      <c r="U64" s="459"/>
      <c r="V64" s="459"/>
      <c r="W64" s="582"/>
      <c r="X64" s="582"/>
      <c r="Y64"/>
      <c r="Z64"/>
      <c r="AA64" s="436"/>
      <c r="AO64" s="1"/>
      <c r="BL64" s="1"/>
      <c r="BW64" s="455"/>
      <c r="BX64" s="455"/>
      <c r="CY64"/>
      <c r="CZ64"/>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580"/>
      <c r="EN64" s="580"/>
      <c r="EO64" s="580"/>
      <c r="EP64" s="580"/>
      <c r="EQ64" s="580"/>
      <c r="ER64" s="580"/>
      <c r="ES64" s="580"/>
      <c r="ET64" s="580"/>
      <c r="EU64" s="580"/>
      <c r="EV64" s="580"/>
      <c r="EW64" s="580"/>
      <c r="EX64" s="580"/>
      <c r="EY64" s="580"/>
      <c r="EZ64" s="580"/>
      <c r="FA64" s="580"/>
      <c r="FB64" s="580"/>
      <c r="FC64" s="580"/>
      <c r="FD64" s="580"/>
      <c r="FE64" s="580"/>
      <c r="FF64" s="580"/>
      <c r="FG64" s="580"/>
      <c r="FH64" s="580"/>
      <c r="FI64" s="580"/>
      <c r="FJ64" s="580"/>
      <c r="FK64" s="580"/>
      <c r="FL64" s="580"/>
      <c r="FM64" s="580"/>
      <c r="FN64" s="580"/>
      <c r="FO64" s="580"/>
      <c r="FP64" s="580"/>
      <c r="FQ64" s="580"/>
      <c r="FR64" s="580"/>
      <c r="FS64" s="580"/>
      <c r="FT64" s="580"/>
      <c r="FU64" s="580"/>
      <c r="FV64" s="580"/>
      <c r="FW64" s="580"/>
      <c r="FX64" s="580"/>
      <c r="FY64" s="580"/>
      <c r="FZ64" s="580"/>
      <c r="GA64" s="580"/>
      <c r="GB64" s="580"/>
      <c r="GC64" s="580"/>
      <c r="GD64" s="580"/>
      <c r="GE64" s="580"/>
      <c r="GF64" s="580"/>
      <c r="GG64" s="580"/>
      <c r="GH64" s="580"/>
      <c r="GI64" s="580"/>
      <c r="GJ64" s="580"/>
      <c r="GK64" s="580"/>
      <c r="GL64" s="580"/>
      <c r="GM64" s="580"/>
      <c r="GN64" s="580"/>
      <c r="GO64" s="580"/>
      <c r="GP64" s="580"/>
      <c r="GQ64" s="580"/>
      <c r="GR64" s="580"/>
      <c r="GS64" s="580"/>
      <c r="GT64" s="580"/>
      <c r="GU64" s="580"/>
      <c r="GV64" s="580"/>
      <c r="GW64" s="580"/>
      <c r="GX64" s="580"/>
      <c r="GY64" s="580"/>
      <c r="GZ64" s="580"/>
      <c r="HA64" s="580"/>
      <c r="HB64" s="580"/>
      <c r="HC64" s="580"/>
    </row>
    <row r="65" spans="1:211" hidden="1">
      <c r="A65" s="685" t="s">
        <v>185</v>
      </c>
      <c r="B65" s="685"/>
      <c r="C65" s="685"/>
      <c r="D65" s="685">
        <f>COUNTIF([0]!AUGUST,"Ikke relevant")</f>
        <v>0</v>
      </c>
      <c r="E65" s="699"/>
      <c r="F65" s="702"/>
      <c r="G65" s="702"/>
      <c r="H65" s="692"/>
      <c r="I65" s="854" t="s">
        <v>385</v>
      </c>
      <c r="J65" s="854"/>
      <c r="K65" s="854"/>
      <c r="L65" s="854"/>
      <c r="M65" s="860">
        <f>IF(Stamoplysninger!$B$26="Der er indgået lokalaftale omkring weekendtimer.(Kræver aftale med TR/FSL) Weekendtillæg afspadseres.",O60,0)</f>
        <v>0</v>
      </c>
      <c r="N65" s="860">
        <f>IF(Stamoplysninger!$B$26="Der er indgået lokalaftale omkring weekendtimer.(Kræver aftale med TR/FSL) Weekendtillæg afspadseres.",N58,0)</f>
        <v>0</v>
      </c>
      <c r="O65" s="754"/>
      <c r="P65" s="581"/>
      <c r="Q65" s="757"/>
      <c r="R65" s="459"/>
      <c r="S65" s="459"/>
      <c r="T65" s="459"/>
      <c r="U65" s="459"/>
      <c r="V65" s="459"/>
      <c r="W65" s="582"/>
      <c r="X65" s="582"/>
      <c r="Y65"/>
      <c r="Z65"/>
      <c r="AA65" s="436"/>
      <c r="AO65" s="1"/>
      <c r="BL65" s="1"/>
      <c r="BW65" s="455"/>
      <c r="BX65" s="455"/>
      <c r="CY65"/>
      <c r="CZ65"/>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c r="EM65" s="580"/>
      <c r="EN65" s="580"/>
      <c r="EO65" s="580"/>
      <c r="EP65" s="580"/>
      <c r="EQ65" s="580"/>
      <c r="ER65" s="580"/>
      <c r="ES65" s="580"/>
      <c r="ET65" s="580"/>
      <c r="EU65" s="580"/>
      <c r="EV65" s="580"/>
      <c r="EW65" s="580"/>
      <c r="EX65" s="580"/>
      <c r="EY65" s="580"/>
      <c r="EZ65" s="580"/>
      <c r="FA65" s="580"/>
      <c r="FB65" s="580"/>
      <c r="FC65" s="580"/>
      <c r="FD65" s="580"/>
      <c r="FE65" s="580"/>
      <c r="FF65" s="580"/>
      <c r="FG65" s="580"/>
      <c r="FH65" s="580"/>
      <c r="FI65" s="580"/>
      <c r="FJ65" s="580"/>
      <c r="FK65" s="580"/>
      <c r="FL65" s="580"/>
      <c r="FM65" s="580"/>
      <c r="FN65" s="580"/>
      <c r="FO65" s="580"/>
      <c r="FP65" s="580"/>
      <c r="FQ65" s="580"/>
      <c r="FR65" s="580"/>
      <c r="FS65" s="580"/>
      <c r="FT65" s="580"/>
      <c r="FU65" s="580"/>
      <c r="FV65" s="580"/>
      <c r="FW65" s="580"/>
      <c r="FX65" s="580"/>
      <c r="FY65" s="580"/>
      <c r="FZ65" s="580"/>
      <c r="GA65" s="580"/>
      <c r="GB65" s="580"/>
      <c r="GC65" s="580"/>
      <c r="GD65" s="580"/>
      <c r="GE65" s="580"/>
      <c r="GF65" s="580"/>
      <c r="GG65" s="580"/>
      <c r="GH65" s="580"/>
      <c r="GI65" s="580"/>
      <c r="GJ65" s="580"/>
      <c r="GK65" s="580"/>
      <c r="GL65" s="580"/>
      <c r="GM65" s="580"/>
      <c r="GN65" s="580"/>
      <c r="GO65" s="580"/>
      <c r="GP65" s="580"/>
      <c r="GQ65" s="580"/>
      <c r="GR65" s="580"/>
      <c r="GS65" s="580"/>
      <c r="GT65" s="580"/>
      <c r="GU65" s="580"/>
      <c r="GV65" s="580"/>
      <c r="GW65" s="580"/>
      <c r="GX65" s="580"/>
      <c r="GY65" s="580"/>
      <c r="GZ65" s="580"/>
      <c r="HA65" s="580"/>
      <c r="HB65" s="580"/>
      <c r="HC65" s="580"/>
    </row>
    <row r="66" spans="1:211" hidden="1">
      <c r="A66" s="841" t="s">
        <v>505</v>
      </c>
      <c r="B66" s="685"/>
      <c r="C66" s="685"/>
      <c r="D66" s="685">
        <f>COUNTIF([0]!AUGUST,"Orlov")</f>
        <v>0</v>
      </c>
      <c r="E66" s="699"/>
      <c r="F66" s="700" t="s">
        <v>231</v>
      </c>
      <c r="G66" s="700">
        <f>COUNTIFS($B$10:$B$40,"ma",[0]!AUGUST,"Skema 3")</f>
        <v>0</v>
      </c>
      <c r="H66" s="576">
        <v>1</v>
      </c>
      <c r="I66" s="854" t="s">
        <v>386</v>
      </c>
      <c r="J66" s="854"/>
      <c r="K66" s="854"/>
      <c r="L66" s="854"/>
      <c r="M66" s="860">
        <f>IF(Stamoplysninger!$B$26="Der er indgået lokalaftale omkring weekendtimer(Kræver aftale med TR/FSL). Weekendtillæg udbetales.",O60,0)</f>
        <v>0</v>
      </c>
      <c r="N66" s="860">
        <f>IF(Stamoplysninger!$B$26="Der er indgået lokalaftale omkring weekendtimer(Kræver aftale med TR/FSL). Weekendtillæg udbetales.",N58,0)</f>
        <v>0</v>
      </c>
      <c r="O66" s="754"/>
      <c r="P66" s="581"/>
      <c r="Q66" s="757"/>
      <c r="R66" s="459"/>
      <c r="S66" s="459"/>
      <c r="T66" s="459"/>
      <c r="U66" s="459"/>
      <c r="V66" s="459"/>
      <c r="W66" s="582"/>
      <c r="X66" s="582"/>
      <c r="Y66"/>
      <c r="Z66"/>
      <c r="AO66" s="1"/>
      <c r="BL66" s="1"/>
      <c r="BW66" s="455"/>
      <c r="BX66" s="455"/>
      <c r="CY66"/>
      <c r="CZ66"/>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c r="EM66" s="580"/>
      <c r="EN66" s="580"/>
      <c r="EO66" s="580"/>
      <c r="EP66" s="580"/>
      <c r="EQ66" s="580"/>
      <c r="ER66" s="580"/>
      <c r="ES66" s="580"/>
      <c r="ET66" s="580"/>
      <c r="EU66" s="580"/>
      <c r="EV66" s="580"/>
      <c r="EW66" s="580"/>
      <c r="EX66" s="580"/>
      <c r="EY66" s="580"/>
      <c r="EZ66" s="580"/>
      <c r="FA66" s="580"/>
      <c r="FB66" s="580"/>
      <c r="FC66" s="580"/>
      <c r="FD66" s="580"/>
      <c r="FE66" s="580"/>
      <c r="FF66" s="580"/>
      <c r="FG66" s="580"/>
      <c r="FH66" s="580"/>
      <c r="FI66" s="580"/>
      <c r="FJ66" s="580"/>
      <c r="FK66" s="580"/>
      <c r="FL66" s="580"/>
      <c r="FM66" s="580"/>
      <c r="FN66" s="580"/>
      <c r="FO66" s="580"/>
      <c r="FP66" s="580"/>
      <c r="FQ66" s="580"/>
      <c r="FR66" s="580"/>
      <c r="FS66" s="580"/>
      <c r="FT66" s="580"/>
      <c r="FU66" s="580"/>
      <c r="FV66" s="580"/>
      <c r="FW66" s="580"/>
      <c r="FX66" s="580"/>
      <c r="FY66" s="580"/>
      <c r="FZ66" s="580"/>
      <c r="GA66" s="580"/>
      <c r="GB66" s="580"/>
      <c r="GC66" s="580"/>
      <c r="GD66" s="580"/>
      <c r="GE66" s="580"/>
      <c r="GF66" s="580"/>
      <c r="GG66" s="580"/>
      <c r="GH66" s="580"/>
      <c r="GI66" s="580"/>
      <c r="GJ66" s="580"/>
      <c r="GK66" s="580"/>
      <c r="GL66" s="580"/>
      <c r="GM66" s="580"/>
      <c r="GN66" s="580"/>
      <c r="GO66" s="580"/>
      <c r="GP66" s="580"/>
      <c r="GQ66" s="580"/>
      <c r="GR66" s="580"/>
      <c r="GS66" s="580"/>
      <c r="GT66" s="580"/>
      <c r="GU66" s="580"/>
      <c r="GV66" s="580"/>
      <c r="GW66" s="580"/>
      <c r="GX66" s="580"/>
      <c r="GY66" s="580"/>
      <c r="GZ66" s="580"/>
      <c r="HA66" s="580"/>
      <c r="HB66" s="580"/>
      <c r="HC66" s="580"/>
    </row>
    <row r="67" spans="1:211" hidden="1">
      <c r="A67" s="685" t="s">
        <v>113</v>
      </c>
      <c r="B67" s="685"/>
      <c r="C67" s="685"/>
      <c r="D67" s="685">
        <f>SUM(D54:D66)</f>
        <v>31</v>
      </c>
      <c r="E67" s="685"/>
      <c r="F67" s="700" t="s">
        <v>232</v>
      </c>
      <c r="G67" s="700">
        <f>COUNTIFS($B$10:$B$40,"ti",[0]!AUGUST,"Skema 3")</f>
        <v>0</v>
      </c>
      <c r="H67" s="576">
        <v>2</v>
      </c>
      <c r="I67" s="854" t="s">
        <v>569</v>
      </c>
      <c r="J67" s="854"/>
      <c r="K67" s="854"/>
      <c r="L67" s="854"/>
      <c r="M67" s="860">
        <f>IF(Stamoplysninger!$B$26="Der er indgået lokalaftale omkring weekendtimer.(Kræver aftale med TR/FSL) Weekendtillæg afspadseres.",M58,0)</f>
        <v>0</v>
      </c>
      <c r="N67" s="860">
        <f>IF(Stamoplysninger!$B$26="Der er indgået lokalaftale omkring weekendtimer.(Kræver aftale med TR/FSL) Weekendtillæg afspadseres.",O60,0)</f>
        <v>0</v>
      </c>
      <c r="O67" s="45"/>
      <c r="P67" s="45"/>
      <c r="Q67" s="45"/>
      <c r="R67" s="45"/>
      <c r="S67" s="45"/>
      <c r="T67" s="45"/>
      <c r="U67" s="580"/>
      <c r="V67" s="580"/>
      <c r="X67" s="580"/>
      <c r="Y67"/>
      <c r="Z67"/>
      <c r="AO67" s="1"/>
      <c r="BL67" s="1"/>
      <c r="BW67" s="455"/>
      <c r="BX67" s="455"/>
      <c r="CY67"/>
      <c r="CZ67"/>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c r="EM67" s="580"/>
      <c r="EN67" s="580"/>
      <c r="EO67" s="580"/>
      <c r="EP67" s="580"/>
      <c r="EQ67" s="580"/>
      <c r="ER67" s="580"/>
      <c r="ES67" s="580"/>
      <c r="ET67" s="580"/>
      <c r="EU67" s="580"/>
      <c r="EV67" s="580"/>
      <c r="EW67" s="580"/>
      <c r="EX67" s="580"/>
      <c r="EY67" s="580"/>
      <c r="EZ67" s="580"/>
      <c r="FA67" s="580"/>
      <c r="FB67" s="580"/>
      <c r="FC67" s="580"/>
      <c r="FD67" s="580"/>
      <c r="FE67" s="580"/>
      <c r="FF67" s="580"/>
      <c r="FG67" s="580"/>
      <c r="FH67" s="580"/>
      <c r="FI67" s="580"/>
      <c r="FJ67" s="580"/>
      <c r="FK67" s="580"/>
      <c r="FL67" s="580"/>
      <c r="FM67" s="580"/>
      <c r="FN67" s="580"/>
      <c r="FO67" s="580"/>
      <c r="FP67" s="580"/>
      <c r="FQ67" s="580"/>
      <c r="FR67" s="580"/>
      <c r="FS67" s="580"/>
      <c r="FT67" s="580"/>
      <c r="FU67" s="580"/>
      <c r="FV67" s="580"/>
      <c r="FW67" s="580"/>
      <c r="FX67" s="580"/>
      <c r="FY67" s="580"/>
      <c r="FZ67" s="580"/>
      <c r="GA67" s="580"/>
      <c r="GB67" s="580"/>
      <c r="GC67" s="580"/>
      <c r="GD67" s="580"/>
      <c r="GE67" s="580"/>
      <c r="GF67" s="580"/>
      <c r="GG67" s="580"/>
      <c r="GH67" s="580"/>
      <c r="GI67" s="580"/>
      <c r="GJ67" s="580"/>
      <c r="GK67" s="580"/>
      <c r="GL67" s="580"/>
      <c r="GM67" s="580"/>
      <c r="GN67" s="580"/>
      <c r="GO67" s="580"/>
      <c r="GP67" s="580"/>
      <c r="GQ67" s="580"/>
      <c r="GR67" s="580"/>
      <c r="GS67" s="580"/>
      <c r="GT67" s="580"/>
      <c r="GU67" s="580"/>
      <c r="GV67" s="580"/>
      <c r="GW67" s="580"/>
      <c r="GX67" s="580"/>
      <c r="GY67" s="580"/>
      <c r="GZ67" s="580"/>
      <c r="HA67" s="580"/>
      <c r="HB67" s="580"/>
      <c r="HC67" s="580"/>
    </row>
    <row r="68" spans="1:211" hidden="1">
      <c r="A68" s="685" t="s">
        <v>282</v>
      </c>
      <c r="B68" s="685"/>
      <c r="C68" s="685"/>
      <c r="D68" s="685">
        <f>D67-D61-A77-D65</f>
        <v>23</v>
      </c>
      <c r="E68" s="703"/>
      <c r="F68" s="700" t="s">
        <v>233</v>
      </c>
      <c r="G68" s="700">
        <f>COUNTIFS($B$10:$B$40,"on",[0]!AUGUST,"Skema 3")</f>
        <v>0</v>
      </c>
      <c r="H68" s="576"/>
      <c r="I68" s="854" t="s">
        <v>570</v>
      </c>
      <c r="J68" s="854"/>
      <c r="K68" s="854"/>
      <c r="L68" s="854"/>
      <c r="M68" s="860">
        <f>IF(Stamoplysninger!$B$26="Der er indgået lokalaftale omkring weekendtimer(Kræver aftale med TR/FSL). Weekendtillæg udbetales.",M58,0)</f>
        <v>0</v>
      </c>
      <c r="N68" s="860">
        <f>IF(Stamoplysninger!$B$26="Der er indgået lokalaftale omkring weekendtimer(Kræver aftale med TR/FSL). Weekendtillæg udbetales.",O60,0)</f>
        <v>0</v>
      </c>
      <c r="O68" s="580"/>
      <c r="P68" s="580"/>
      <c r="Q68" s="580"/>
      <c r="R68" s="580"/>
      <c r="S68" s="580"/>
      <c r="T68" s="580"/>
      <c r="U68" s="580"/>
      <c r="V68" s="580"/>
      <c r="X68" s="580"/>
      <c r="Y68"/>
      <c r="Z68"/>
      <c r="AO68" s="1"/>
      <c r="BL68" s="1"/>
      <c r="BW68" s="455"/>
      <c r="BX68" s="455"/>
      <c r="CY68"/>
      <c r="CZ68"/>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c r="EM68" s="580"/>
      <c r="EN68" s="580"/>
      <c r="EO68" s="580"/>
      <c r="EP68" s="580"/>
      <c r="EQ68" s="580"/>
      <c r="ER68" s="580"/>
      <c r="ES68" s="580"/>
      <c r="ET68" s="580"/>
      <c r="EU68" s="580"/>
      <c r="EV68" s="580"/>
      <c r="EW68" s="580"/>
      <c r="EX68" s="580"/>
      <c r="EY68" s="580"/>
      <c r="EZ68" s="580"/>
      <c r="FA68" s="580"/>
      <c r="FB68" s="580"/>
      <c r="FC68" s="580"/>
      <c r="FD68" s="580"/>
      <c r="FE68" s="580"/>
      <c r="FF68" s="580"/>
      <c r="FG68" s="580"/>
      <c r="FH68" s="580"/>
      <c r="FI68" s="580"/>
      <c r="FJ68" s="580"/>
      <c r="FK68" s="580"/>
      <c r="FL68" s="580"/>
      <c r="FM68" s="580"/>
      <c r="FN68" s="580"/>
      <c r="FO68" s="580"/>
      <c r="FP68" s="580"/>
      <c r="FQ68" s="580"/>
      <c r="FR68" s="580"/>
      <c r="FS68" s="580"/>
      <c r="FT68" s="580"/>
      <c r="FU68" s="580"/>
      <c r="FV68" s="580"/>
      <c r="FW68" s="580"/>
      <c r="FX68" s="580"/>
      <c r="FY68" s="580"/>
      <c r="FZ68" s="580"/>
      <c r="GA68" s="580"/>
      <c r="GB68" s="580"/>
      <c r="GC68" s="580"/>
      <c r="GD68" s="580"/>
      <c r="GE68" s="580"/>
      <c r="GF68" s="580"/>
      <c r="GG68" s="580"/>
      <c r="GH68" s="580"/>
      <c r="GI68" s="580"/>
      <c r="GJ68" s="580"/>
      <c r="GK68" s="580"/>
      <c r="GL68" s="580"/>
      <c r="GM68" s="580"/>
      <c r="GN68" s="580"/>
      <c r="GO68" s="580"/>
      <c r="GP68" s="580"/>
      <c r="GQ68" s="580"/>
      <c r="GR68" s="580"/>
      <c r="GS68" s="580"/>
      <c r="GT68" s="580"/>
      <c r="GU68" s="580"/>
      <c r="GV68" s="580"/>
      <c r="GW68" s="580"/>
      <c r="GX68" s="580"/>
      <c r="GY68" s="580"/>
      <c r="GZ68" s="580"/>
      <c r="HA68" s="580"/>
      <c r="HB68" s="580"/>
      <c r="HC68" s="580"/>
    </row>
    <row r="69" spans="1:211" hidden="1">
      <c r="A69" s="700"/>
      <c r="B69" s="700"/>
      <c r="C69" s="700"/>
      <c r="D69" s="700"/>
      <c r="E69" s="700"/>
      <c r="F69" s="700" t="s">
        <v>234</v>
      </c>
      <c r="G69" s="700">
        <f>COUNTIFS($B$10:$B$40,"to",[0]!AUGUST,"Skema 3")</f>
        <v>0</v>
      </c>
      <c r="H69" s="576"/>
      <c r="I69" s="854" t="s">
        <v>387</v>
      </c>
      <c r="J69" s="854"/>
      <c r="K69" s="854"/>
      <c r="L69" s="854"/>
      <c r="M69" s="862">
        <f>IF(Stamoplysninger!$B$26="Der er indgået lokalaftale omkring weekendtillæg(Kræver aftale med TR/FSL). Weekendtimerne afspadseres.",M58,0)</f>
        <v>0</v>
      </c>
      <c r="N69" s="862">
        <f>IF(Stamoplysninger!$B$26="Der er indgået lokalaftale omkring weekendtillæg(Kræver aftale med TR/FSL). Weekendtimerne afspadseres.",N58,0)</f>
        <v>0</v>
      </c>
      <c r="O69" s="580"/>
      <c r="P69" s="580"/>
      <c r="Q69" s="580"/>
      <c r="R69" s="580"/>
      <c r="S69" s="580"/>
      <c r="T69" s="580"/>
      <c r="U69" s="580"/>
      <c r="V69" s="580"/>
      <c r="X69" s="580"/>
      <c r="Y69"/>
      <c r="Z69"/>
      <c r="AO69" s="1"/>
      <c r="BL69" s="1"/>
      <c r="BW69" s="455"/>
      <c r="BX69" s="455"/>
      <c r="CY69"/>
      <c r="CZ69"/>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c r="EM69" s="580"/>
      <c r="EN69" s="580"/>
      <c r="EO69" s="580"/>
      <c r="EP69" s="580"/>
      <c r="EQ69" s="580"/>
      <c r="ER69" s="580"/>
      <c r="ES69" s="580"/>
      <c r="ET69" s="580"/>
      <c r="EU69" s="580"/>
      <c r="EV69" s="580"/>
      <c r="EW69" s="580"/>
      <c r="EX69" s="580"/>
      <c r="EY69" s="580"/>
      <c r="EZ69" s="580"/>
      <c r="FA69" s="580"/>
      <c r="FB69" s="580"/>
      <c r="FC69" s="580"/>
      <c r="FD69" s="580"/>
      <c r="FE69" s="580"/>
      <c r="FF69" s="580"/>
      <c r="FG69" s="580"/>
      <c r="FH69" s="580"/>
      <c r="FI69" s="580"/>
      <c r="FJ69" s="580"/>
      <c r="FK69" s="580"/>
      <c r="FL69" s="580"/>
      <c r="FM69" s="580"/>
      <c r="FN69" s="580"/>
      <c r="FO69" s="580"/>
      <c r="FP69" s="580"/>
      <c r="FQ69" s="580"/>
      <c r="FR69" s="580"/>
      <c r="FS69" s="580"/>
      <c r="FT69" s="580"/>
      <c r="FU69" s="580"/>
      <c r="FV69" s="580"/>
      <c r="FW69" s="580"/>
      <c r="FX69" s="580"/>
      <c r="FY69" s="580"/>
      <c r="FZ69" s="580"/>
      <c r="GA69" s="580"/>
      <c r="GB69" s="580"/>
      <c r="GC69" s="580"/>
      <c r="GD69" s="580"/>
      <c r="GE69" s="580"/>
      <c r="GF69" s="580"/>
      <c r="GG69" s="580"/>
      <c r="GH69" s="580"/>
      <c r="GI69" s="580"/>
      <c r="GJ69" s="580"/>
      <c r="GK69" s="580"/>
      <c r="GL69" s="580"/>
      <c r="GM69" s="580"/>
      <c r="GN69" s="580"/>
      <c r="GO69" s="580"/>
      <c r="GP69" s="580"/>
      <c r="GQ69" s="580"/>
      <c r="GR69" s="580"/>
      <c r="GS69" s="580"/>
      <c r="GT69" s="580"/>
      <c r="GU69" s="580"/>
      <c r="GV69" s="580"/>
      <c r="GW69" s="580"/>
      <c r="GX69" s="580"/>
      <c r="GY69" s="580"/>
      <c r="GZ69" s="580"/>
      <c r="HA69" s="580"/>
      <c r="HB69" s="580"/>
      <c r="HC69" s="580"/>
    </row>
    <row r="70" spans="1:211" hidden="1">
      <c r="A70" s="700"/>
      <c r="B70" s="700"/>
      <c r="C70" s="700"/>
      <c r="D70" s="700"/>
      <c r="E70" s="700"/>
      <c r="F70" s="700" t="s">
        <v>235</v>
      </c>
      <c r="G70" s="700">
        <f>COUNTIFS($B$10:$B$40,"fr",[0]!AUGUST,"Skema 3")</f>
        <v>0</v>
      </c>
      <c r="H70" s="576">
        <v>1</v>
      </c>
      <c r="I70" s="854" t="s">
        <v>388</v>
      </c>
      <c r="J70" s="854"/>
      <c r="K70" s="854"/>
      <c r="L70" s="854"/>
      <c r="M70" s="862">
        <f>IF(Stamoplysninger!$B$26="Der er indgået lokalaftale omkring weekendtillæg(Kræver aftale med TR/FSL). Weekendtimerne udbetales.",M58,0)</f>
        <v>0</v>
      </c>
      <c r="N70" s="862">
        <f>IF(Stamoplysninger!$B$26="Der er indgået lokalaftale omkring weekendtillæg(Kræver aftale med TR/FSL). Weekendtimerne udbetales.",N58,0)</f>
        <v>0</v>
      </c>
      <c r="O70" s="580"/>
      <c r="P70" s="580"/>
      <c r="Q70" s="580"/>
      <c r="R70" s="580"/>
      <c r="S70" s="580"/>
      <c r="T70" s="580"/>
      <c r="U70" s="580"/>
      <c r="V70" s="580"/>
      <c r="X70" s="580"/>
      <c r="Y70"/>
      <c r="Z70"/>
      <c r="AO70" s="1"/>
      <c r="BL70" s="1"/>
      <c r="BW70" s="455"/>
      <c r="BX70" s="455"/>
      <c r="CY70"/>
      <c r="CZ7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c r="EM70" s="580"/>
      <c r="EN70" s="580"/>
      <c r="EO70" s="580"/>
      <c r="EP70" s="580"/>
      <c r="EQ70" s="580"/>
      <c r="ER70" s="580"/>
      <c r="ES70" s="580"/>
      <c r="ET70" s="580"/>
      <c r="EU70" s="580"/>
      <c r="EV70" s="580"/>
      <c r="EW70" s="580"/>
      <c r="EX70" s="580"/>
      <c r="EY70" s="580"/>
      <c r="EZ70" s="580"/>
      <c r="FA70" s="580"/>
      <c r="FB70" s="580"/>
      <c r="FC70" s="580"/>
      <c r="FD70" s="580"/>
      <c r="FE70" s="580"/>
      <c r="FF70" s="580"/>
      <c r="FG70" s="580"/>
      <c r="FH70" s="580"/>
      <c r="FI70" s="580"/>
      <c r="FJ70" s="580"/>
      <c r="FK70" s="580"/>
      <c r="FL70" s="580"/>
      <c r="FM70" s="580"/>
      <c r="FN70" s="580"/>
      <c r="FO70" s="580"/>
      <c r="FP70" s="580"/>
      <c r="FQ70" s="580"/>
      <c r="FR70" s="580"/>
      <c r="FS70" s="580"/>
      <c r="FT70" s="580"/>
      <c r="FU70" s="580"/>
      <c r="FV70" s="580"/>
      <c r="FW70" s="580"/>
      <c r="FX70" s="580"/>
      <c r="FY70" s="580"/>
      <c r="FZ70" s="580"/>
      <c r="GA70" s="580"/>
      <c r="GB70" s="580"/>
      <c r="GC70" s="580"/>
      <c r="GD70" s="580"/>
      <c r="GE70" s="580"/>
      <c r="GF70" s="580"/>
      <c r="GG70" s="580"/>
      <c r="GH70" s="580"/>
      <c r="GI70" s="580"/>
      <c r="GJ70" s="580"/>
      <c r="GK70" s="580"/>
      <c r="GL70" s="580"/>
      <c r="GM70" s="580"/>
      <c r="GN70" s="580"/>
      <c r="GO70" s="580"/>
      <c r="GP70" s="580"/>
      <c r="GQ70" s="580"/>
      <c r="GR70" s="580"/>
      <c r="GS70" s="580"/>
      <c r="GT70" s="580"/>
      <c r="GU70" s="580"/>
      <c r="GV70" s="580"/>
      <c r="GW70" s="580"/>
      <c r="GX70" s="580"/>
      <c r="GY70" s="580"/>
      <c r="GZ70" s="580"/>
      <c r="HA70" s="580"/>
      <c r="HB70" s="580"/>
      <c r="HC70" s="580"/>
    </row>
    <row r="71" spans="1:211" hidden="1">
      <c r="A71" s="700" t="s">
        <v>344</v>
      </c>
      <c r="B71" s="700"/>
      <c r="C71" s="700"/>
      <c r="D71" s="700"/>
      <c r="E71" s="700"/>
      <c r="F71" s="700"/>
      <c r="G71" s="700"/>
      <c r="H71" s="576">
        <v>2</v>
      </c>
      <c r="I71" s="854" t="s">
        <v>571</v>
      </c>
      <c r="J71" s="854"/>
      <c r="K71" s="854"/>
      <c r="L71" s="854"/>
      <c r="M71" s="862">
        <f>IF(Stamoplysninger!$B$26="Der er indgået lokalaftale omkring weekendtillæg(Kræver aftale med TR/FSL). Weekendtimerne afspadseres.",M58,0)</f>
        <v>0</v>
      </c>
      <c r="N71" s="862">
        <f>IF(Stamoplysninger!$B$26="Der er indgået lokalaftale omkring weekendtillæg(Kræver aftale med TR/FSL). Weekendtimerne afspadseres.",N58,0)</f>
        <v>0</v>
      </c>
      <c r="O71" s="580"/>
      <c r="P71" s="580"/>
      <c r="Q71" s="580"/>
      <c r="R71" s="580"/>
      <c r="S71" s="580"/>
      <c r="T71" s="580"/>
      <c r="U71" s="580"/>
      <c r="V71" s="580"/>
      <c r="X71" s="580"/>
      <c r="Y71"/>
      <c r="Z71"/>
      <c r="AO71" s="1"/>
      <c r="BL71" s="1"/>
      <c r="BW71" s="455"/>
      <c r="BX71" s="455"/>
      <c r="CY71"/>
      <c r="CZ71"/>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c r="EM71" s="580"/>
      <c r="EN71" s="580"/>
      <c r="EO71" s="580"/>
      <c r="EP71" s="580"/>
      <c r="EQ71" s="580"/>
      <c r="ER71" s="580"/>
      <c r="ES71" s="580"/>
      <c r="ET71" s="580"/>
      <c r="EU71" s="580"/>
      <c r="EV71" s="580"/>
      <c r="EW71" s="580"/>
      <c r="EX71" s="580"/>
      <c r="EY71" s="580"/>
      <c r="EZ71" s="580"/>
      <c r="FA71" s="580"/>
      <c r="FB71" s="580"/>
      <c r="FC71" s="580"/>
      <c r="FD71" s="580"/>
      <c r="FE71" s="580"/>
      <c r="FF71" s="580"/>
      <c r="FG71" s="580"/>
      <c r="FH71" s="580"/>
      <c r="FI71" s="580"/>
      <c r="FJ71" s="580"/>
      <c r="FK71" s="580"/>
      <c r="FL71" s="580"/>
      <c r="FM71" s="580"/>
      <c r="FN71" s="580"/>
      <c r="FO71" s="580"/>
      <c r="FP71" s="580"/>
      <c r="FQ71" s="580"/>
      <c r="FR71" s="580"/>
      <c r="FS71" s="580"/>
      <c r="FT71" s="580"/>
      <c r="FU71" s="580"/>
      <c r="FV71" s="580"/>
      <c r="FW71" s="580"/>
      <c r="FX71" s="580"/>
      <c r="FY71" s="580"/>
      <c r="FZ71" s="580"/>
      <c r="GA71" s="580"/>
      <c r="GB71" s="580"/>
      <c r="GC71" s="580"/>
      <c r="GD71" s="580"/>
      <c r="GE71" s="580"/>
      <c r="GF71" s="580"/>
      <c r="GG71" s="580"/>
      <c r="GH71" s="580"/>
      <c r="GI71" s="580"/>
      <c r="GJ71" s="580"/>
      <c r="GK71" s="580"/>
      <c r="GL71" s="580"/>
      <c r="GM71" s="580"/>
      <c r="GN71" s="580"/>
      <c r="GO71" s="580"/>
      <c r="GP71" s="580"/>
      <c r="GQ71" s="580"/>
      <c r="GR71" s="580"/>
      <c r="GS71" s="580"/>
      <c r="GT71" s="580"/>
      <c r="GU71" s="580"/>
      <c r="GV71" s="580"/>
      <c r="GW71" s="580"/>
      <c r="GX71" s="580"/>
      <c r="GY71" s="580"/>
      <c r="GZ71" s="580"/>
      <c r="HA71" s="580"/>
      <c r="HB71" s="580"/>
      <c r="HC71" s="580"/>
    </row>
    <row r="72" spans="1:211" hidden="1">
      <c r="A72" s="700">
        <f>COUNTIF($C$15:$C$16,"Skema 1")+COUNTIF($C$15:$C$16,"Skema 2")+COUNTIF($C$15:$C$16,"Skema 3")+COUNTIF($C$15:$C$16,"Skema 4")+COUNTIF($C$15:$C$16,"Fagdag")+COUNTIF($C$15:$C$16,"Emnedag")+COUNTIF($C$15:$C$16,"Lejrskole")+COUNTIF($C$15:$C$16,"Ekskursion")+COUNTIF($C$15:$C$16,"Pæd.dag")</f>
        <v>0</v>
      </c>
      <c r="B72" s="700"/>
      <c r="C72" s="700"/>
      <c r="D72" s="700"/>
      <c r="E72" s="700"/>
      <c r="F72" s="700" t="s">
        <v>236</v>
      </c>
      <c r="G72" s="700">
        <f>COUNTIFS($B$10:$B$40,"ma",[0]!AUGUST,"Skema 4")</f>
        <v>0</v>
      </c>
      <c r="H72" s="576"/>
      <c r="I72" s="854" t="s">
        <v>572</v>
      </c>
      <c r="J72" s="854"/>
      <c r="K72" s="854"/>
      <c r="L72" s="854"/>
      <c r="M72" s="862">
        <f>IF(Stamoplysninger!$B$26="Der er indgået lokalaftale omkring weekendtillæg(Kræver aftale med TR/FSL). Weekendtimerne udbetales.",M58,0)</f>
        <v>0</v>
      </c>
      <c r="N72" s="862">
        <f>IF(Stamoplysninger!$B$26="Der er indgået lokalaftale omkring weekendtillæg(Kræver aftale med TR/FSL). Weekendtimerne udbetales.",N58,0)</f>
        <v>0</v>
      </c>
      <c r="O72" s="580"/>
      <c r="P72" s="580"/>
      <c r="Q72" s="580"/>
      <c r="R72" s="580"/>
      <c r="S72" s="580"/>
      <c r="T72" s="580"/>
      <c r="U72" s="580"/>
      <c r="V72" s="580"/>
      <c r="X72" s="580"/>
      <c r="Y72"/>
      <c r="Z72"/>
      <c r="AO72" s="1"/>
      <c r="BL72" s="1"/>
      <c r="BW72" s="455"/>
      <c r="BX72" s="455"/>
      <c r="CY72"/>
      <c r="CZ72"/>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c r="EM72" s="580"/>
      <c r="EN72" s="580"/>
      <c r="EO72" s="580"/>
      <c r="EP72" s="580"/>
      <c r="EQ72" s="580"/>
      <c r="ER72" s="580"/>
      <c r="ES72" s="580"/>
      <c r="ET72" s="580"/>
      <c r="EU72" s="580"/>
      <c r="EV72" s="580"/>
      <c r="EW72" s="580"/>
      <c r="EX72" s="580"/>
      <c r="EY72" s="580"/>
      <c r="EZ72" s="580"/>
      <c r="FA72" s="580"/>
      <c r="FB72" s="580"/>
      <c r="FC72" s="580"/>
      <c r="FD72" s="580"/>
      <c r="FE72" s="580"/>
      <c r="FF72" s="580"/>
      <c r="FG72" s="580"/>
      <c r="FH72" s="580"/>
      <c r="FI72" s="580"/>
      <c r="FJ72" s="580"/>
      <c r="FK72" s="580"/>
      <c r="FL72" s="580"/>
      <c r="FM72" s="580"/>
      <c r="FN72" s="580"/>
      <c r="FO72" s="580"/>
      <c r="FP72" s="580"/>
      <c r="FQ72" s="580"/>
      <c r="FR72" s="580"/>
      <c r="FS72" s="580"/>
      <c r="FT72" s="580"/>
      <c r="FU72" s="580"/>
      <c r="FV72" s="580"/>
      <c r="FW72" s="580"/>
      <c r="FX72" s="580"/>
      <c r="FY72" s="580"/>
      <c r="FZ72" s="580"/>
      <c r="GA72" s="580"/>
      <c r="GB72" s="580"/>
      <c r="GC72" s="580"/>
      <c r="GD72" s="580"/>
      <c r="GE72" s="580"/>
      <c r="GF72" s="580"/>
      <c r="GG72" s="580"/>
      <c r="GH72" s="580"/>
      <c r="GI72" s="580"/>
      <c r="GJ72" s="580"/>
      <c r="GK72" s="580"/>
      <c r="GL72" s="580"/>
      <c r="GM72" s="580"/>
      <c r="GN72" s="580"/>
      <c r="GO72" s="580"/>
      <c r="GP72" s="580"/>
      <c r="GQ72" s="580"/>
      <c r="GR72" s="580"/>
      <c r="GS72" s="580"/>
      <c r="GT72" s="580"/>
      <c r="GU72" s="580"/>
      <c r="GV72" s="580"/>
      <c r="GW72" s="580"/>
      <c r="GX72" s="580"/>
      <c r="GY72" s="580"/>
      <c r="GZ72" s="580"/>
      <c r="HA72" s="580"/>
      <c r="HB72" s="580"/>
      <c r="HC72" s="580"/>
    </row>
    <row r="73" spans="1:211" hidden="1">
      <c r="A73" s="700">
        <f>COUNTIF($C$22:$C$23,"Skema 1")+COUNTIF($C$22:$C$23,"Skema 2")+COUNTIF($C$22:$C$23,"Skema 3")+COUNTIF($C$22:$C$23,"Skema 4")+COUNTIF($C$22:$C$23,"Fagdag")+COUNTIF($C$22:$C$23,"Emnedag")+COUNTIF($C$22:$C$23,"Lejrskole")+COUNTIF($C$22:$C$23,"Ekskursion")+COUNTIF($C$22:$C$23,"Pæd.dag")</f>
        <v>0</v>
      </c>
      <c r="B73" s="700"/>
      <c r="C73" s="700"/>
      <c r="D73" s="700"/>
      <c r="E73" s="700"/>
      <c r="F73" s="700" t="s">
        <v>237</v>
      </c>
      <c r="G73" s="700">
        <f>COUNTIFS($B$10:$B$40,"ti",[0]!AUGUST,"Skema 4")</f>
        <v>0</v>
      </c>
      <c r="H73" s="576"/>
      <c r="I73" s="576" t="s">
        <v>568</v>
      </c>
      <c r="J73" s="45"/>
      <c r="K73" s="45"/>
      <c r="L73" s="45"/>
      <c r="M73" s="754">
        <f>IF(Stamoplysninger!$B$26="Der er indgået lokalaftale omkring weekendtimer og weekendtillæg.(Kræver aftale med TR/FSL).",M58,0)</f>
        <v>0</v>
      </c>
      <c r="N73" s="754"/>
      <c r="O73" s="580"/>
      <c r="P73" s="580"/>
      <c r="Q73" s="580"/>
      <c r="R73" s="580"/>
      <c r="S73" s="580"/>
      <c r="T73" s="580"/>
      <c r="V73" s="580"/>
      <c r="X73" s="580"/>
      <c r="Y73"/>
      <c r="Z73"/>
      <c r="AO73" s="1"/>
      <c r="BL73" s="1"/>
      <c r="BW73" s="455"/>
      <c r="BX73" s="455"/>
      <c r="CY73"/>
      <c r="CZ73"/>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c r="EM73" s="580"/>
      <c r="EN73" s="580"/>
      <c r="EO73" s="580"/>
      <c r="EP73" s="580"/>
      <c r="EQ73" s="580"/>
      <c r="ER73" s="580"/>
      <c r="ES73" s="580"/>
      <c r="ET73" s="580"/>
      <c r="EU73" s="580"/>
      <c r="EV73" s="580"/>
      <c r="EW73" s="580"/>
      <c r="EX73" s="580"/>
      <c r="EY73" s="580"/>
      <c r="EZ73" s="580"/>
      <c r="FA73" s="580"/>
      <c r="FB73" s="580"/>
      <c r="FC73" s="580"/>
      <c r="FD73" s="580"/>
      <c r="FE73" s="580"/>
      <c r="FF73" s="580"/>
      <c r="FG73" s="580"/>
      <c r="FH73" s="580"/>
      <c r="FI73" s="580"/>
      <c r="FJ73" s="580"/>
      <c r="FK73" s="580"/>
      <c r="FL73" s="580"/>
      <c r="FM73" s="580"/>
      <c r="FN73" s="580"/>
      <c r="FO73" s="580"/>
      <c r="FP73" s="580"/>
      <c r="FQ73" s="580"/>
      <c r="FR73" s="580"/>
      <c r="FS73" s="580"/>
      <c r="FT73" s="580"/>
      <c r="FU73" s="580"/>
      <c r="FV73" s="580"/>
      <c r="FW73" s="580"/>
      <c r="FX73" s="580"/>
      <c r="FY73" s="580"/>
      <c r="FZ73" s="580"/>
      <c r="GA73" s="580"/>
      <c r="GB73" s="580"/>
      <c r="GC73" s="580"/>
      <c r="GD73" s="580"/>
      <c r="GE73" s="580"/>
      <c r="GF73" s="580"/>
      <c r="GG73" s="580"/>
      <c r="GH73" s="580"/>
      <c r="GI73" s="580"/>
      <c r="GJ73" s="580"/>
      <c r="GK73" s="580"/>
      <c r="GL73" s="580"/>
      <c r="GM73" s="580"/>
      <c r="GN73" s="580"/>
      <c r="GO73" s="580"/>
      <c r="GP73" s="580"/>
      <c r="GQ73" s="580"/>
      <c r="GR73" s="580"/>
      <c r="GS73" s="580"/>
      <c r="GT73" s="580"/>
      <c r="GU73" s="580"/>
      <c r="GV73" s="580"/>
      <c r="GW73" s="580"/>
      <c r="GX73" s="580"/>
      <c r="GY73" s="580"/>
      <c r="GZ73" s="580"/>
      <c r="HA73" s="580"/>
      <c r="HB73" s="580"/>
      <c r="HC73" s="580"/>
    </row>
    <row r="74" spans="1:211" hidden="1">
      <c r="A74" s="700">
        <f>COUNTIF($C$29:$C$30,"Skema 1")+COUNTIF($C$29:$C$30,"Skema 2")+COUNTIF($C$29:$C$30,"Skema 3")+COUNTIF($C$29:$C$30,"Skema 4")+COUNTIF($C$29:$C$30,"Fagdag")+COUNTIF($C$29:$C$30,"Emnedag")+COUNTIF($C$29:$C$30,"Lejrskole")+COUNTIF($C$29:$C$30,"Ekskursion")+COUNTIF($C$29:$C$30,"Pæd.dag")</f>
        <v>0</v>
      </c>
      <c r="B74" s="700"/>
      <c r="C74" s="700"/>
      <c r="D74" s="700"/>
      <c r="E74" s="700"/>
      <c r="F74" s="700" t="s">
        <v>238</v>
      </c>
      <c r="G74" s="700">
        <f>COUNTIFS($B$10:$B$40,"on",[0]!AUGUST,"Skema 4")</f>
        <v>0</v>
      </c>
      <c r="H74" s="576"/>
      <c r="I74" s="576"/>
      <c r="J74" s="45"/>
      <c r="K74" s="45"/>
      <c r="L74" s="45"/>
      <c r="M74" s="580"/>
      <c r="N74" s="580"/>
      <c r="O74" s="580"/>
      <c r="P74" s="580"/>
      <c r="Q74" s="580"/>
      <c r="R74" s="580"/>
      <c r="S74" s="580"/>
      <c r="T74" s="580"/>
      <c r="V74" s="580"/>
      <c r="Y74"/>
      <c r="Z74"/>
      <c r="AO74" s="1"/>
      <c r="BL74" s="1"/>
      <c r="BW74" s="455"/>
      <c r="BX74" s="455"/>
      <c r="CY74"/>
      <c r="CZ74"/>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c r="EM74" s="580"/>
      <c r="EN74" s="580"/>
      <c r="EO74" s="580"/>
      <c r="EP74" s="580"/>
      <c r="EQ74" s="580"/>
      <c r="ER74" s="580"/>
      <c r="ES74" s="580"/>
      <c r="ET74" s="580"/>
      <c r="EU74" s="580"/>
      <c r="EV74" s="580"/>
      <c r="EW74" s="580"/>
      <c r="EX74" s="580"/>
      <c r="EY74" s="580"/>
      <c r="EZ74" s="580"/>
      <c r="FA74" s="580"/>
      <c r="FB74" s="580"/>
      <c r="FC74" s="580"/>
      <c r="FD74" s="580"/>
      <c r="FE74" s="580"/>
      <c r="FF74" s="580"/>
      <c r="FG74" s="580"/>
      <c r="FH74" s="580"/>
      <c r="FI74" s="580"/>
      <c r="FJ74" s="580"/>
      <c r="FK74" s="580"/>
      <c r="FL74" s="580"/>
      <c r="FM74" s="580"/>
      <c r="FN74" s="580"/>
      <c r="FO74" s="580"/>
      <c r="FP74" s="580"/>
      <c r="FQ74" s="580"/>
      <c r="FR74" s="580"/>
      <c r="FS74" s="580"/>
      <c r="FT74" s="580"/>
      <c r="FU74" s="580"/>
      <c r="FV74" s="580"/>
      <c r="FW74" s="580"/>
      <c r="FX74" s="580"/>
      <c r="FY74" s="580"/>
      <c r="FZ74" s="580"/>
      <c r="GA74" s="580"/>
      <c r="GB74" s="580"/>
      <c r="GC74" s="580"/>
      <c r="GD74" s="580"/>
      <c r="GE74" s="580"/>
      <c r="GF74" s="580"/>
      <c r="GG74" s="580"/>
      <c r="GH74" s="580"/>
      <c r="GI74" s="580"/>
      <c r="GJ74" s="580"/>
      <c r="GK74" s="580"/>
      <c r="GL74" s="580"/>
      <c r="GM74" s="580"/>
      <c r="GN74" s="580"/>
      <c r="GO74" s="580"/>
      <c r="GP74" s="580"/>
      <c r="GQ74" s="580"/>
      <c r="GR74" s="580"/>
      <c r="GS74" s="580"/>
      <c r="GT74" s="580"/>
      <c r="GU74" s="580"/>
      <c r="GV74" s="580"/>
      <c r="GW74" s="580"/>
      <c r="GX74" s="580"/>
      <c r="GY74" s="580"/>
      <c r="GZ74" s="580"/>
      <c r="HA74" s="580"/>
      <c r="HB74" s="580"/>
      <c r="HC74" s="580"/>
    </row>
    <row r="75" spans="1:211" hidden="1">
      <c r="A75" s="700">
        <f>COUNTIF($C$36:$C$37,"Skema 1")+COUNTIF($C$36:$C$37,"Skema 2")+COUNTIF($C$36:$C$37,"Skema 3")+COUNTIF($C$36:$C$37,"Skema 4")+COUNTIF($C$36:$C$37,"Fagdag")+COUNTIF($C$36:$C$37,"Emnedag")+COUNTIF($C$36:$C$37,"Lejrskole")+COUNTIF($C$36:$C$37,"Ekskursion")+COUNTIF($C$36:$C$37,"Pæd.dag")</f>
        <v>0</v>
      </c>
      <c r="B75" s="700"/>
      <c r="C75" s="700"/>
      <c r="D75" s="700"/>
      <c r="E75" s="700"/>
      <c r="F75" s="700" t="s">
        <v>239</v>
      </c>
      <c r="G75" s="700">
        <f>COUNTIFS($B$10:$B$40,"to",[0]!AUGUST,"Skema 4")</f>
        <v>0</v>
      </c>
      <c r="H75" s="576"/>
      <c r="I75" s="576"/>
      <c r="J75" s="45"/>
      <c r="K75" s="45"/>
      <c r="L75" s="45"/>
      <c r="M75" s="580"/>
      <c r="N75" s="580"/>
      <c r="O75" s="580"/>
      <c r="P75" s="580"/>
      <c r="Q75" s="580"/>
      <c r="R75" s="580"/>
      <c r="S75" s="580"/>
      <c r="T75" s="580"/>
      <c r="V75" s="580"/>
      <c r="Y75"/>
      <c r="Z75"/>
      <c r="AO75" s="1"/>
      <c r="BL75" s="1"/>
      <c r="BW75" s="455"/>
      <c r="BX75" s="455"/>
      <c r="CY75"/>
      <c r="CZ75"/>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c r="EM75" s="580"/>
      <c r="EN75" s="580"/>
      <c r="EO75" s="580"/>
      <c r="EP75" s="580"/>
      <c r="EQ75" s="580"/>
      <c r="ER75" s="580"/>
      <c r="ES75" s="580"/>
      <c r="ET75" s="580"/>
      <c r="EU75" s="580"/>
      <c r="EV75" s="580"/>
      <c r="EW75" s="580"/>
      <c r="EX75" s="580"/>
      <c r="EY75" s="580"/>
      <c r="EZ75" s="580"/>
      <c r="FA75" s="580"/>
      <c r="FB75" s="580"/>
      <c r="FC75" s="580"/>
      <c r="FD75" s="580"/>
      <c r="FE75" s="580"/>
      <c r="FF75" s="580"/>
      <c r="FG75" s="580"/>
      <c r="FH75" s="580"/>
      <c r="FI75" s="580"/>
      <c r="FJ75" s="580"/>
      <c r="FK75" s="580"/>
      <c r="FL75" s="580"/>
      <c r="FM75" s="580"/>
      <c r="FN75" s="580"/>
      <c r="FO75" s="580"/>
      <c r="FP75" s="580"/>
      <c r="FQ75" s="580"/>
      <c r="FR75" s="580"/>
      <c r="FS75" s="580"/>
      <c r="FT75" s="580"/>
      <c r="FU75" s="580"/>
      <c r="FV75" s="580"/>
      <c r="FW75" s="580"/>
      <c r="FX75" s="580"/>
      <c r="FY75" s="580"/>
      <c r="FZ75" s="580"/>
      <c r="GA75" s="580"/>
      <c r="GB75" s="580"/>
      <c r="GC75" s="580"/>
      <c r="GD75" s="580"/>
      <c r="GE75" s="580"/>
      <c r="GF75" s="580"/>
      <c r="GG75" s="580"/>
      <c r="GH75" s="580"/>
      <c r="GI75" s="580"/>
      <c r="GJ75" s="580"/>
      <c r="GK75" s="580"/>
      <c r="GL75" s="580"/>
      <c r="GM75" s="580"/>
      <c r="GN75" s="580"/>
      <c r="GO75" s="580"/>
      <c r="GP75" s="580"/>
      <c r="GQ75" s="580"/>
      <c r="GR75" s="580"/>
      <c r="GS75" s="580"/>
      <c r="GT75" s="580"/>
      <c r="GU75" s="580"/>
      <c r="GV75" s="580"/>
      <c r="GW75" s="580"/>
      <c r="GX75" s="580"/>
      <c r="GY75" s="580"/>
      <c r="GZ75" s="580"/>
      <c r="HA75" s="580"/>
      <c r="HB75" s="580"/>
      <c r="HC75" s="580"/>
    </row>
    <row r="76" spans="1:211" hidden="1">
      <c r="A76" s="700"/>
      <c r="B76" s="700"/>
      <c r="C76" s="700"/>
      <c r="D76" s="700"/>
      <c r="E76" s="700"/>
      <c r="F76" s="700" t="s">
        <v>240</v>
      </c>
      <c r="G76" s="700">
        <f>COUNTIFS($B$10:$B$40,"fr",[0]!AUGUST,"Skema 4")</f>
        <v>0</v>
      </c>
      <c r="H76" s="576"/>
      <c r="I76" s="576"/>
      <c r="J76" s="45"/>
      <c r="K76" s="45"/>
      <c r="L76" s="45"/>
      <c r="M76" s="580"/>
      <c r="N76" s="580"/>
      <c r="O76" s="580"/>
      <c r="P76" s="580"/>
      <c r="Q76" s="580"/>
      <c r="R76" s="580"/>
      <c r="S76" s="580"/>
      <c r="T76" s="580"/>
      <c r="V76" s="580"/>
      <c r="Y76"/>
      <c r="Z76"/>
      <c r="AO76" s="1">
        <f>SUM(N76:AN76)</f>
        <v>0</v>
      </c>
      <c r="BL76" s="1">
        <f>SUM(AI76:BK76)</f>
        <v>0</v>
      </c>
      <c r="BW76" s="455"/>
      <c r="BX76" s="455"/>
      <c r="CY76"/>
      <c r="CZ76"/>
      <c r="DN76" s="580"/>
      <c r="DO76" s="580"/>
      <c r="DP76" s="580"/>
      <c r="DQ76" s="580"/>
      <c r="DR76" s="580"/>
      <c r="DS76" s="580"/>
      <c r="DT76" s="580"/>
      <c r="DU76" s="580"/>
      <c r="DV76" s="580"/>
      <c r="DW76" s="580"/>
      <c r="DX76" s="580"/>
      <c r="DY76" s="580"/>
      <c r="DZ76" s="580"/>
      <c r="EA76" s="580"/>
      <c r="EB76" s="580"/>
      <c r="EC76" s="580"/>
      <c r="ED76" s="580"/>
      <c r="EE76" s="580"/>
      <c r="EF76" s="580"/>
      <c r="EG76" s="580"/>
      <c r="EH76" s="580"/>
      <c r="EI76" s="580"/>
      <c r="EJ76" s="580"/>
      <c r="EK76" s="580"/>
      <c r="EL76" s="580"/>
      <c r="EM76" s="580"/>
      <c r="EN76" s="580"/>
      <c r="EO76" s="580"/>
      <c r="EP76" s="580"/>
      <c r="EQ76" s="580"/>
      <c r="ER76" s="580"/>
      <c r="ES76" s="580"/>
      <c r="ET76" s="580"/>
      <c r="EU76" s="580"/>
      <c r="EV76" s="580"/>
      <c r="EW76" s="580"/>
      <c r="EX76" s="580"/>
      <c r="EY76" s="580"/>
      <c r="EZ76" s="580"/>
      <c r="FA76" s="580"/>
      <c r="FB76" s="580"/>
      <c r="FC76" s="580"/>
      <c r="FD76" s="580"/>
      <c r="FE76" s="580"/>
      <c r="FF76" s="580"/>
      <c r="FG76" s="580"/>
      <c r="FH76" s="580"/>
      <c r="FI76" s="580"/>
      <c r="FJ76" s="580"/>
      <c r="FK76" s="580"/>
      <c r="FL76" s="580"/>
      <c r="FM76" s="580"/>
      <c r="FN76" s="580"/>
      <c r="FO76" s="580"/>
      <c r="FP76" s="580"/>
      <c r="FQ76" s="580"/>
      <c r="FR76" s="580"/>
      <c r="FS76" s="580"/>
      <c r="FT76" s="580"/>
      <c r="FU76" s="580"/>
      <c r="FV76" s="580"/>
      <c r="FW76" s="580"/>
      <c r="FX76" s="580"/>
      <c r="FY76" s="580"/>
      <c r="FZ76" s="580"/>
      <c r="GA76" s="580"/>
      <c r="GB76" s="580"/>
      <c r="GC76" s="580"/>
      <c r="GD76" s="580"/>
      <c r="GE76" s="580"/>
      <c r="GF76" s="580"/>
      <c r="GG76" s="580"/>
      <c r="GH76" s="580"/>
      <c r="GI76" s="580"/>
      <c r="GJ76" s="580"/>
      <c r="GK76" s="580"/>
      <c r="GL76" s="580"/>
      <c r="GM76" s="580"/>
      <c r="GN76" s="580"/>
      <c r="GO76" s="580"/>
      <c r="GP76" s="580"/>
      <c r="GQ76" s="580"/>
      <c r="GR76" s="580"/>
      <c r="GS76" s="580"/>
      <c r="GT76" s="580"/>
      <c r="GU76" s="580"/>
      <c r="GV76" s="580"/>
      <c r="GW76" s="580"/>
      <c r="GX76" s="580"/>
      <c r="GY76" s="580"/>
      <c r="GZ76" s="580"/>
      <c r="HA76" s="580"/>
      <c r="HB76" s="580"/>
      <c r="HC76" s="580"/>
    </row>
    <row r="77" spans="1:211" hidden="1">
      <c r="A77" s="700">
        <f>SUM(A72:A76)</f>
        <v>0</v>
      </c>
      <c r="B77" s="700"/>
      <c r="C77" s="700"/>
      <c r="D77" s="700"/>
      <c r="E77" s="700"/>
      <c r="F77" s="700"/>
      <c r="G77" s="700">
        <f>SUM(G54:G76)</f>
        <v>17</v>
      </c>
      <c r="H77" s="45"/>
      <c r="I77" s="576"/>
      <c r="J77" s="45"/>
      <c r="K77" s="45"/>
      <c r="L77" s="45"/>
      <c r="M77" s="580"/>
      <c r="Y77"/>
      <c r="Z77"/>
      <c r="AO77" s="1">
        <f>SUM(N77:AN77)</f>
        <v>0</v>
      </c>
      <c r="BL77" s="1">
        <f>SUM(AI77:BK77)</f>
        <v>0</v>
      </c>
      <c r="BW77" s="455"/>
      <c r="BX77" s="455"/>
      <c r="CY77"/>
      <c r="CZ77"/>
      <c r="DN77" s="580"/>
      <c r="DO77" s="580"/>
      <c r="DP77" s="580"/>
      <c r="DQ77" s="580"/>
      <c r="DR77" s="580"/>
      <c r="DS77" s="580"/>
      <c r="DT77" s="580"/>
      <c r="DU77" s="580"/>
      <c r="DV77" s="580"/>
      <c r="DW77" s="580"/>
      <c r="DX77" s="580"/>
      <c r="DY77" s="580"/>
      <c r="DZ77" s="580"/>
      <c r="EA77" s="580"/>
      <c r="EB77" s="580"/>
      <c r="EC77" s="580"/>
      <c r="ED77" s="580"/>
      <c r="EE77" s="580"/>
      <c r="EF77" s="580"/>
      <c r="EG77" s="580"/>
      <c r="EH77" s="580"/>
      <c r="EI77" s="580"/>
      <c r="EJ77" s="580"/>
      <c r="EK77" s="580"/>
      <c r="EL77" s="580"/>
      <c r="EM77" s="580"/>
      <c r="EN77" s="580"/>
      <c r="EO77" s="580"/>
      <c r="EP77" s="580"/>
      <c r="EQ77" s="580"/>
      <c r="ER77" s="580"/>
      <c r="ES77" s="580"/>
      <c r="ET77" s="580"/>
      <c r="EU77" s="580"/>
      <c r="EV77" s="580"/>
      <c r="EW77" s="580"/>
      <c r="EX77" s="580"/>
      <c r="EY77" s="580"/>
      <c r="EZ77" s="580"/>
      <c r="FA77" s="580"/>
      <c r="FB77" s="580"/>
      <c r="FC77" s="580"/>
      <c r="FD77" s="580"/>
      <c r="FE77" s="580"/>
      <c r="FF77" s="580"/>
      <c r="FG77" s="580"/>
      <c r="FH77" s="580"/>
      <c r="FI77" s="580"/>
      <c r="FJ77" s="580"/>
      <c r="FK77" s="580"/>
      <c r="FL77" s="580"/>
      <c r="FM77" s="580"/>
      <c r="FN77" s="580"/>
      <c r="FO77" s="580"/>
      <c r="FP77" s="580"/>
      <c r="FQ77" s="580"/>
      <c r="FR77" s="580"/>
      <c r="FS77" s="580"/>
      <c r="FT77" s="580"/>
      <c r="FU77" s="580"/>
      <c r="FV77" s="580"/>
      <c r="FW77" s="580"/>
      <c r="FX77" s="580"/>
      <c r="FY77" s="580"/>
      <c r="FZ77" s="580"/>
      <c r="GA77" s="580"/>
      <c r="GB77" s="580"/>
      <c r="GC77" s="580"/>
      <c r="GD77" s="580"/>
      <c r="GE77" s="580"/>
      <c r="GF77" s="580"/>
      <c r="GG77" s="580"/>
      <c r="GH77" s="580"/>
      <c r="GI77" s="580"/>
      <c r="GJ77" s="580"/>
      <c r="GK77" s="580"/>
      <c r="GL77" s="580"/>
      <c r="GM77" s="580"/>
      <c r="GN77" s="580"/>
      <c r="GO77" s="580"/>
      <c r="GP77" s="580"/>
      <c r="GQ77" s="580"/>
      <c r="GR77" s="580"/>
      <c r="GS77" s="580"/>
      <c r="GT77" s="580"/>
      <c r="GU77" s="580"/>
      <c r="GV77" s="580"/>
      <c r="GW77" s="580"/>
      <c r="GX77" s="580"/>
      <c r="GY77" s="580"/>
      <c r="GZ77" s="580"/>
      <c r="HA77" s="580"/>
      <c r="HB77" s="580"/>
      <c r="HC77" s="580"/>
    </row>
    <row r="78" spans="1:211" hidden="1">
      <c r="A78" s="704"/>
      <c r="B78" s="704"/>
      <c r="C78" s="704"/>
      <c r="D78" s="704"/>
      <c r="E78" s="700"/>
      <c r="F78" s="700"/>
      <c r="G78" s="700"/>
      <c r="H78" s="45"/>
      <c r="I78" s="576"/>
      <c r="J78" s="45"/>
      <c r="K78" s="45"/>
      <c r="L78" s="45"/>
      <c r="M78" s="580"/>
      <c r="Y78"/>
      <c r="Z78"/>
      <c r="AO78" s="1">
        <f>SUM(N78:AN78)</f>
        <v>0</v>
      </c>
      <c r="BL78" s="1">
        <f>SUM(AI78:BK78)</f>
        <v>0</v>
      </c>
      <c r="BW78" s="455"/>
      <c r="BX78" s="455"/>
      <c r="CY78"/>
      <c r="CZ78"/>
      <c r="DN78" s="580"/>
      <c r="DO78" s="580"/>
      <c r="DP78" s="580"/>
      <c r="DQ78" s="580"/>
      <c r="DR78" s="580"/>
      <c r="DS78" s="580"/>
      <c r="DT78" s="580"/>
      <c r="DU78" s="580"/>
      <c r="DV78" s="580"/>
      <c r="DW78" s="580"/>
      <c r="DX78" s="580"/>
      <c r="DY78" s="580"/>
      <c r="DZ78" s="580"/>
      <c r="EA78" s="580"/>
      <c r="EB78" s="580"/>
      <c r="EC78" s="580"/>
      <c r="ED78" s="580"/>
      <c r="EE78" s="580"/>
      <c r="EF78" s="580"/>
      <c r="EG78" s="580"/>
      <c r="EH78" s="580"/>
      <c r="EI78" s="580"/>
      <c r="EJ78" s="580"/>
      <c r="EK78" s="580"/>
      <c r="EL78" s="580"/>
      <c r="EM78" s="580"/>
      <c r="EN78" s="580"/>
      <c r="EO78" s="580"/>
      <c r="EP78" s="580"/>
      <c r="EQ78" s="580"/>
      <c r="ER78" s="580"/>
      <c r="ES78" s="580"/>
      <c r="ET78" s="580"/>
      <c r="EU78" s="580"/>
      <c r="EV78" s="580"/>
      <c r="EW78" s="580"/>
      <c r="EX78" s="580"/>
      <c r="EY78" s="580"/>
      <c r="EZ78" s="580"/>
      <c r="FA78" s="580"/>
      <c r="FB78" s="580"/>
      <c r="FC78" s="580"/>
      <c r="FD78" s="580"/>
      <c r="FE78" s="580"/>
      <c r="FF78" s="580"/>
      <c r="FG78" s="580"/>
      <c r="FH78" s="580"/>
      <c r="FI78" s="580"/>
      <c r="FJ78" s="580"/>
      <c r="FK78" s="580"/>
      <c r="FL78" s="580"/>
      <c r="FM78" s="580"/>
      <c r="FN78" s="580"/>
      <c r="FO78" s="580"/>
      <c r="FP78" s="580"/>
      <c r="FQ78" s="580"/>
      <c r="FR78" s="580"/>
      <c r="FS78" s="580"/>
      <c r="FT78" s="580"/>
      <c r="FU78" s="580"/>
      <c r="FV78" s="580"/>
      <c r="FW78" s="580"/>
      <c r="FX78" s="580"/>
      <c r="FY78" s="580"/>
      <c r="FZ78" s="580"/>
      <c r="GA78" s="580"/>
      <c r="GB78" s="580"/>
      <c r="GC78" s="580"/>
      <c r="GD78" s="580"/>
      <c r="GE78" s="580"/>
      <c r="GF78" s="580"/>
      <c r="GG78" s="580"/>
      <c r="GH78" s="580"/>
      <c r="GI78" s="580"/>
      <c r="GJ78" s="580"/>
      <c r="GK78" s="580"/>
      <c r="GL78" s="580"/>
      <c r="GM78" s="580"/>
      <c r="GN78" s="580"/>
      <c r="GO78" s="580"/>
      <c r="GP78" s="580"/>
      <c r="GQ78" s="580"/>
      <c r="GR78" s="580"/>
      <c r="GS78" s="580"/>
      <c r="GT78" s="580"/>
      <c r="GU78" s="580"/>
      <c r="GV78" s="580"/>
      <c r="GW78" s="580"/>
      <c r="GX78" s="580"/>
      <c r="GY78" s="580"/>
      <c r="GZ78" s="580"/>
      <c r="HA78" s="580"/>
      <c r="HB78" s="580"/>
      <c r="HC78" s="580"/>
    </row>
    <row r="79" spans="1:211" hidden="1">
      <c r="A79" s="867" t="s">
        <v>241</v>
      </c>
      <c r="B79" s="704"/>
      <c r="C79" s="704"/>
      <c r="D79" s="704"/>
      <c r="E79" s="700"/>
      <c r="F79" s="700"/>
      <c r="G79" s="700"/>
      <c r="H79" s="45"/>
      <c r="I79" s="576"/>
      <c r="J79" s="45"/>
      <c r="K79" s="45"/>
      <c r="L79" s="45"/>
      <c r="M79" s="580"/>
      <c r="Y79"/>
      <c r="Z79"/>
      <c r="AO79" s="1">
        <f>SUM(N79:AN79)</f>
        <v>0</v>
      </c>
      <c r="BL79" s="1">
        <f>SUM(AI79:BK79)</f>
        <v>0</v>
      </c>
      <c r="BW79" s="455"/>
      <c r="BX79" s="455"/>
      <c r="CY79"/>
      <c r="CZ79"/>
      <c r="DN79" s="580"/>
      <c r="DO79" s="580"/>
      <c r="DP79" s="580"/>
      <c r="DQ79" s="580"/>
      <c r="DR79" s="580"/>
      <c r="DS79" s="580"/>
      <c r="DT79" s="580"/>
      <c r="DU79" s="580"/>
      <c r="DV79" s="580"/>
      <c r="DW79" s="580"/>
      <c r="DX79" s="580"/>
      <c r="DY79" s="580"/>
      <c r="DZ79" s="580"/>
      <c r="EA79" s="580"/>
      <c r="EB79" s="580"/>
      <c r="EC79" s="580"/>
      <c r="ED79" s="580"/>
      <c r="EE79" s="580"/>
      <c r="EF79" s="580"/>
      <c r="EG79" s="580"/>
      <c r="EH79" s="580"/>
      <c r="EI79" s="580"/>
      <c r="EJ79" s="580"/>
      <c r="EK79" s="580"/>
      <c r="EL79" s="580"/>
      <c r="EM79" s="580"/>
      <c r="EN79" s="580"/>
      <c r="EO79" s="580"/>
      <c r="EP79" s="580"/>
      <c r="EQ79" s="580"/>
      <c r="ER79" s="580"/>
      <c r="ES79" s="580"/>
      <c r="ET79" s="580"/>
      <c r="EU79" s="580"/>
      <c r="EV79" s="580"/>
      <c r="EW79" s="580"/>
      <c r="EX79" s="580"/>
      <c r="EY79" s="580"/>
      <c r="EZ79" s="580"/>
      <c r="FA79" s="580"/>
      <c r="FB79" s="580"/>
      <c r="FC79" s="580"/>
      <c r="FD79" s="580"/>
      <c r="FE79" s="580"/>
      <c r="FF79" s="580"/>
      <c r="FG79" s="580"/>
      <c r="FH79" s="580"/>
      <c r="FI79" s="580"/>
      <c r="FJ79" s="580"/>
      <c r="FK79" s="580"/>
      <c r="FL79" s="580"/>
      <c r="FM79" s="580"/>
      <c r="FN79" s="580"/>
      <c r="FO79" s="580"/>
      <c r="FP79" s="580"/>
      <c r="FQ79" s="580"/>
      <c r="FR79" s="580"/>
      <c r="FS79" s="580"/>
      <c r="FT79" s="580"/>
      <c r="FU79" s="580"/>
      <c r="FV79" s="580"/>
      <c r="FW79" s="580"/>
      <c r="FX79" s="580"/>
      <c r="FY79" s="580"/>
      <c r="FZ79" s="580"/>
      <c r="GA79" s="580"/>
      <c r="GB79" s="580"/>
      <c r="GC79" s="580"/>
      <c r="GD79" s="580"/>
      <c r="GE79" s="580"/>
      <c r="GF79" s="580"/>
      <c r="GG79" s="580"/>
      <c r="GH79" s="580"/>
      <c r="GI79" s="580"/>
      <c r="GJ79" s="580"/>
      <c r="GK79" s="580"/>
      <c r="GL79" s="580"/>
      <c r="GM79" s="580"/>
      <c r="GN79" s="580"/>
      <c r="GO79" s="580"/>
      <c r="GP79" s="580"/>
      <c r="GQ79" s="580"/>
      <c r="GR79" s="580"/>
      <c r="GS79" s="580"/>
      <c r="GT79" s="580"/>
      <c r="GU79" s="580"/>
      <c r="GV79" s="580"/>
      <c r="GW79" s="580"/>
      <c r="GX79" s="580"/>
      <c r="GY79" s="580"/>
      <c r="GZ79" s="580"/>
      <c r="HA79" s="580"/>
      <c r="HB79" s="580"/>
      <c r="HC79" s="580"/>
    </row>
    <row r="80" spans="1:211" hidden="1">
      <c r="A80" s="868" t="s">
        <v>242</v>
      </c>
      <c r="B80" s="704"/>
      <c r="C80" s="704"/>
      <c r="D80" s="704"/>
      <c r="E80" s="842"/>
      <c r="F80" s="842"/>
      <c r="G80" s="842"/>
      <c r="H80" s="45"/>
      <c r="I80" s="576"/>
      <c r="J80" s="45"/>
      <c r="K80" s="45"/>
      <c r="L80" s="45"/>
      <c r="M80" s="580"/>
      <c r="Y80"/>
      <c r="Z80"/>
      <c r="BW80" s="455"/>
      <c r="BX80" s="455"/>
      <c r="CY80"/>
      <c r="CZ80"/>
      <c r="DN80" s="580"/>
      <c r="DO80" s="580"/>
      <c r="DP80" s="580"/>
      <c r="DQ80" s="580"/>
      <c r="DR80" s="580"/>
      <c r="DS80" s="580"/>
      <c r="DT80" s="580"/>
      <c r="DU80" s="580"/>
      <c r="DV80" s="580"/>
      <c r="DW80" s="580"/>
      <c r="DX80" s="580"/>
      <c r="DY80" s="580"/>
      <c r="DZ80" s="580"/>
      <c r="EA80" s="580"/>
      <c r="EB80" s="580"/>
      <c r="EC80" s="580"/>
      <c r="ED80" s="580"/>
      <c r="EE80" s="580"/>
      <c r="EF80" s="580"/>
      <c r="EG80" s="580"/>
      <c r="EH80" s="580"/>
      <c r="EI80" s="580"/>
      <c r="EJ80" s="580"/>
      <c r="EK80" s="580"/>
      <c r="EL80" s="580"/>
      <c r="EM80" s="580"/>
      <c r="EN80" s="580"/>
      <c r="EO80" s="580"/>
      <c r="EP80" s="580"/>
      <c r="EQ80" s="580"/>
      <c r="ER80" s="580"/>
      <c r="ES80" s="580"/>
      <c r="ET80" s="580"/>
      <c r="EU80" s="580"/>
      <c r="EV80" s="580"/>
      <c r="EW80" s="580"/>
      <c r="EX80" s="580"/>
      <c r="EY80" s="580"/>
      <c r="EZ80" s="580"/>
      <c r="FA80" s="580"/>
      <c r="FB80" s="580"/>
      <c r="FC80" s="580"/>
      <c r="FD80" s="580"/>
      <c r="FE80" s="580"/>
      <c r="FF80" s="580"/>
      <c r="FG80" s="580"/>
      <c r="FH80" s="580"/>
      <c r="FI80" s="580"/>
      <c r="FJ80" s="580"/>
      <c r="FK80" s="580"/>
      <c r="FL80" s="580"/>
      <c r="FM80" s="580"/>
      <c r="FN80" s="580"/>
      <c r="FO80" s="580"/>
      <c r="FP80" s="580"/>
      <c r="FQ80" s="580"/>
      <c r="FR80" s="580"/>
      <c r="FS80" s="580"/>
      <c r="FT80" s="580"/>
      <c r="FU80" s="580"/>
      <c r="FV80" s="580"/>
      <c r="FW80" s="580"/>
      <c r="FX80" s="580"/>
      <c r="FY80" s="580"/>
      <c r="FZ80" s="580"/>
      <c r="GA80" s="580"/>
      <c r="GB80" s="580"/>
      <c r="GC80" s="580"/>
      <c r="GD80" s="580"/>
      <c r="GE80" s="580"/>
      <c r="GF80" s="580"/>
      <c r="GG80" s="580"/>
      <c r="GH80" s="580"/>
      <c r="GI80" s="580"/>
      <c r="GJ80" s="580"/>
      <c r="GK80" s="580"/>
      <c r="GL80" s="580"/>
      <c r="GM80" s="580"/>
      <c r="GN80" s="580"/>
      <c r="GO80" s="580"/>
      <c r="GP80" s="580"/>
      <c r="GQ80" s="580"/>
      <c r="GR80" s="580"/>
      <c r="GS80" s="580"/>
      <c r="GT80" s="580"/>
      <c r="GU80" s="580"/>
      <c r="GV80" s="580"/>
      <c r="GW80" s="580"/>
      <c r="GX80" s="580"/>
      <c r="GY80" s="580"/>
      <c r="GZ80" s="580"/>
      <c r="HA80" s="580"/>
      <c r="HB80" s="580"/>
      <c r="HC80" s="580"/>
    </row>
    <row r="81" spans="1:211" hidden="1">
      <c r="A81" s="869" t="s">
        <v>243</v>
      </c>
      <c r="B81" s="45"/>
      <c r="C81" s="45"/>
      <c r="D81" s="45"/>
      <c r="E81" s="842"/>
      <c r="F81" s="842"/>
      <c r="G81" s="842"/>
      <c r="H81" s="45"/>
      <c r="I81" s="576"/>
      <c r="J81" s="45"/>
      <c r="K81" s="45"/>
      <c r="L81" s="45"/>
      <c r="M81" s="580"/>
      <c r="Y81"/>
      <c r="Z81"/>
      <c r="BW81" s="455"/>
      <c r="BX81" s="455"/>
      <c r="CY81"/>
      <c r="CZ81"/>
      <c r="DN81" s="580"/>
      <c r="DO81" s="580"/>
      <c r="DP81" s="580"/>
      <c r="DQ81" s="580"/>
      <c r="DR81" s="580"/>
      <c r="DS81" s="580"/>
      <c r="DT81" s="580"/>
      <c r="DU81" s="580"/>
      <c r="DV81" s="580"/>
      <c r="DW81" s="580"/>
      <c r="DX81" s="580"/>
      <c r="DY81" s="580"/>
      <c r="DZ81" s="580"/>
      <c r="EA81" s="580"/>
      <c r="EB81" s="580"/>
      <c r="EC81" s="580"/>
      <c r="ED81" s="580"/>
      <c r="EE81" s="580"/>
      <c r="EF81" s="580"/>
      <c r="EG81" s="580"/>
      <c r="EH81" s="580"/>
      <c r="EI81" s="580"/>
      <c r="EJ81" s="580"/>
      <c r="EK81" s="580"/>
      <c r="EL81" s="580"/>
      <c r="EM81" s="580"/>
      <c r="EN81" s="580"/>
      <c r="EO81" s="580"/>
      <c r="EP81" s="580"/>
      <c r="EQ81" s="580"/>
      <c r="ER81" s="580"/>
      <c r="ES81" s="580"/>
      <c r="ET81" s="580"/>
      <c r="EU81" s="580"/>
      <c r="EV81" s="580"/>
      <c r="EW81" s="580"/>
      <c r="EX81" s="580"/>
      <c r="EY81" s="580"/>
      <c r="EZ81" s="580"/>
      <c r="FA81" s="580"/>
      <c r="FB81" s="580"/>
      <c r="FC81" s="580"/>
      <c r="FD81" s="580"/>
      <c r="FE81" s="580"/>
      <c r="FF81" s="580"/>
      <c r="FG81" s="580"/>
      <c r="FH81" s="580"/>
      <c r="FI81" s="580"/>
      <c r="FJ81" s="580"/>
      <c r="FK81" s="580"/>
      <c r="FL81" s="580"/>
      <c r="FM81" s="580"/>
      <c r="FN81" s="580"/>
      <c r="FO81" s="580"/>
      <c r="FP81" s="580"/>
      <c r="FQ81" s="580"/>
      <c r="FR81" s="580"/>
      <c r="FS81" s="580"/>
      <c r="FT81" s="580"/>
      <c r="FU81" s="580"/>
      <c r="FV81" s="580"/>
      <c r="FW81" s="580"/>
      <c r="FX81" s="580"/>
      <c r="FY81" s="580"/>
      <c r="FZ81" s="580"/>
      <c r="GA81" s="580"/>
      <c r="GB81" s="580"/>
      <c r="GC81" s="580"/>
      <c r="GD81" s="580"/>
      <c r="GE81" s="580"/>
      <c r="GF81" s="580"/>
      <c r="GG81" s="580"/>
      <c r="GH81" s="580"/>
      <c r="GI81" s="580"/>
      <c r="GJ81" s="580"/>
      <c r="GK81" s="580"/>
      <c r="GL81" s="580"/>
      <c r="GM81" s="580"/>
      <c r="GN81" s="580"/>
      <c r="GO81" s="580"/>
      <c r="GP81" s="580"/>
      <c r="GQ81" s="580"/>
      <c r="GR81" s="580"/>
      <c r="GS81" s="580"/>
      <c r="GT81" s="580"/>
      <c r="GU81" s="580"/>
      <c r="GV81" s="580"/>
      <c r="GW81" s="580"/>
      <c r="GX81" s="580"/>
      <c r="GY81" s="580"/>
      <c r="GZ81" s="580"/>
      <c r="HA81" s="580"/>
      <c r="HB81" s="580"/>
      <c r="HC81" s="580"/>
    </row>
    <row r="82" spans="1:211" hidden="1">
      <c r="A82" s="201" t="s">
        <v>244</v>
      </c>
      <c r="B82" s="45"/>
      <c r="C82" s="45"/>
      <c r="D82" s="45"/>
      <c r="E82" s="201"/>
      <c r="F82" s="842"/>
      <c r="G82" s="842"/>
      <c r="H82" s="45"/>
      <c r="I82" s="45"/>
      <c r="J82" s="45"/>
      <c r="K82" s="45"/>
      <c r="L82" s="45"/>
      <c r="M82" s="580"/>
      <c r="Y82"/>
      <c r="Z82"/>
      <c r="BW82" s="455"/>
      <c r="BX82" s="455"/>
      <c r="CY82"/>
      <c r="CZ82"/>
      <c r="DN82" s="580"/>
      <c r="DO82" s="580"/>
      <c r="DP82" s="580"/>
      <c r="DQ82" s="580"/>
      <c r="DR82" s="580"/>
      <c r="DS82" s="580"/>
      <c r="DT82" s="580"/>
      <c r="DU82" s="580"/>
      <c r="DV82" s="580"/>
      <c r="DW82" s="580"/>
      <c r="DX82" s="580"/>
      <c r="DY82" s="580"/>
      <c r="DZ82" s="580"/>
      <c r="EA82" s="580"/>
      <c r="EB82" s="580"/>
      <c r="EC82" s="580"/>
      <c r="ED82" s="580"/>
      <c r="EE82" s="580"/>
      <c r="EF82" s="580"/>
      <c r="EG82" s="580"/>
      <c r="EH82" s="580"/>
      <c r="EI82" s="580"/>
      <c r="EJ82" s="580"/>
      <c r="EK82" s="580"/>
      <c r="EL82" s="580"/>
      <c r="EM82" s="580"/>
      <c r="EN82" s="580"/>
      <c r="EO82" s="580"/>
      <c r="EP82" s="580"/>
      <c r="EQ82" s="580"/>
      <c r="ER82" s="580"/>
      <c r="ES82" s="580"/>
      <c r="ET82" s="580"/>
      <c r="EU82" s="580"/>
      <c r="EV82" s="580"/>
      <c r="EW82" s="580"/>
      <c r="EX82" s="580"/>
      <c r="EY82" s="580"/>
      <c r="EZ82" s="580"/>
      <c r="FA82" s="580"/>
      <c r="FB82" s="580"/>
      <c r="FC82" s="580"/>
      <c r="FD82" s="580"/>
      <c r="FE82" s="580"/>
      <c r="FF82" s="580"/>
      <c r="FG82" s="580"/>
      <c r="FH82" s="580"/>
      <c r="FI82" s="580"/>
      <c r="FJ82" s="580"/>
      <c r="FK82" s="580"/>
      <c r="FL82" s="580"/>
      <c r="FM82" s="580"/>
      <c r="FN82" s="580"/>
      <c r="FO82" s="580"/>
      <c r="FP82" s="580"/>
      <c r="FQ82" s="580"/>
      <c r="FR82" s="580"/>
      <c r="FS82" s="580"/>
      <c r="FT82" s="580"/>
      <c r="FU82" s="580"/>
      <c r="FV82" s="580"/>
      <c r="FW82" s="580"/>
      <c r="FX82" s="580"/>
      <c r="FY82" s="580"/>
      <c r="FZ82" s="580"/>
      <c r="GA82" s="580"/>
      <c r="GB82" s="580"/>
      <c r="GC82" s="580"/>
      <c r="GD82" s="580"/>
      <c r="GE82" s="580"/>
      <c r="GF82" s="580"/>
      <c r="GG82" s="580"/>
      <c r="GH82" s="580"/>
      <c r="GI82" s="580"/>
      <c r="GJ82" s="580"/>
      <c r="GK82" s="580"/>
      <c r="GL82" s="580"/>
      <c r="GM82" s="580"/>
      <c r="GN82" s="580"/>
      <c r="GO82" s="580"/>
      <c r="GP82" s="580"/>
      <c r="GQ82" s="580"/>
      <c r="GR82" s="580"/>
      <c r="GS82" s="580"/>
      <c r="GT82" s="580"/>
      <c r="GU82" s="580"/>
      <c r="GV82" s="580"/>
      <c r="GW82" s="580"/>
      <c r="GX82" s="580"/>
      <c r="GY82" s="580"/>
      <c r="GZ82" s="580"/>
      <c r="HA82" s="580"/>
      <c r="HB82" s="580"/>
      <c r="HC82" s="580"/>
    </row>
    <row r="83" spans="1:211" hidden="1">
      <c r="A83" s="201" t="s">
        <v>155</v>
      </c>
      <c r="B83" s="45"/>
      <c r="C83" s="45"/>
      <c r="D83" s="45"/>
      <c r="E83" s="201"/>
      <c r="F83" s="842"/>
      <c r="G83" s="842"/>
      <c r="H83" s="45"/>
      <c r="I83" s="45"/>
      <c r="J83" s="45"/>
      <c r="K83" s="45"/>
      <c r="L83" s="45"/>
      <c r="Y83"/>
      <c r="Z83"/>
      <c r="BW83" s="455"/>
      <c r="BX83" s="455"/>
      <c r="CY83"/>
      <c r="CZ83"/>
      <c r="DN83" s="580"/>
      <c r="DO83" s="580"/>
      <c r="DP83" s="580"/>
      <c r="DQ83" s="580"/>
      <c r="DR83" s="580"/>
      <c r="DS83" s="580"/>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c r="EQ83" s="580"/>
      <c r="ER83" s="580"/>
      <c r="ES83" s="580"/>
      <c r="ET83" s="580"/>
      <c r="EU83" s="580"/>
      <c r="EV83" s="580"/>
      <c r="EW83" s="580"/>
      <c r="EX83" s="580"/>
      <c r="EY83" s="580"/>
      <c r="EZ83" s="580"/>
      <c r="FA83" s="580"/>
      <c r="FB83" s="580"/>
      <c r="FC83" s="580"/>
      <c r="FD83" s="580"/>
      <c r="FE83" s="580"/>
      <c r="FF83" s="580"/>
      <c r="FG83" s="580"/>
      <c r="FH83" s="580"/>
      <c r="FI83" s="580"/>
      <c r="FJ83" s="580"/>
      <c r="FK83" s="580"/>
      <c r="FL83" s="580"/>
      <c r="FM83" s="580"/>
      <c r="FN83" s="580"/>
      <c r="FO83" s="580"/>
      <c r="FP83" s="580"/>
      <c r="FQ83" s="580"/>
      <c r="FR83" s="580"/>
      <c r="FS83" s="580"/>
      <c r="FT83" s="580"/>
      <c r="FU83" s="580"/>
      <c r="FV83" s="580"/>
      <c r="FW83" s="580"/>
      <c r="FX83" s="580"/>
      <c r="FY83" s="580"/>
      <c r="FZ83" s="580"/>
      <c r="GA83" s="580"/>
      <c r="GB83" s="580"/>
      <c r="GC83" s="580"/>
      <c r="GD83" s="580"/>
      <c r="GE83" s="580"/>
      <c r="GF83" s="580"/>
      <c r="GG83" s="580"/>
      <c r="GH83" s="580"/>
      <c r="GI83" s="580"/>
      <c r="GJ83" s="580"/>
      <c r="GK83" s="580"/>
      <c r="GL83" s="580"/>
      <c r="GM83" s="580"/>
      <c r="GN83" s="580"/>
      <c r="GO83" s="580"/>
      <c r="GP83" s="580"/>
      <c r="GQ83" s="580"/>
      <c r="GR83" s="580"/>
      <c r="GS83" s="580"/>
      <c r="GT83" s="580"/>
      <c r="GU83" s="580"/>
      <c r="GV83" s="580"/>
      <c r="GW83" s="580"/>
      <c r="GX83" s="580"/>
      <c r="GY83" s="580"/>
      <c r="GZ83" s="580"/>
      <c r="HA83" s="580"/>
      <c r="HB83" s="580"/>
      <c r="HC83" s="580"/>
    </row>
    <row r="84" spans="1:211" hidden="1">
      <c r="A84" s="201" t="s">
        <v>246</v>
      </c>
      <c r="B84" s="45"/>
      <c r="C84" s="45"/>
      <c r="D84" s="45"/>
      <c r="E84" s="201"/>
      <c r="F84" s="842"/>
      <c r="G84" s="842"/>
      <c r="H84" s="45"/>
      <c r="I84" s="45"/>
      <c r="J84" s="45"/>
      <c r="K84" s="45"/>
      <c r="L84" s="45"/>
      <c r="Y84"/>
      <c r="Z84"/>
      <c r="BW84" s="455"/>
      <c r="BX84" s="455"/>
      <c r="CY84"/>
      <c r="CZ84"/>
      <c r="DN84" s="580"/>
      <c r="DO84" s="580"/>
      <c r="DP84" s="580"/>
      <c r="DQ84" s="580"/>
      <c r="DR84" s="580"/>
      <c r="DS84" s="580"/>
      <c r="DT84" s="580"/>
      <c r="DU84" s="580"/>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c r="FA84" s="580"/>
      <c r="FB84" s="580"/>
      <c r="FC84" s="580"/>
      <c r="FD84" s="580"/>
      <c r="FE84" s="580"/>
      <c r="FF84" s="580"/>
      <c r="FG84" s="580"/>
      <c r="FH84" s="580"/>
      <c r="FI84" s="580"/>
      <c r="FJ84" s="580"/>
      <c r="FK84" s="580"/>
      <c r="FL84" s="580"/>
      <c r="FM84" s="580"/>
      <c r="FN84" s="580"/>
      <c r="FO84" s="580"/>
      <c r="FP84" s="580"/>
      <c r="FQ84" s="580"/>
      <c r="FR84" s="580"/>
      <c r="FS84" s="580"/>
      <c r="FT84" s="580"/>
      <c r="FU84" s="580"/>
      <c r="FV84" s="580"/>
      <c r="FW84" s="580"/>
      <c r="FX84" s="580"/>
      <c r="FY84" s="580"/>
      <c r="FZ84" s="580"/>
      <c r="GA84" s="580"/>
      <c r="GB84" s="580"/>
      <c r="GC84" s="580"/>
      <c r="GD84" s="580"/>
      <c r="GE84" s="580"/>
      <c r="GF84" s="580"/>
      <c r="GG84" s="580"/>
      <c r="GH84" s="580"/>
      <c r="GI84" s="580"/>
      <c r="GJ84" s="580"/>
      <c r="GK84" s="580"/>
      <c r="GL84" s="580"/>
      <c r="GM84" s="580"/>
      <c r="GN84" s="580"/>
      <c r="GO84" s="580"/>
      <c r="GP84" s="580"/>
      <c r="GQ84" s="580"/>
      <c r="GR84" s="580"/>
      <c r="GS84" s="580"/>
      <c r="GT84" s="580"/>
      <c r="GU84" s="580"/>
      <c r="GV84" s="580"/>
      <c r="GW84" s="580"/>
      <c r="GX84" s="580"/>
      <c r="GY84" s="580"/>
      <c r="GZ84" s="580"/>
      <c r="HA84" s="580"/>
      <c r="HB84" s="580"/>
      <c r="HC84" s="580"/>
    </row>
    <row r="85" spans="1:211" hidden="1">
      <c r="A85" s="201" t="s">
        <v>156</v>
      </c>
      <c r="B85" s="45"/>
      <c r="C85" s="45"/>
      <c r="D85" s="45"/>
      <c r="E85" s="201"/>
      <c r="F85" s="842"/>
      <c r="G85" s="842"/>
      <c r="H85" s="45"/>
      <c r="I85" s="45"/>
      <c r="J85" s="45"/>
      <c r="K85" s="45"/>
      <c r="L85" s="45"/>
      <c r="Y85"/>
      <c r="Z85"/>
      <c r="AD85" s="406"/>
      <c r="AE85" s="424"/>
      <c r="AF85" s="424"/>
      <c r="AG85" s="424"/>
      <c r="AH85" s="424"/>
      <c r="CY85"/>
      <c r="CZ85"/>
      <c r="DF85" s="455"/>
      <c r="DG85" s="455"/>
      <c r="DN85" s="580"/>
      <c r="DO85" s="580"/>
      <c r="DP85" s="580"/>
      <c r="DQ85" s="580"/>
      <c r="DR85" s="580"/>
      <c r="DS85" s="580"/>
      <c r="DT85" s="580"/>
      <c r="DU85" s="580"/>
      <c r="DV85" s="580"/>
      <c r="DW85" s="580"/>
      <c r="DX85" s="580"/>
      <c r="DY85" s="580"/>
      <c r="DZ85" s="580"/>
      <c r="EA85" s="580"/>
      <c r="EB85" s="580"/>
      <c r="EC85" s="580"/>
      <c r="ED85" s="580"/>
      <c r="EE85" s="580"/>
      <c r="EF85" s="580"/>
      <c r="EG85" s="580"/>
      <c r="EH85" s="580"/>
      <c r="EI85" s="580"/>
      <c r="EJ85" s="580"/>
      <c r="EK85" s="580"/>
      <c r="EL85" s="580"/>
      <c r="EM85" s="580"/>
      <c r="EN85" s="580"/>
      <c r="EO85" s="580"/>
      <c r="EP85" s="580"/>
      <c r="EQ85" s="580"/>
      <c r="ER85" s="580"/>
      <c r="ES85" s="580"/>
      <c r="ET85" s="580"/>
      <c r="EU85" s="580"/>
      <c r="EV85" s="580"/>
      <c r="EW85" s="580"/>
      <c r="EX85" s="580"/>
      <c r="EY85" s="580"/>
      <c r="EZ85" s="580"/>
      <c r="FA85" s="580"/>
      <c r="FB85" s="580"/>
      <c r="FC85" s="580"/>
      <c r="FD85" s="580"/>
      <c r="FE85" s="580"/>
      <c r="FF85" s="580"/>
      <c r="FG85" s="580"/>
      <c r="FH85" s="580"/>
      <c r="FI85" s="580"/>
      <c r="FJ85" s="580"/>
      <c r="FK85" s="580"/>
      <c r="FL85" s="580"/>
      <c r="FM85" s="580"/>
      <c r="FN85" s="580"/>
      <c r="FO85" s="580"/>
      <c r="FP85" s="580"/>
      <c r="FQ85" s="580"/>
      <c r="FR85" s="580"/>
      <c r="FS85" s="580"/>
      <c r="FT85" s="580"/>
      <c r="FU85" s="580"/>
      <c r="FV85" s="580"/>
      <c r="FW85" s="580"/>
      <c r="FX85" s="580"/>
      <c r="FY85" s="580"/>
      <c r="FZ85" s="580"/>
      <c r="GA85" s="580"/>
      <c r="GB85" s="580"/>
      <c r="GC85" s="580"/>
      <c r="GD85" s="580"/>
      <c r="GE85" s="580"/>
      <c r="GF85" s="580"/>
      <c r="GG85" s="580"/>
      <c r="GH85" s="580"/>
      <c r="GI85" s="580"/>
      <c r="GJ85" s="580"/>
      <c r="GK85" s="580"/>
      <c r="GL85" s="580"/>
      <c r="GM85" s="580"/>
      <c r="GN85" s="580"/>
      <c r="GO85" s="580"/>
      <c r="GP85" s="580"/>
      <c r="GQ85" s="580"/>
      <c r="GR85" s="580"/>
      <c r="GS85" s="580"/>
      <c r="GT85" s="580"/>
      <c r="GU85" s="580"/>
      <c r="GV85" s="580"/>
      <c r="GW85" s="580"/>
      <c r="GX85" s="580"/>
      <c r="GY85" s="580"/>
      <c r="GZ85" s="580"/>
      <c r="HA85" s="580"/>
      <c r="HB85" s="580"/>
      <c r="HC85" s="580"/>
    </row>
    <row r="86" spans="1:211" hidden="1">
      <c r="A86" s="870" t="s">
        <v>157</v>
      </c>
      <c r="B86" s="45"/>
      <c r="C86" s="45"/>
      <c r="D86" s="45"/>
      <c r="E86" s="201"/>
      <c r="F86" s="201"/>
      <c r="G86" s="201"/>
      <c r="H86" s="45"/>
      <c r="I86" s="45"/>
      <c r="J86" s="45"/>
      <c r="K86" s="45"/>
      <c r="L86" s="45"/>
      <c r="Y86"/>
      <c r="Z86"/>
      <c r="AD86" s="406"/>
      <c r="AE86" s="424"/>
      <c r="AF86" s="424"/>
      <c r="AG86" s="424"/>
      <c r="AH86" s="424"/>
      <c r="CY86"/>
      <c r="CZ86"/>
      <c r="DF86" s="455"/>
      <c r="DG86" s="455"/>
      <c r="DN86" s="580"/>
      <c r="DO86" s="580"/>
      <c r="DP86" s="580"/>
      <c r="DQ86" s="580"/>
      <c r="DR86" s="580"/>
      <c r="DS86" s="580"/>
      <c r="DT86" s="580"/>
      <c r="DU86" s="580"/>
      <c r="DV86" s="580"/>
      <c r="DW86" s="580"/>
      <c r="DX86" s="580"/>
      <c r="DY86" s="580"/>
      <c r="DZ86" s="580"/>
      <c r="EA86" s="580"/>
      <c r="EB86" s="580"/>
      <c r="EC86" s="580"/>
      <c r="ED86" s="580"/>
      <c r="EE86" s="580"/>
      <c r="EF86" s="580"/>
      <c r="EG86" s="580"/>
      <c r="EH86" s="580"/>
      <c r="EI86" s="580"/>
      <c r="EJ86" s="580"/>
      <c r="EK86" s="580"/>
      <c r="EL86" s="580"/>
      <c r="EM86" s="580"/>
      <c r="EN86" s="580"/>
      <c r="EO86" s="580"/>
      <c r="EP86" s="580"/>
      <c r="EQ86" s="580"/>
      <c r="ER86" s="580"/>
      <c r="ES86" s="580"/>
      <c r="ET86" s="580"/>
      <c r="EU86" s="580"/>
      <c r="EV86" s="580"/>
      <c r="EW86" s="580"/>
      <c r="EX86" s="580"/>
      <c r="EY86" s="580"/>
      <c r="EZ86" s="580"/>
      <c r="FA86" s="580"/>
      <c r="FB86" s="580"/>
      <c r="FC86" s="580"/>
      <c r="FD86" s="580"/>
      <c r="FE86" s="580"/>
      <c r="FF86" s="580"/>
      <c r="FG86" s="580"/>
      <c r="FH86" s="580"/>
      <c r="FI86" s="580"/>
      <c r="FJ86" s="580"/>
      <c r="FK86" s="580"/>
      <c r="FL86" s="580"/>
      <c r="FM86" s="580"/>
      <c r="FN86" s="580"/>
      <c r="FO86" s="580"/>
      <c r="FP86" s="580"/>
      <c r="FQ86" s="580"/>
      <c r="FR86" s="580"/>
      <c r="FS86" s="580"/>
      <c r="FT86" s="580"/>
      <c r="FU86" s="580"/>
      <c r="FV86" s="580"/>
      <c r="FW86" s="580"/>
      <c r="FX86" s="580"/>
      <c r="FY86" s="580"/>
      <c r="FZ86" s="580"/>
      <c r="GA86" s="580"/>
      <c r="GB86" s="580"/>
      <c r="GC86" s="580"/>
      <c r="GD86" s="580"/>
      <c r="GE86" s="580"/>
      <c r="GF86" s="580"/>
      <c r="GG86" s="580"/>
      <c r="GH86" s="580"/>
      <c r="GI86" s="580"/>
      <c r="GJ86" s="580"/>
      <c r="GK86" s="580"/>
      <c r="GL86" s="580"/>
      <c r="GM86" s="580"/>
      <c r="GN86" s="580"/>
      <c r="GO86" s="580"/>
      <c r="GP86" s="580"/>
      <c r="GQ86" s="580"/>
      <c r="GR86" s="580"/>
      <c r="GS86" s="580"/>
      <c r="GT86" s="580"/>
      <c r="GU86" s="580"/>
      <c r="GV86" s="580"/>
      <c r="GW86" s="580"/>
      <c r="GX86" s="580"/>
      <c r="GY86" s="580"/>
      <c r="GZ86" s="580"/>
      <c r="HA86" s="580"/>
      <c r="HB86" s="580"/>
      <c r="HC86" s="580"/>
    </row>
    <row r="87" spans="1:211" hidden="1">
      <c r="A87" s="871" t="s">
        <v>158</v>
      </c>
      <c r="B87" s="45"/>
      <c r="C87" s="45"/>
      <c r="D87" s="45"/>
      <c r="E87" s="201"/>
      <c r="F87" s="201"/>
      <c r="G87" s="201"/>
      <c r="H87" s="45"/>
      <c r="I87" s="45"/>
      <c r="J87" s="45"/>
      <c r="K87" s="45"/>
      <c r="L87" s="45"/>
      <c r="DN87" s="580"/>
      <c r="DO87" s="580"/>
      <c r="DP87" s="580"/>
      <c r="DQ87" s="580"/>
      <c r="DR87" s="580"/>
      <c r="DS87" s="580"/>
      <c r="DT87" s="580"/>
      <c r="DU87" s="580"/>
      <c r="DV87" s="580"/>
      <c r="DW87" s="580"/>
      <c r="DX87" s="580"/>
      <c r="DY87" s="580"/>
      <c r="DZ87" s="580"/>
      <c r="EA87" s="580"/>
      <c r="EB87" s="580"/>
      <c r="EC87" s="580"/>
      <c r="ED87" s="580"/>
      <c r="EE87" s="580"/>
      <c r="EF87" s="580"/>
      <c r="EG87" s="580"/>
      <c r="EH87" s="580"/>
      <c r="EI87" s="580"/>
      <c r="EJ87" s="580"/>
      <c r="EK87" s="580"/>
      <c r="EL87" s="580"/>
      <c r="EM87" s="580"/>
      <c r="EN87" s="580"/>
      <c r="EO87" s="580"/>
      <c r="EP87" s="580"/>
      <c r="EQ87" s="580"/>
      <c r="ER87" s="580"/>
      <c r="ES87" s="580"/>
      <c r="ET87" s="580"/>
      <c r="EU87" s="580"/>
      <c r="EV87" s="580"/>
      <c r="EW87" s="580"/>
      <c r="EX87" s="580"/>
      <c r="EY87" s="580"/>
      <c r="EZ87" s="580"/>
      <c r="FA87" s="580"/>
      <c r="FB87" s="580"/>
      <c r="FC87" s="580"/>
      <c r="FD87" s="580"/>
      <c r="FE87" s="580"/>
      <c r="FF87" s="580"/>
      <c r="FG87" s="580"/>
      <c r="FH87" s="580"/>
      <c r="FI87" s="580"/>
      <c r="FJ87" s="580"/>
      <c r="FK87" s="580"/>
      <c r="FL87" s="580"/>
      <c r="FM87" s="580"/>
      <c r="FN87" s="580"/>
      <c r="FO87" s="580"/>
      <c r="FP87" s="580"/>
      <c r="FQ87" s="580"/>
      <c r="FR87" s="580"/>
      <c r="FS87" s="580"/>
      <c r="FT87" s="580"/>
      <c r="FU87" s="580"/>
      <c r="FV87" s="580"/>
      <c r="FW87" s="580"/>
      <c r="FX87" s="580"/>
      <c r="FY87" s="580"/>
      <c r="FZ87" s="580"/>
      <c r="GA87" s="580"/>
      <c r="GB87" s="580"/>
      <c r="GC87" s="580"/>
      <c r="GD87" s="580"/>
      <c r="GE87" s="580"/>
      <c r="GF87" s="580"/>
      <c r="GG87" s="580"/>
      <c r="GH87" s="580"/>
      <c r="GI87" s="580"/>
      <c r="GJ87" s="580"/>
      <c r="GK87" s="580"/>
      <c r="GL87" s="580"/>
      <c r="GM87" s="580"/>
      <c r="GN87" s="580"/>
      <c r="GO87" s="580"/>
      <c r="GP87" s="580"/>
      <c r="GQ87" s="580"/>
      <c r="GR87" s="580"/>
      <c r="GS87" s="580"/>
      <c r="GT87" s="580"/>
      <c r="GU87" s="580"/>
      <c r="GV87" s="580"/>
      <c r="GW87" s="580"/>
      <c r="GX87" s="580"/>
      <c r="GY87" s="580"/>
      <c r="GZ87" s="580"/>
      <c r="HA87" s="580"/>
      <c r="HB87" s="580"/>
      <c r="HC87" s="580"/>
    </row>
    <row r="88" spans="1:211" hidden="1">
      <c r="A88" s="872" t="s">
        <v>147</v>
      </c>
      <c r="B88" s="45"/>
      <c r="C88" s="45"/>
      <c r="D88" s="45"/>
      <c r="E88" s="45"/>
      <c r="F88" s="45"/>
      <c r="G88" s="45"/>
      <c r="H88" s="45"/>
      <c r="I88" s="45"/>
      <c r="J88" s="45"/>
      <c r="K88" s="45"/>
      <c r="L88" s="45"/>
      <c r="DN88" s="580"/>
      <c r="DO88" s="580"/>
      <c r="DP88" s="580"/>
      <c r="DQ88" s="580"/>
      <c r="DR88" s="580"/>
      <c r="DS88" s="580"/>
      <c r="DT88" s="580"/>
      <c r="DU88" s="580"/>
      <c r="DV88" s="580"/>
      <c r="DW88" s="580"/>
      <c r="DX88" s="580"/>
      <c r="DY88" s="580"/>
      <c r="DZ88" s="580"/>
      <c r="EA88" s="580"/>
      <c r="EB88" s="580"/>
      <c r="EC88" s="580"/>
      <c r="ED88" s="580"/>
      <c r="EE88" s="580"/>
      <c r="EF88" s="580"/>
      <c r="EG88" s="580"/>
      <c r="EH88" s="580"/>
      <c r="EI88" s="580"/>
      <c r="EJ88" s="580"/>
      <c r="EK88" s="580"/>
      <c r="EL88" s="580"/>
      <c r="EM88" s="580"/>
      <c r="EN88" s="580"/>
      <c r="EO88" s="580"/>
      <c r="EP88" s="580"/>
      <c r="EQ88" s="580"/>
      <c r="ER88" s="580"/>
      <c r="ES88" s="580"/>
      <c r="ET88" s="580"/>
      <c r="EU88" s="580"/>
      <c r="EV88" s="580"/>
      <c r="EW88" s="580"/>
      <c r="EX88" s="580"/>
      <c r="EY88" s="580"/>
      <c r="EZ88" s="580"/>
      <c r="FA88" s="580"/>
      <c r="FB88" s="580"/>
      <c r="FC88" s="580"/>
      <c r="FD88" s="580"/>
      <c r="FE88" s="580"/>
      <c r="FF88" s="580"/>
      <c r="FG88" s="580"/>
      <c r="FH88" s="580"/>
      <c r="FI88" s="580"/>
      <c r="FJ88" s="580"/>
      <c r="FK88" s="580"/>
      <c r="FL88" s="580"/>
      <c r="FM88" s="580"/>
      <c r="FN88" s="580"/>
      <c r="FO88" s="580"/>
      <c r="FP88" s="580"/>
      <c r="FQ88" s="580"/>
      <c r="FR88" s="580"/>
      <c r="FS88" s="580"/>
      <c r="FT88" s="580"/>
      <c r="FU88" s="580"/>
      <c r="FV88" s="580"/>
      <c r="FW88" s="580"/>
      <c r="FX88" s="580"/>
      <c r="FY88" s="580"/>
      <c r="FZ88" s="580"/>
      <c r="GA88" s="580"/>
      <c r="GB88" s="580"/>
      <c r="GC88" s="580"/>
      <c r="GD88" s="580"/>
      <c r="GE88" s="580"/>
      <c r="GF88" s="580"/>
      <c r="GG88" s="580"/>
      <c r="GH88" s="580"/>
      <c r="GI88" s="580"/>
      <c r="GJ88" s="580"/>
      <c r="GK88" s="580"/>
      <c r="GL88" s="580"/>
      <c r="GM88" s="580"/>
      <c r="GN88" s="580"/>
      <c r="GO88" s="580"/>
      <c r="GP88" s="580"/>
      <c r="GQ88" s="580"/>
      <c r="GR88" s="580"/>
      <c r="GS88" s="580"/>
      <c r="GT88" s="580"/>
      <c r="GU88" s="580"/>
      <c r="GV88" s="580"/>
      <c r="GW88" s="580"/>
      <c r="GX88" s="580"/>
      <c r="GY88" s="580"/>
      <c r="GZ88" s="580"/>
      <c r="HA88" s="580"/>
      <c r="HB88" s="580"/>
      <c r="HC88" s="580"/>
    </row>
    <row r="89" spans="1:211" hidden="1">
      <c r="A89" s="873" t="s">
        <v>138</v>
      </c>
      <c r="B89" s="45"/>
      <c r="C89" s="45"/>
      <c r="D89" s="45"/>
      <c r="E89" s="45"/>
      <c r="F89" s="45"/>
      <c r="G89" s="45"/>
      <c r="H89" s="45"/>
      <c r="I89" s="45"/>
      <c r="J89" s="45"/>
      <c r="K89" s="45"/>
      <c r="L89" s="45"/>
      <c r="DN89" s="580"/>
      <c r="DO89" s="580"/>
      <c r="DP89" s="580"/>
      <c r="DQ89" s="580"/>
      <c r="DR89" s="580"/>
      <c r="DS89" s="580"/>
      <c r="DT89" s="580"/>
      <c r="DU89" s="580"/>
      <c r="DV89" s="580"/>
      <c r="DW89" s="580"/>
      <c r="DX89" s="580"/>
      <c r="DY89" s="580"/>
      <c r="DZ89" s="580"/>
      <c r="EA89" s="580"/>
      <c r="EB89" s="580"/>
      <c r="EC89" s="580"/>
      <c r="ED89" s="580"/>
      <c r="EE89" s="580"/>
      <c r="EF89" s="580"/>
      <c r="EG89" s="580"/>
      <c r="EH89" s="580"/>
      <c r="EI89" s="580"/>
      <c r="EJ89" s="580"/>
      <c r="EK89" s="580"/>
      <c r="EL89" s="580"/>
      <c r="EM89" s="580"/>
      <c r="EN89" s="580"/>
      <c r="EO89" s="580"/>
      <c r="EP89" s="580"/>
      <c r="EQ89" s="580"/>
      <c r="ER89" s="580"/>
      <c r="ES89" s="580"/>
      <c r="ET89" s="580"/>
      <c r="EU89" s="580"/>
      <c r="EV89" s="580"/>
      <c r="EW89" s="580"/>
      <c r="EX89" s="580"/>
      <c r="EY89" s="580"/>
      <c r="EZ89" s="580"/>
      <c r="FA89" s="580"/>
      <c r="FB89" s="580"/>
      <c r="FC89" s="580"/>
      <c r="FD89" s="580"/>
      <c r="FE89" s="580"/>
      <c r="FF89" s="580"/>
      <c r="FG89" s="580"/>
      <c r="FH89" s="580"/>
      <c r="FI89" s="580"/>
      <c r="FJ89" s="580"/>
      <c r="FK89" s="580"/>
      <c r="FL89" s="580"/>
      <c r="FM89" s="580"/>
      <c r="FN89" s="580"/>
      <c r="FO89" s="580"/>
      <c r="FP89" s="580"/>
      <c r="FQ89" s="580"/>
      <c r="FR89" s="580"/>
      <c r="FS89" s="580"/>
      <c r="FT89" s="580"/>
      <c r="FU89" s="580"/>
      <c r="FV89" s="580"/>
      <c r="FW89" s="580"/>
      <c r="FX89" s="580"/>
      <c r="FY89" s="580"/>
      <c r="FZ89" s="580"/>
      <c r="GA89" s="580"/>
      <c r="GB89" s="580"/>
      <c r="GC89" s="580"/>
      <c r="GD89" s="580"/>
      <c r="GE89" s="580"/>
      <c r="GF89" s="580"/>
      <c r="GG89" s="580"/>
      <c r="GH89" s="580"/>
      <c r="GI89" s="580"/>
      <c r="GJ89" s="580"/>
      <c r="GK89" s="580"/>
      <c r="GL89" s="580"/>
      <c r="GM89" s="580"/>
      <c r="GN89" s="580"/>
      <c r="GO89" s="580"/>
      <c r="GP89" s="580"/>
      <c r="GQ89" s="580"/>
      <c r="GR89" s="580"/>
      <c r="GS89" s="580"/>
      <c r="GT89" s="580"/>
      <c r="GU89" s="580"/>
      <c r="GV89" s="580"/>
      <c r="GW89" s="580"/>
      <c r="GX89" s="580"/>
      <c r="GY89" s="580"/>
      <c r="GZ89" s="580"/>
      <c r="HA89" s="580"/>
      <c r="HB89" s="580"/>
      <c r="HC89" s="580"/>
    </row>
    <row r="90" spans="1:211" hidden="1">
      <c r="A90" s="874" t="s">
        <v>245</v>
      </c>
      <c r="B90" s="45"/>
      <c r="C90" s="45"/>
      <c r="D90" s="45"/>
      <c r="E90" s="45"/>
      <c r="F90" s="45"/>
      <c r="G90" s="45"/>
      <c r="H90" s="45"/>
      <c r="I90" s="45"/>
      <c r="J90" s="45"/>
      <c r="K90" s="45"/>
      <c r="L90" s="45"/>
    </row>
    <row r="91" spans="1:211" hidden="1">
      <c r="A91" s="875" t="s">
        <v>137</v>
      </c>
      <c r="B91" s="45"/>
      <c r="C91" s="45"/>
      <c r="D91" s="45"/>
      <c r="E91" s="45"/>
      <c r="F91" s="45"/>
      <c r="G91" s="45"/>
      <c r="H91" s="45"/>
      <c r="I91" s="45"/>
      <c r="J91" s="45"/>
      <c r="K91" s="45"/>
      <c r="L91" s="45"/>
    </row>
    <row r="92" spans="1:211" hidden="1">
      <c r="A92" s="875" t="s">
        <v>505</v>
      </c>
      <c r="B92" s="45"/>
      <c r="C92" s="45"/>
      <c r="D92" s="45"/>
      <c r="E92" s="45"/>
      <c r="F92" s="45"/>
      <c r="G92" s="45"/>
      <c r="H92" s="45"/>
      <c r="I92" s="45"/>
      <c r="J92" s="45"/>
      <c r="K92" s="45"/>
      <c r="L92" s="45"/>
    </row>
    <row r="93" spans="1:211" hidden="1">
      <c r="A93" s="298" t="s">
        <v>185</v>
      </c>
      <c r="B93" s="45"/>
      <c r="C93" s="45"/>
      <c r="D93" s="45"/>
      <c r="E93" s="45"/>
      <c r="F93" s="45"/>
      <c r="G93" s="45"/>
      <c r="H93" s="45"/>
      <c r="I93" s="45"/>
      <c r="J93" s="45"/>
      <c r="K93" s="45"/>
      <c r="L93" s="45"/>
    </row>
    <row r="94" spans="1:211" hidden="1">
      <c r="A94" s="45"/>
      <c r="B94" s="45"/>
      <c r="C94" s="45"/>
      <c r="D94" s="45"/>
      <c r="E94" s="45"/>
      <c r="F94" s="45"/>
      <c r="G94" s="45"/>
      <c r="H94" s="45"/>
      <c r="I94" s="45"/>
      <c r="J94" s="45"/>
      <c r="K94" s="45"/>
      <c r="L94" s="45"/>
    </row>
    <row r="95" spans="1:211">
      <c r="A95" s="45"/>
      <c r="B95" s="45"/>
      <c r="C95" s="45"/>
      <c r="D95" s="45"/>
      <c r="E95" s="45"/>
      <c r="F95" s="45"/>
      <c r="G95" s="45"/>
      <c r="H95" s="45"/>
      <c r="I95" s="45"/>
      <c r="J95" s="45"/>
      <c r="K95" s="45"/>
      <c r="L95" s="45"/>
    </row>
    <row r="96" spans="1:211">
      <c r="A96" s="45"/>
      <c r="B96" s="45"/>
      <c r="C96" s="45"/>
      <c r="D96" s="45"/>
      <c r="E96" s="45"/>
      <c r="F96" s="45"/>
      <c r="G96" s="45"/>
      <c r="H96" s="45"/>
      <c r="I96" s="45"/>
      <c r="J96" s="45"/>
      <c r="K96" s="45"/>
      <c r="L96" s="45"/>
    </row>
    <row r="97" spans="1:12">
      <c r="A97" s="769"/>
      <c r="B97" s="769"/>
      <c r="C97" s="769"/>
      <c r="D97" s="769"/>
      <c r="E97" s="769"/>
      <c r="F97" s="769"/>
      <c r="G97" s="769"/>
      <c r="H97" s="769"/>
      <c r="I97" s="769"/>
      <c r="J97" s="769"/>
      <c r="K97" s="769"/>
      <c r="L97" s="769"/>
    </row>
    <row r="98" spans="1:12">
      <c r="A98" s="769"/>
      <c r="B98" s="769"/>
      <c r="C98" s="769"/>
      <c r="D98" s="769"/>
      <c r="E98" s="769"/>
      <c r="F98" s="769"/>
      <c r="G98" s="769"/>
      <c r="H98" s="769"/>
      <c r="I98" s="769"/>
      <c r="J98" s="769"/>
      <c r="K98" s="769"/>
      <c r="L98" s="769"/>
    </row>
    <row r="99" spans="1:12">
      <c r="A99" s="769"/>
      <c r="B99" s="769"/>
      <c r="C99" s="769"/>
      <c r="D99" s="769"/>
      <c r="E99" s="769"/>
      <c r="F99" s="769"/>
      <c r="G99" s="769"/>
      <c r="H99" s="769"/>
      <c r="I99" s="769"/>
      <c r="J99" s="769"/>
      <c r="K99" s="769"/>
      <c r="L99" s="769"/>
    </row>
    <row r="100" spans="1:12">
      <c r="A100" s="769"/>
      <c r="B100" s="769"/>
      <c r="C100" s="769"/>
      <c r="D100" s="769"/>
      <c r="E100" s="769"/>
      <c r="F100" s="769"/>
      <c r="G100" s="769"/>
      <c r="H100" s="769"/>
      <c r="I100" s="769"/>
      <c r="J100" s="769"/>
      <c r="K100" s="769"/>
      <c r="L100" s="769"/>
    </row>
    <row r="101" spans="1:12">
      <c r="A101" s="769"/>
      <c r="B101" s="769"/>
      <c r="C101" s="769"/>
      <c r="D101" s="769"/>
      <c r="E101" s="769"/>
      <c r="F101" s="769"/>
      <c r="G101" s="769"/>
      <c r="H101" s="769"/>
      <c r="I101" s="769"/>
      <c r="J101" s="769"/>
      <c r="K101" s="769"/>
      <c r="L101" s="769"/>
    </row>
    <row r="102" spans="1:12">
      <c r="A102" s="769"/>
      <c r="B102" s="769"/>
      <c r="C102" s="769"/>
      <c r="D102" s="769"/>
      <c r="E102" s="769"/>
      <c r="F102" s="769"/>
      <c r="G102" s="769"/>
      <c r="H102" s="769"/>
      <c r="I102" s="769"/>
      <c r="J102" s="769"/>
      <c r="K102" s="769"/>
      <c r="L102" s="769"/>
    </row>
    <row r="103" spans="1:12">
      <c r="A103" s="769"/>
      <c r="B103" s="769"/>
      <c r="C103" s="769"/>
      <c r="D103" s="769"/>
      <c r="E103" s="769"/>
      <c r="F103" s="769"/>
      <c r="G103" s="769"/>
      <c r="H103" s="769"/>
      <c r="I103" s="769"/>
      <c r="J103" s="769"/>
      <c r="K103" s="769"/>
      <c r="L103" s="769"/>
    </row>
    <row r="104" spans="1:12">
      <c r="A104" s="769"/>
      <c r="B104" s="769"/>
      <c r="C104" s="769"/>
      <c r="D104" s="769"/>
      <c r="E104" s="769"/>
      <c r="F104" s="769"/>
      <c r="G104" s="769"/>
      <c r="H104" s="769"/>
      <c r="I104" s="769"/>
      <c r="J104" s="769"/>
      <c r="K104" s="769"/>
      <c r="L104" s="769"/>
    </row>
    <row r="105" spans="1:12">
      <c r="A105" s="769"/>
      <c r="B105" s="769"/>
      <c r="C105" s="769"/>
      <c r="D105" s="769"/>
      <c r="E105" s="769"/>
      <c r="F105" s="769"/>
      <c r="G105" s="769"/>
      <c r="H105" s="769"/>
      <c r="I105" s="769"/>
      <c r="J105" s="769"/>
      <c r="K105" s="769"/>
      <c r="L105" s="769"/>
    </row>
    <row r="106" spans="1:12">
      <c r="A106" s="769"/>
      <c r="B106" s="769"/>
      <c r="C106" s="769"/>
      <c r="D106" s="769"/>
      <c r="E106" s="769"/>
      <c r="F106" s="769"/>
      <c r="G106" s="769"/>
      <c r="H106" s="769"/>
      <c r="I106" s="769"/>
      <c r="J106" s="769"/>
      <c r="K106" s="769"/>
      <c r="L106" s="769"/>
    </row>
    <row r="107" spans="1:12">
      <c r="A107" s="769"/>
      <c r="B107" s="769"/>
      <c r="C107" s="769"/>
      <c r="D107" s="769"/>
      <c r="E107" s="769"/>
      <c r="F107" s="769"/>
      <c r="G107" s="769"/>
      <c r="H107" s="769"/>
      <c r="I107" s="769"/>
      <c r="J107" s="769"/>
      <c r="K107" s="769"/>
      <c r="L107" s="769"/>
    </row>
    <row r="108" spans="1:12">
      <c r="A108" s="769"/>
      <c r="B108" s="769"/>
      <c r="C108" s="769"/>
      <c r="D108" s="769"/>
      <c r="E108" s="769"/>
      <c r="F108" s="769"/>
      <c r="G108" s="769"/>
      <c r="H108" s="769"/>
      <c r="I108" s="769"/>
      <c r="J108" s="769"/>
      <c r="K108" s="769"/>
      <c r="L108" s="769"/>
    </row>
    <row r="109" spans="1:12">
      <c r="A109" s="769"/>
      <c r="B109" s="769"/>
      <c r="C109" s="769"/>
      <c r="D109" s="769"/>
      <c r="E109" s="769"/>
      <c r="F109" s="769"/>
      <c r="G109" s="769"/>
      <c r="H109" s="769"/>
      <c r="I109" s="769"/>
      <c r="J109" s="769"/>
      <c r="K109" s="769"/>
      <c r="L109" s="769"/>
    </row>
    <row r="110" spans="1:12">
      <c r="A110" s="769"/>
      <c r="B110" s="769"/>
      <c r="C110" s="769"/>
      <c r="D110" s="769"/>
      <c r="E110" s="769"/>
      <c r="F110" s="769"/>
      <c r="G110" s="769"/>
      <c r="H110" s="769"/>
      <c r="I110" s="769"/>
      <c r="J110" s="769"/>
      <c r="K110" s="769"/>
      <c r="L110" s="769"/>
    </row>
    <row r="111" spans="1:12">
      <c r="A111" s="769"/>
      <c r="B111" s="769"/>
      <c r="C111" s="769"/>
      <c r="D111" s="769"/>
      <c r="E111" s="769"/>
      <c r="F111" s="769"/>
      <c r="G111" s="769"/>
      <c r="H111" s="769"/>
      <c r="I111" s="769"/>
      <c r="J111" s="769"/>
      <c r="K111" s="769"/>
      <c r="L111" s="769"/>
    </row>
    <row r="112" spans="1:12">
      <c r="A112" s="769"/>
      <c r="B112" s="769"/>
      <c r="C112" s="769"/>
      <c r="D112" s="769"/>
      <c r="E112" s="769"/>
      <c r="F112" s="769"/>
      <c r="G112" s="769"/>
      <c r="H112" s="769"/>
      <c r="I112" s="769"/>
      <c r="J112" s="769"/>
      <c r="K112" s="769"/>
      <c r="L112" s="769"/>
    </row>
    <row r="113" spans="1:12">
      <c r="A113" s="769"/>
      <c r="B113" s="769"/>
      <c r="C113" s="769"/>
      <c r="D113" s="769"/>
      <c r="E113" s="769"/>
      <c r="F113" s="769"/>
      <c r="G113" s="769"/>
      <c r="H113" s="769"/>
      <c r="I113" s="769"/>
      <c r="J113" s="769"/>
      <c r="K113" s="769"/>
      <c r="L113" s="769"/>
    </row>
    <row r="114" spans="1:12">
      <c r="A114" s="769"/>
      <c r="B114" s="769"/>
      <c r="C114" s="769"/>
      <c r="D114" s="769"/>
      <c r="E114" s="769"/>
      <c r="F114" s="769"/>
      <c r="G114" s="769"/>
      <c r="H114" s="769"/>
      <c r="I114" s="769"/>
      <c r="J114" s="769"/>
      <c r="K114" s="769"/>
      <c r="L114" s="769"/>
    </row>
    <row r="115" spans="1:12">
      <c r="A115" s="769"/>
      <c r="B115" s="769"/>
      <c r="C115" s="769"/>
      <c r="D115" s="769"/>
      <c r="E115" s="769"/>
      <c r="F115" s="769"/>
      <c r="G115" s="769"/>
      <c r="H115" s="769"/>
      <c r="I115" s="769"/>
      <c r="J115" s="769"/>
      <c r="K115" s="769"/>
      <c r="L115" s="769"/>
    </row>
    <row r="116" spans="1:12">
      <c r="A116" s="769"/>
      <c r="B116" s="769"/>
      <c r="C116" s="769"/>
      <c r="D116" s="769"/>
      <c r="E116" s="769"/>
      <c r="F116" s="769"/>
      <c r="G116" s="769"/>
      <c r="H116" s="769"/>
      <c r="I116" s="769"/>
      <c r="J116" s="769"/>
      <c r="K116" s="769"/>
      <c r="L116" s="769"/>
    </row>
    <row r="117" spans="1:12">
      <c r="A117" s="769"/>
      <c r="B117" s="769"/>
      <c r="C117" s="769"/>
      <c r="D117" s="769"/>
      <c r="E117" s="769"/>
      <c r="F117" s="769"/>
      <c r="G117" s="769"/>
      <c r="H117" s="769"/>
      <c r="I117" s="769"/>
      <c r="J117" s="769"/>
      <c r="K117" s="769"/>
      <c r="L117" s="769"/>
    </row>
    <row r="118" spans="1:12">
      <c r="A118" s="769"/>
      <c r="B118" s="769"/>
      <c r="C118" s="769"/>
      <c r="D118" s="769"/>
      <c r="E118" s="769"/>
      <c r="F118" s="769"/>
      <c r="G118" s="769"/>
      <c r="H118" s="769"/>
      <c r="I118" s="769"/>
      <c r="J118" s="769"/>
      <c r="K118" s="769"/>
      <c r="L118" s="769"/>
    </row>
    <row r="119" spans="1:12">
      <c r="A119" s="769"/>
      <c r="B119" s="769"/>
      <c r="C119" s="769"/>
      <c r="D119" s="769"/>
      <c r="E119" s="769"/>
      <c r="F119" s="769"/>
      <c r="G119" s="769"/>
      <c r="H119" s="769"/>
      <c r="I119" s="769"/>
      <c r="J119" s="769"/>
      <c r="K119" s="769"/>
      <c r="L119" s="769"/>
    </row>
    <row r="120" spans="1:12">
      <c r="A120" s="769"/>
      <c r="B120" s="769"/>
      <c r="C120" s="769"/>
      <c r="D120" s="769"/>
      <c r="E120" s="769"/>
      <c r="F120" s="769"/>
      <c r="G120" s="769"/>
      <c r="H120" s="769"/>
      <c r="I120" s="769"/>
      <c r="J120" s="769"/>
      <c r="K120" s="769"/>
      <c r="L120" s="769"/>
    </row>
    <row r="121" spans="1:12">
      <c r="A121" s="769"/>
      <c r="B121" s="769"/>
      <c r="C121" s="769"/>
      <c r="D121" s="769"/>
      <c r="E121" s="769"/>
      <c r="F121" s="769"/>
      <c r="G121" s="769"/>
      <c r="H121" s="769"/>
      <c r="I121" s="769"/>
      <c r="J121" s="769"/>
      <c r="K121" s="769"/>
      <c r="L121" s="769"/>
    </row>
    <row r="122" spans="1:12">
      <c r="A122" s="769"/>
      <c r="B122" s="769"/>
      <c r="C122" s="769"/>
      <c r="D122" s="769"/>
      <c r="E122" s="769"/>
      <c r="F122" s="769"/>
      <c r="G122" s="769"/>
      <c r="H122" s="769"/>
      <c r="I122" s="769"/>
      <c r="J122" s="769"/>
      <c r="K122" s="769"/>
      <c r="L122" s="769"/>
    </row>
    <row r="123" spans="1:12">
      <c r="A123" s="769"/>
      <c r="B123" s="769"/>
      <c r="C123" s="769"/>
      <c r="D123" s="769"/>
      <c r="E123" s="769"/>
      <c r="F123" s="769"/>
      <c r="G123" s="769"/>
      <c r="H123" s="769"/>
      <c r="I123" s="769"/>
      <c r="J123" s="769"/>
      <c r="K123" s="769"/>
      <c r="L123" s="769"/>
    </row>
    <row r="124" spans="1:12">
      <c r="A124" s="769"/>
      <c r="B124" s="769"/>
      <c r="C124" s="769"/>
      <c r="D124" s="769"/>
      <c r="E124" s="769"/>
      <c r="F124" s="769"/>
      <c r="G124" s="769"/>
      <c r="H124" s="769"/>
      <c r="I124" s="769"/>
      <c r="J124" s="769"/>
      <c r="K124" s="769"/>
      <c r="L124" s="769"/>
    </row>
    <row r="125" spans="1:12">
      <c r="A125" s="769"/>
      <c r="B125" s="769"/>
      <c r="C125" s="769"/>
      <c r="D125" s="769"/>
      <c r="E125" s="769"/>
      <c r="F125" s="769"/>
      <c r="G125" s="769"/>
      <c r="H125" s="769"/>
      <c r="I125" s="769"/>
      <c r="J125" s="769"/>
      <c r="K125" s="769"/>
      <c r="L125" s="769"/>
    </row>
    <row r="126" spans="1:12">
      <c r="A126" s="769"/>
      <c r="B126" s="769"/>
      <c r="C126" s="769"/>
      <c r="D126" s="769"/>
      <c r="E126" s="769"/>
      <c r="F126" s="769"/>
      <c r="G126" s="769"/>
      <c r="H126" s="769"/>
      <c r="I126" s="769"/>
      <c r="J126" s="769"/>
      <c r="K126" s="769"/>
      <c r="L126" s="769"/>
    </row>
    <row r="127" spans="1:12">
      <c r="A127" s="769"/>
      <c r="B127" s="769"/>
      <c r="C127" s="769"/>
      <c r="D127" s="769"/>
      <c r="E127" s="769"/>
      <c r="F127" s="769"/>
      <c r="G127" s="769"/>
      <c r="H127" s="769"/>
      <c r="I127" s="769"/>
      <c r="J127" s="769"/>
      <c r="K127" s="769"/>
      <c r="L127" s="769"/>
    </row>
    <row r="128" spans="1:12">
      <c r="I128" s="769"/>
      <c r="J128" s="769"/>
      <c r="K128" s="769"/>
      <c r="L128" s="769"/>
    </row>
    <row r="129" spans="9:12">
      <c r="I129" s="769"/>
      <c r="J129" s="769"/>
      <c r="K129" s="769"/>
      <c r="L129" s="769"/>
    </row>
    <row r="130" spans="9:12">
      <c r="I130" s="769"/>
      <c r="J130" s="769"/>
      <c r="K130" s="769"/>
      <c r="L130" s="769"/>
    </row>
    <row r="131" spans="9:12">
      <c r="I131" s="769"/>
      <c r="J131" s="769"/>
      <c r="K131" s="769"/>
      <c r="L131" s="769"/>
    </row>
    <row r="132" spans="9:12">
      <c r="I132" s="769"/>
      <c r="J132" s="769"/>
      <c r="K132" s="769"/>
      <c r="L132" s="769"/>
    </row>
  </sheetData>
  <sheetProtection sheet="1" objects="1" scenarios="1"/>
  <mergeCells count="119">
    <mergeCell ref="E39:G39"/>
    <mergeCell ref="M53:U53"/>
    <mergeCell ref="V53:X53"/>
    <mergeCell ref="M54:U54"/>
    <mergeCell ref="V54:X54"/>
    <mergeCell ref="M55:U55"/>
    <mergeCell ref="V55:X55"/>
    <mergeCell ref="M56:U56"/>
    <mergeCell ref="V56:X56"/>
    <mergeCell ref="M48:X48"/>
    <mergeCell ref="M49:U49"/>
    <mergeCell ref="V49:X49"/>
    <mergeCell ref="M50:U50"/>
    <mergeCell ref="V50:X50"/>
    <mergeCell ref="M51:U51"/>
    <mergeCell ref="V51:X51"/>
    <mergeCell ref="M52:U52"/>
    <mergeCell ref="V52:X52"/>
    <mergeCell ref="M43:X43"/>
    <mergeCell ref="M44:U44"/>
    <mergeCell ref="V44:X44"/>
    <mergeCell ref="M45:U45"/>
    <mergeCell ref="V45:X45"/>
    <mergeCell ref="M46:U46"/>
    <mergeCell ref="E30:G30"/>
    <mergeCell ref="E19:G19"/>
    <mergeCell ref="E20:G20"/>
    <mergeCell ref="E21:G21"/>
    <mergeCell ref="E22:G22"/>
    <mergeCell ref="E23:G23"/>
    <mergeCell ref="E24:G24"/>
    <mergeCell ref="E13:G13"/>
    <mergeCell ref="E14:G14"/>
    <mergeCell ref="V46:X46"/>
    <mergeCell ref="M47:U47"/>
    <mergeCell ref="V47:X47"/>
    <mergeCell ref="A57:C57"/>
    <mergeCell ref="A43:G43"/>
    <mergeCell ref="I43:K43"/>
    <mergeCell ref="A45:G45"/>
    <mergeCell ref="I45:K45"/>
    <mergeCell ref="A47:G47"/>
    <mergeCell ref="A51:H51"/>
    <mergeCell ref="I51:K51"/>
    <mergeCell ref="A41:I41"/>
    <mergeCell ref="A56:C56"/>
    <mergeCell ref="A44:G44"/>
    <mergeCell ref="I44:K44"/>
    <mergeCell ref="A55:C55"/>
    <mergeCell ref="I47:K47"/>
    <mergeCell ref="A48:G48"/>
    <mergeCell ref="I48:K48"/>
    <mergeCell ref="A46:G46"/>
    <mergeCell ref="I46:K46"/>
    <mergeCell ref="I49:K49"/>
    <mergeCell ref="A49:H49"/>
    <mergeCell ref="I50:K50"/>
    <mergeCell ref="A50:H50"/>
    <mergeCell ref="I52:K52"/>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E7:G9"/>
    <mergeCell ref="DA7:DE7"/>
    <mergeCell ref="P7:P8"/>
    <mergeCell ref="AG7:AK7"/>
    <mergeCell ref="AL7:AP7"/>
    <mergeCell ref="AQ7:AU7"/>
    <mergeCell ref="AV7:AZ7"/>
    <mergeCell ref="CD7:CH7"/>
    <mergeCell ref="CI7:CM7"/>
    <mergeCell ref="CN7:CR7"/>
    <mergeCell ref="CS7:CW7"/>
    <mergeCell ref="Q7:Q8"/>
    <mergeCell ref="R7:R8"/>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A8:D9"/>
  </mergeCells>
  <phoneticPr fontId="5" type="noConversion"/>
  <conditionalFormatting sqref="E21">
    <cfRule type="expression" dxfId="848" priority="118">
      <formula>OR($D20="pæd.dag")</formula>
    </cfRule>
    <cfRule type="expression" dxfId="847" priority="119">
      <formula>OR($D20="nul-dag")</formula>
    </cfRule>
    <cfRule type="expression" dxfId="846" priority="120">
      <formula>OR($D20="SH-dag")</formula>
    </cfRule>
    <cfRule type="expression" dxfId="845" priority="121">
      <formula>OR($D20="ekskursion")</formula>
    </cfRule>
    <cfRule type="expression" dxfId="844" priority="122">
      <formula>OR($D20="lejrskole")</formula>
    </cfRule>
    <cfRule type="expression" dxfId="843" priority="123">
      <formula>OR($D20="emnedag")</formula>
    </cfRule>
    <cfRule type="expression" dxfId="842" priority="124">
      <formula>OR($D20="fagdag")</formula>
    </cfRule>
    <cfRule type="expression" dxfId="841" priority="125">
      <formula>OR($D20="feriedag")</formula>
    </cfRule>
    <cfRule type="expression" dxfId="840" priority="126">
      <formula>OR($D20="weekend")</formula>
    </cfRule>
    <cfRule type="expression" dxfId="839" priority="127" stopIfTrue="1">
      <formula>OR($D20="skoledag")</formula>
    </cfRule>
  </conditionalFormatting>
  <conditionalFormatting sqref="E21">
    <cfRule type="expression" dxfId="838" priority="128">
      <formula>OR($D20="Ikke relevant")</formula>
    </cfRule>
  </conditionalFormatting>
  <conditionalFormatting sqref="K10:M40">
    <cfRule type="expression" dxfId="837" priority="48">
      <formula>OR($C10="fagdag",)</formula>
    </cfRule>
    <cfRule type="expression" dxfId="836" priority="49">
      <formula>OR($C10="emnedag",)</formula>
    </cfRule>
  </conditionalFormatting>
  <conditionalFormatting sqref="K10:K40">
    <cfRule type="expression" dxfId="835" priority="50">
      <formula>OR($C10="Pæd.dag",)</formula>
    </cfRule>
  </conditionalFormatting>
  <conditionalFormatting sqref="K10:L40">
    <cfRule type="expression" dxfId="834" priority="51">
      <formula>OR($C10="Lejrskole",)</formula>
    </cfRule>
    <cfRule type="expression" dxfId="833" priority="52">
      <formula>OR($C10="Ekskursion",)</formula>
    </cfRule>
  </conditionalFormatting>
  <conditionalFormatting sqref="V10:V40">
    <cfRule type="expression" dxfId="832" priority="42">
      <formula>OR($S10="X",)</formula>
    </cfRule>
  </conditionalFormatting>
  <conditionalFormatting sqref="W10:W40">
    <cfRule type="expression" dxfId="831" priority="41">
      <formula>OR($T10="X",)</formula>
    </cfRule>
  </conditionalFormatting>
  <conditionalFormatting sqref="R10:R40">
    <cfRule type="expression" dxfId="830" priority="553">
      <formula>OR($H10&gt;"0",)</formula>
    </cfRule>
  </conditionalFormatting>
  <conditionalFormatting sqref="A10:H40">
    <cfRule type="expression" dxfId="829" priority="1">
      <formula>OR($C10="Skema 1")</formula>
    </cfRule>
    <cfRule type="expression" dxfId="828" priority="89">
      <formula>OR($C10="Orlov")</formula>
    </cfRule>
    <cfRule type="expression" dxfId="827" priority="90">
      <formula>OR($C10="skema 2")</formula>
    </cfRule>
    <cfRule type="expression" dxfId="826" priority="91">
      <formula>OR($C10="Skema 3")</formula>
    </cfRule>
    <cfRule type="expression" dxfId="825" priority="92">
      <formula>OR($C10="Skema 4")</formula>
    </cfRule>
    <cfRule type="expression" dxfId="824" priority="107">
      <formula>OR($C10="Ikke relevant")</formula>
    </cfRule>
    <cfRule type="expression" dxfId="823" priority="108">
      <formula>OR($C10="pæd.dag")</formula>
    </cfRule>
    <cfRule type="expression" dxfId="822" priority="109">
      <formula>OR($C10="nul-dag")</formula>
    </cfRule>
    <cfRule type="expression" dxfId="821" priority="110">
      <formula>OR($C10="SH-dag")</formula>
    </cfRule>
    <cfRule type="expression" dxfId="820" priority="111">
      <formula>OR($C10="ekskursion")</formula>
    </cfRule>
    <cfRule type="expression" dxfId="819" priority="112">
      <formula>OR($C10="lejrskole")</formula>
    </cfRule>
    <cfRule type="expression" dxfId="818" priority="113">
      <formula>OR($C10="emnedag")</formula>
    </cfRule>
    <cfRule type="expression" dxfId="817" priority="114">
      <formula>OR($C10="fagdag")</formula>
    </cfRule>
    <cfRule type="expression" dxfId="816" priority="115">
      <formula>OR($C10="feriedag")</formula>
    </cfRule>
    <cfRule type="expression" dxfId="815" priority="116">
      <formula>OR($C10="weekend")</formula>
    </cfRule>
    <cfRule type="expression" dxfId="814" priority="117" stopIfTrue="1">
      <formula>OR($C10="skoledag")</formula>
    </cfRule>
  </conditionalFormatting>
  <conditionalFormatting sqref="X10:X40">
    <cfRule type="expression" dxfId="813" priority="2">
      <formula>OR($U10="X",)</formula>
    </cfRule>
  </conditionalFormatting>
  <dataValidations count="4">
    <dataValidation type="list" allowBlank="1" showInputMessage="1" showErrorMessage="1" sqref="U10:U38 S10:T40" xr:uid="{2F74D57A-A412-BB4D-ABB3-024D4B21666C}">
      <formula1>$W$1:$W$2</formula1>
    </dataValidation>
    <dataValidation type="list" allowBlank="1" showInputMessage="1" sqref="C10:C40" xr:uid="{31E212A7-3A53-3C40-B063-4A6127A2D3DE}">
      <formula1>$A$79:$A$93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5:I16 I22:I23 I29:I30 I36:I37"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HC85"/>
  <sheetViews>
    <sheetView topLeftCell="A4" zoomScale="90" zoomScaleNormal="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113"/>
      <c r="Y1" s="453"/>
      <c r="Z1" s="113"/>
      <c r="AB1" s="113"/>
      <c r="AC1" s="113"/>
      <c r="AH1" s="113"/>
      <c r="AI1" s="113"/>
      <c r="CX1" s="455"/>
      <c r="CZ1"/>
    </row>
    <row r="2" spans="1:211" ht="21" thickBot="1">
      <c r="A2" s="155">
        <v>9</v>
      </c>
      <c r="B2" s="1180"/>
      <c r="C2" s="1180"/>
      <c r="D2" s="1180"/>
      <c r="E2" s="1180"/>
      <c r="F2" s="113"/>
      <c r="G2" s="113"/>
      <c r="H2" s="505"/>
      <c r="I2" s="504"/>
      <c r="J2" s="423"/>
      <c r="K2" s="423"/>
      <c r="L2" s="423"/>
      <c r="M2" s="423"/>
      <c r="N2" s="423"/>
      <c r="O2" s="423"/>
      <c r="P2" s="113"/>
      <c r="Q2" s="113"/>
      <c r="R2" s="113"/>
      <c r="S2" s="113"/>
      <c r="T2" s="113"/>
      <c r="U2" s="113"/>
      <c r="V2" s="113"/>
      <c r="W2" s="299" t="s">
        <v>31</v>
      </c>
      <c r="X2" s="299"/>
      <c r="Y2" s="453"/>
      <c r="Z2" s="113"/>
      <c r="AB2" s="113"/>
      <c r="AC2" s="113"/>
      <c r="AH2" s="113"/>
      <c r="AI2" s="113"/>
      <c r="CX2" s="455"/>
      <c r="CZ2"/>
    </row>
    <row r="3" spans="1:211">
      <c r="A3" s="1183" t="s">
        <v>365</v>
      </c>
      <c r="B3" s="1184"/>
      <c r="C3" s="1184"/>
      <c r="D3" s="1184"/>
      <c r="E3" s="1184"/>
      <c r="F3" s="1184"/>
      <c r="G3" s="1184"/>
      <c r="H3" s="1184"/>
      <c r="I3" s="1184"/>
      <c r="J3" s="1184"/>
      <c r="K3" s="1184"/>
      <c r="L3" s="1184"/>
      <c r="M3" s="1184"/>
      <c r="N3" s="1184"/>
      <c r="O3" s="1184"/>
      <c r="P3" s="1184"/>
      <c r="Q3" s="1184"/>
      <c r="R3" s="1184"/>
      <c r="S3" s="1184"/>
      <c r="T3" s="1184"/>
      <c r="U3" s="1184"/>
      <c r="V3" s="1184"/>
      <c r="W3" s="1184"/>
      <c r="X3" s="1185"/>
      <c r="Y3"/>
      <c r="Z3" s="113"/>
      <c r="AA3" s="113"/>
      <c r="AE3" s="113"/>
      <c r="AF3" s="113"/>
      <c r="AG3" s="113"/>
      <c r="CV3" s="455"/>
      <c r="CW3" s="455"/>
      <c r="CY3"/>
      <c r="CZ3"/>
    </row>
    <row r="4" spans="1:211" ht="254" thickBot="1">
      <c r="A4" s="1054" t="s">
        <v>532</v>
      </c>
      <c r="B4" s="1055"/>
      <c r="C4" s="1055"/>
      <c r="D4" s="1055"/>
      <c r="E4" s="1057" t="s">
        <v>366</v>
      </c>
      <c r="F4" s="1057"/>
      <c r="G4" s="1057"/>
      <c r="H4" s="892"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September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483</v>
      </c>
      <c r="T5" s="1066"/>
      <c r="U5" s="1066"/>
      <c r="V5" s="1066"/>
      <c r="W5" s="1066"/>
      <c r="X5" s="1067"/>
      <c r="Y5" s="453"/>
      <c r="Z5" s="113"/>
      <c r="AB5" s="113"/>
      <c r="AC5" s="113"/>
      <c r="AH5" s="113"/>
      <c r="AI5" s="113"/>
      <c r="CX5" s="455"/>
      <c r="CZ5"/>
    </row>
    <row r="6" spans="1:211" ht="47" customHeight="1">
      <c r="A6" s="570">
        <v>2022</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085"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1" customHeight="1">
      <c r="A7" s="1078" t="s">
        <v>279</v>
      </c>
      <c r="B7" s="1079"/>
      <c r="C7" s="1079"/>
      <c r="D7" s="1080"/>
      <c r="E7" s="1095"/>
      <c r="F7" s="1096"/>
      <c r="G7" s="1097"/>
      <c r="H7" s="1087" t="s">
        <v>395</v>
      </c>
      <c r="I7" s="1077"/>
      <c r="J7" s="1459"/>
      <c r="K7" s="596" t="s">
        <v>356</v>
      </c>
      <c r="L7" s="596" t="s">
        <v>357</v>
      </c>
      <c r="M7" s="885" t="s">
        <v>624</v>
      </c>
      <c r="N7" s="1059"/>
      <c r="O7" s="1059"/>
      <c r="P7" s="1059"/>
      <c r="Q7" s="1059"/>
      <c r="R7" s="1086"/>
      <c r="S7" s="569" t="s">
        <v>635</v>
      </c>
      <c r="T7" s="567" t="s">
        <v>362</v>
      </c>
      <c r="U7" s="567" t="s">
        <v>487</v>
      </c>
      <c r="V7" s="766" t="s">
        <v>540</v>
      </c>
      <c r="W7" s="766" t="s">
        <v>539</v>
      </c>
      <c r="X7" s="767" t="s">
        <v>484</v>
      </c>
      <c r="Y7" s="385" t="s">
        <v>328</v>
      </c>
      <c r="Z7" s="758"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177" t="s">
        <v>469</v>
      </c>
      <c r="W8" s="1178"/>
      <c r="X8" s="1179"/>
      <c r="Y8" s="385"/>
      <c r="Z8" s="758"/>
      <c r="AA8" s="531"/>
      <c r="BB8" s="420"/>
      <c r="CA8" s="180"/>
      <c r="CB8" s="430"/>
      <c r="CC8" s="531"/>
      <c r="CX8" s="455"/>
      <c r="DA8" s="455"/>
      <c r="DB8" s="455"/>
      <c r="DC8" s="455"/>
      <c r="DD8" s="455"/>
      <c r="DE8" s="455"/>
      <c r="DF8" s="455"/>
      <c r="DG8" s="455"/>
    </row>
    <row r="9" spans="1:211">
      <c r="A9" s="443">
        <f>IF(ISNUMBER(A7),A7+1,1)</f>
        <v>1</v>
      </c>
      <c r="B9" s="218" t="str">
        <f t="shared" ref="B9:B38" si="0">CHOOSE(MOD(WEEKDAY(DATE(A$6,A$2,A9)),7)+1,"lø","sø","ma","ti","on","to","fr",)</f>
        <v>to</v>
      </c>
      <c r="C9" s="219" t="s">
        <v>241</v>
      </c>
      <c r="D9" s="220" t="str">
        <f t="shared" ref="D9:D38" si="1">IF(B9="ma",(DATE(A$6,A$2,A9)-DATE(A$6,1,1)+7)/7,"")</f>
        <v/>
      </c>
      <c r="E9" s="906"/>
      <c r="F9" s="907"/>
      <c r="G9" s="908"/>
      <c r="H9" s="594"/>
      <c r="I9" s="855"/>
      <c r="J9" s="726"/>
      <c r="K9" s="669"/>
      <c r="L9" s="669"/>
      <c r="M9" s="669"/>
      <c r="N9" s="557">
        <f>BA9</f>
        <v>8</v>
      </c>
      <c r="O9" s="557">
        <f>CA9</f>
        <v>3.75</v>
      </c>
      <c r="P9" s="557">
        <f>IF(Stamoplysninger!$H$29="JA",September!DG9,CX9)</f>
        <v>0.91666666666666674</v>
      </c>
      <c r="Q9" s="557">
        <f>IF(OR(C9="Lejrskole",C9="Ekskursion"),0,N9-O9-P9)</f>
        <v>3.333333333333333</v>
      </c>
      <c r="R9" s="558"/>
      <c r="S9" s="564"/>
      <c r="T9" s="565"/>
      <c r="U9" s="565"/>
      <c r="V9" s="753"/>
      <c r="W9" s="559"/>
      <c r="X9" s="760"/>
      <c r="Y9">
        <f>IF($S$9="x",V9-N9,0)</f>
        <v>0</v>
      </c>
      <c r="Z9" s="759">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s="383" t="str">
        <f>IF(AND(C9="Skema 1",B9="ma"),Arbejdstidsoversigt!$E$44,"")</f>
        <v/>
      </c>
      <c r="AH9" s="383" t="str">
        <f>IF(AND(C9="Skema 1",B9="ti"),Arbejdstidsoversigt!$E$45,"")</f>
        <v/>
      </c>
      <c r="AI9" s="383" t="str">
        <f>IF(AND(C9="Skema 1",B9="on"),Arbejdstidsoversigt!$E$46,"")</f>
        <v/>
      </c>
      <c r="AJ9" s="383">
        <f>IF(AND(C9="Skema 1",B9="to"),Arbejdstidsoversigt!$E$47,"")</f>
        <v>8</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8" si="7">SUM(AG9:AK9)*24</f>
        <v>192</v>
      </c>
      <c r="BC9" s="1">
        <f>IF($C$9="Lejrskole",$L$9,0)</f>
        <v>0</v>
      </c>
      <c r="BD9" s="1">
        <f t="shared" ref="BD9:BD38" si="8">IF(C9="Ekskursion",L9,0)</f>
        <v>0</v>
      </c>
      <c r="BE9" s="1">
        <f t="shared" ref="BE9:BE38" si="9">IF(C9="fagdag",L9,0)</f>
        <v>0</v>
      </c>
      <c r="BF9" s="1">
        <f t="shared" ref="BF9:BF38" si="10">IF(C9="emnedag",L9,0)</f>
        <v>0</v>
      </c>
      <c r="BG9" s="382" t="str">
        <f>IF(AND($C$9="Skema 1",$B$9="ma"),Skemaoplysninger!E28,"")</f>
        <v/>
      </c>
      <c r="BH9" s="382" t="str">
        <f>IF(AND(C9="Skema 1",B9="ti"),Skemaoplysninger!$F$28,"")</f>
        <v/>
      </c>
      <c r="BI9" s="382" t="str">
        <f>IF(AND(C9="Skema 1",B9="on"),Skemaoplysninger!$G$28,"")</f>
        <v/>
      </c>
      <c r="BJ9" s="382">
        <f>IF(AND(C9="Skema 1",B9="to"),Skemaoplysninger!$H$28,"")</f>
        <v>0.15625</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3.75</v>
      </c>
      <c r="CB9" s="1">
        <f t="shared" ref="CB9:CB38" si="11">IF(C9="fagdag",M9,0)</f>
        <v>0</v>
      </c>
      <c r="CC9" s="1">
        <f t="shared" ref="CC9:CC38" si="12">IF(C9="emnedag",M9,0)</f>
        <v>0</v>
      </c>
      <c r="CD9" s="382" t="str">
        <f>IF(AND(C9="Skema 1",B9="ma"),Skemaoplysninger!$E$37,"")</f>
        <v/>
      </c>
      <c r="CE9" s="382" t="str">
        <f>IF(AND(C9="Skema 1",B9="ti"),Skemaoplysninger!$F$37,"")</f>
        <v/>
      </c>
      <c r="CF9" s="382" t="str">
        <f>IF(AND(C9="Skema 1",B9="on"),Skemaoplysninger!$G$37,"")</f>
        <v/>
      </c>
      <c r="CG9" s="382">
        <f>IF(AND(C9="Skema 1",B9="to"),Skemaoplysninger!$H$37,"")</f>
        <v>0.91666666666666674</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0.91666666666666674</v>
      </c>
      <c r="CY9" s="457">
        <f>IF(C9="Skema 1",Stamoplysninger!$H$30/200,0)</f>
        <v>1</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8" si="13">IF(ISNUMBER(A9),A9+1,1)</f>
        <v>2</v>
      </c>
      <c r="B10" s="218" t="str">
        <f t="shared" si="0"/>
        <v>fr</v>
      </c>
      <c r="C10" s="219" t="s">
        <v>241</v>
      </c>
      <c r="D10" s="220" t="str">
        <f t="shared" si="1"/>
        <v/>
      </c>
      <c r="E10" s="906"/>
      <c r="F10" s="907"/>
      <c r="G10" s="908"/>
      <c r="H10" s="594"/>
      <c r="I10" s="855"/>
      <c r="J10" s="726"/>
      <c r="K10" s="669"/>
      <c r="L10" s="669"/>
      <c r="M10" s="669"/>
      <c r="N10" s="557">
        <f t="shared" ref="N10:N38" si="14">BA10</f>
        <v>7</v>
      </c>
      <c r="O10" s="557">
        <f t="shared" ref="O10:O38" si="15">CA10</f>
        <v>2.25</v>
      </c>
      <c r="P10" s="557">
        <f>IF(Stamoplysninger!$H$29="JA",September!DG10,CX10)</f>
        <v>0.33333333333333331</v>
      </c>
      <c r="Q10" s="557">
        <f t="shared" ref="Q10:Q38" si="16">IF(OR(C10="Lejrskole",C10="Ekskursion"),0,N10-O10-P10)</f>
        <v>4.416666666666667</v>
      </c>
      <c r="R10" s="558"/>
      <c r="S10" s="564"/>
      <c r="T10" s="565"/>
      <c r="U10" s="565"/>
      <c r="V10" s="753"/>
      <c r="W10" s="559"/>
      <c r="X10" s="760"/>
      <c r="Y10">
        <f t="shared" ref="Y10:Y38" si="17">IF(S10="x",V10-N10,0)</f>
        <v>0</v>
      </c>
      <c r="Z10" s="759">
        <f t="shared" ref="Z10:Z38" si="18">W10</f>
        <v>0</v>
      </c>
      <c r="AA10" s="1">
        <f t="shared" si="2"/>
        <v>0</v>
      </c>
      <c r="AB10" s="1">
        <f t="shared" si="3"/>
        <v>0</v>
      </c>
      <c r="AC10" s="1">
        <f t="shared" si="4"/>
        <v>0</v>
      </c>
      <c r="AD10" s="1">
        <f t="shared" si="5"/>
        <v>0</v>
      </c>
      <c r="AE10" s="1">
        <f t="shared" si="6"/>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f>IF(AND(C10="Skema 1",B10="fr"),Arbejdstidsoversigt!$E$48,"")</f>
        <v>7</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7" si="19">SUM(AA10:AZ10)</f>
        <v>7</v>
      </c>
      <c r="BB10" s="421">
        <f t="shared" si="7"/>
        <v>168</v>
      </c>
      <c r="BC10" s="1">
        <f t="shared" ref="BC10:BC38" si="20">IF(C10="Lejrskole",L10,0)</f>
        <v>0</v>
      </c>
      <c r="BD10" s="1">
        <f t="shared" si="8"/>
        <v>0</v>
      </c>
      <c r="BE10" s="1">
        <f t="shared" si="9"/>
        <v>0</v>
      </c>
      <c r="BF10" s="1">
        <f t="shared" si="10"/>
        <v>0</v>
      </c>
      <c r="BG10" s="382" t="str">
        <f>IF(AND(C10="Skema 1",B10="ma"),Skemaoplysninger!$E$28,"")</f>
        <v/>
      </c>
      <c r="BH10" s="382" t="str">
        <f>IF(AND(C10="Skema 1",B10="ti"),Skemaoplysninger!$F$28,"")</f>
        <v/>
      </c>
      <c r="BI10" s="382" t="str">
        <f>IF(AND(C10="Skema 1",B10="on"),Skemaoplysninger!$G$28,"")</f>
        <v/>
      </c>
      <c r="BJ10" s="382" t="str">
        <f>IF(AND(C10="Skema 1",B10="to"),Skemaoplysninger!$H$28,"")</f>
        <v/>
      </c>
      <c r="BK10" s="382">
        <f>IF(AND(C10="Skema 1",B10="fr"),Skemaoplysninger!$I$28,"")</f>
        <v>9.375E-2</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8" si="21">SUM(BG10:BZ10)*24+SUM(BC10:BF10)</f>
        <v>2.25</v>
      </c>
      <c r="CB10" s="1">
        <f t="shared" si="11"/>
        <v>0</v>
      </c>
      <c r="CC10" s="1">
        <f t="shared" si="12"/>
        <v>0</v>
      </c>
      <c r="CD10" s="382" t="str">
        <f>IF(AND(C10="Skema 1",B10="ma"),Skemaoplysninger!$E$37,"")</f>
        <v/>
      </c>
      <c r="CE10" s="382" t="str">
        <f>IF(AND(C10="Skema 1",B10="ti"),Skemaoplysninger!$F$37,"")</f>
        <v/>
      </c>
      <c r="CF10" s="382" t="str">
        <f>IF(AND(C10="Skema 1",B10="on"),Skemaoplysninger!$G$37,"")</f>
        <v/>
      </c>
      <c r="CG10" s="382" t="str">
        <f>IF(AND(C10="Skema 1",B10="to"),Skemaoplysninger!$H$37,"")</f>
        <v/>
      </c>
      <c r="CH10" s="382">
        <f>IF(AND(C10="Skema 1",B10="fr"),Skemaoplysninger!$I$37,"")</f>
        <v>0.33333333333333331</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0.33333333333333331</v>
      </c>
      <c r="CY10" s="457">
        <f>IF(C10="Skema 1",Stamoplysninger!$H$30/200,0)</f>
        <v>1</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8" si="22">SUM(CY10:DF10)</f>
        <v>1</v>
      </c>
    </row>
    <row r="11" spans="1:211">
      <c r="A11" s="443">
        <f t="shared" si="13"/>
        <v>3</v>
      </c>
      <c r="B11" s="218" t="str">
        <f t="shared" si="0"/>
        <v>lø</v>
      </c>
      <c r="C11" s="219" t="s">
        <v>138</v>
      </c>
      <c r="D11" s="220" t="str">
        <f t="shared" si="1"/>
        <v/>
      </c>
      <c r="E11" s="906"/>
      <c r="F11" s="907"/>
      <c r="G11" s="908"/>
      <c r="H11" s="594"/>
      <c r="I11" s="726"/>
      <c r="J11" s="726"/>
      <c r="K11" s="669"/>
      <c r="L11" s="669"/>
      <c r="M11" s="669"/>
      <c r="N11" s="557">
        <f t="shared" si="14"/>
        <v>0</v>
      </c>
      <c r="O11" s="557">
        <f t="shared" si="15"/>
        <v>0</v>
      </c>
      <c r="P11" s="557">
        <f>IF(Stamoplysninger!$H$29="JA",September!DG11,CX11)</f>
        <v>0</v>
      </c>
      <c r="Q11" s="557">
        <f t="shared" si="16"/>
        <v>0</v>
      </c>
      <c r="R11" s="558"/>
      <c r="S11" s="564"/>
      <c r="T11" s="565"/>
      <c r="U11" s="565"/>
      <c r="V11" s="753"/>
      <c r="W11" s="559"/>
      <c r="X11" s="760"/>
      <c r="Y11">
        <f t="shared" si="17"/>
        <v>0</v>
      </c>
      <c r="Z11" s="759">
        <f t="shared" si="18"/>
        <v>0</v>
      </c>
      <c r="AA11" s="1">
        <f t="shared" si="2"/>
        <v>0</v>
      </c>
      <c r="AB11" s="1">
        <f t="shared" si="3"/>
        <v>0</v>
      </c>
      <c r="AC11" s="1">
        <f t="shared" si="4"/>
        <v>0</v>
      </c>
      <c r="AD11" s="1">
        <f t="shared" si="5"/>
        <v>0</v>
      </c>
      <c r="AE11" s="1">
        <f t="shared" si="6"/>
        <v>0</v>
      </c>
      <c r="AF11" s="1">
        <f>IF(C11="Orlov",7.4*Stamoplysninger!$E$15,0)</f>
        <v>0</v>
      </c>
      <c r="AG11" s="383" t="str">
        <f>IF(AND(C11="Skema 1",B11="ma"),Arbejdstidsoversigt!$E$44,"")</f>
        <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0</v>
      </c>
      <c r="BB11" s="421">
        <f t="shared" si="7"/>
        <v>0</v>
      </c>
      <c r="BC11" s="1">
        <f t="shared" si="20"/>
        <v>0</v>
      </c>
      <c r="BD11" s="1">
        <f t="shared" si="8"/>
        <v>0</v>
      </c>
      <c r="BE11" s="1">
        <f t="shared" si="9"/>
        <v>0</v>
      </c>
      <c r="BF11" s="1">
        <f t="shared" si="10"/>
        <v>0</v>
      </c>
      <c r="BG11" s="382" t="str">
        <f>IF(AND(C11="Skema 1",B11="ma"),Skemaoplysninger!$E$28,"")</f>
        <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0</v>
      </c>
      <c r="CB11" s="1">
        <f t="shared" si="11"/>
        <v>0</v>
      </c>
      <c r="CC11" s="1">
        <f t="shared" si="12"/>
        <v>0</v>
      </c>
      <c r="CD11" s="382" t="str">
        <f>IF(AND(C11="Skema 1",B11="ma"),Skemaoplysninger!$E$37,"")</f>
        <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v>
      </c>
      <c r="CY11" s="457">
        <f>IF(C11="Skema 1",Stamoplysninger!$H$30/200,0)</f>
        <v>0</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0</v>
      </c>
    </row>
    <row r="12" spans="1:211">
      <c r="A12" s="443">
        <f t="shared" si="13"/>
        <v>4</v>
      </c>
      <c r="B12" s="218" t="str">
        <f t="shared" si="0"/>
        <v>sø</v>
      </c>
      <c r="C12" s="219" t="s">
        <v>138</v>
      </c>
      <c r="D12" s="220" t="str">
        <f t="shared" si="1"/>
        <v/>
      </c>
      <c r="E12" s="906"/>
      <c r="F12" s="907"/>
      <c r="G12" s="908"/>
      <c r="H12" s="594"/>
      <c r="I12" s="726"/>
      <c r="J12" s="726"/>
      <c r="K12" s="669"/>
      <c r="L12" s="669"/>
      <c r="M12" s="669"/>
      <c r="N12" s="557">
        <f t="shared" si="14"/>
        <v>0</v>
      </c>
      <c r="O12" s="557">
        <f t="shared" si="15"/>
        <v>0</v>
      </c>
      <c r="P12" s="557">
        <f>IF(Stamoplysninger!$H$29="JA",September!DG12,CX12)</f>
        <v>0</v>
      </c>
      <c r="Q12" s="557">
        <f t="shared" si="16"/>
        <v>0</v>
      </c>
      <c r="R12" s="558"/>
      <c r="S12" s="564"/>
      <c r="T12" s="565"/>
      <c r="U12" s="565"/>
      <c r="V12" s="753"/>
      <c r="W12" s="559"/>
      <c r="X12" s="760"/>
      <c r="Y12">
        <f t="shared" si="17"/>
        <v>0</v>
      </c>
      <c r="Z12" s="759">
        <f t="shared" si="18"/>
        <v>0</v>
      </c>
      <c r="AA12" s="1">
        <f t="shared" si="2"/>
        <v>0</v>
      </c>
      <c r="AB12" s="1">
        <f t="shared" si="3"/>
        <v>0</v>
      </c>
      <c r="AC12" s="1">
        <f t="shared" si="4"/>
        <v>0</v>
      </c>
      <c r="AD12" s="1">
        <f t="shared" si="5"/>
        <v>0</v>
      </c>
      <c r="AE12" s="1">
        <f t="shared" si="6"/>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0</v>
      </c>
      <c r="BB12" s="421">
        <f t="shared" si="7"/>
        <v>0</v>
      </c>
      <c r="BC12" s="1">
        <f t="shared" si="20"/>
        <v>0</v>
      </c>
      <c r="BD12" s="1">
        <f t="shared" si="8"/>
        <v>0</v>
      </c>
      <c r="BE12" s="1">
        <f t="shared" si="9"/>
        <v>0</v>
      </c>
      <c r="BF12" s="1">
        <f t="shared" si="10"/>
        <v>0</v>
      </c>
      <c r="BG12" s="382" t="str">
        <f>IF(AND(C12="Skema 1",B12="ma"),Skemaoplysninger!$E$28,"")</f>
        <v/>
      </c>
      <c r="BH12" s="382" t="str">
        <f>IF(AND(C12="Skema 1",B12="ti"),Skemaoplysninger!$F$28,"")</f>
        <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0</v>
      </c>
      <c r="CB12" s="1">
        <f t="shared" si="11"/>
        <v>0</v>
      </c>
      <c r="CC12" s="1">
        <f t="shared" si="12"/>
        <v>0</v>
      </c>
      <c r="CD12" s="382" t="str">
        <f>IF(AND(C12="Skema 1",B12="ma"),Skemaoplysninger!$E$37,"")</f>
        <v/>
      </c>
      <c r="CE12" s="382" t="str">
        <f>IF(AND(C12="Skema 1",B12="ti"),Skemaoplysninger!$F$37,"")</f>
        <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v>
      </c>
      <c r="CY12" s="457">
        <f>IF(C12="Skema 1",Stamoplysninger!$H$30/200,0)</f>
        <v>0</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0</v>
      </c>
    </row>
    <row r="13" spans="1:211">
      <c r="A13" s="443">
        <f t="shared" si="13"/>
        <v>5</v>
      </c>
      <c r="B13" s="218" t="str">
        <f t="shared" si="0"/>
        <v>ma</v>
      </c>
      <c r="C13" s="219" t="s">
        <v>156</v>
      </c>
      <c r="D13" s="220">
        <f t="shared" si="1"/>
        <v>36.285714285714285</v>
      </c>
      <c r="E13" s="906" t="s">
        <v>589</v>
      </c>
      <c r="F13" s="907"/>
      <c r="G13" s="908"/>
      <c r="H13" s="594"/>
      <c r="I13" s="855"/>
      <c r="J13" s="726"/>
      <c r="K13" s="669">
        <v>14.66</v>
      </c>
      <c r="L13" s="669">
        <v>4.5</v>
      </c>
      <c r="M13" s="669"/>
      <c r="N13" s="557">
        <f t="shared" si="14"/>
        <v>14.66</v>
      </c>
      <c r="O13" s="557">
        <f t="shared" si="15"/>
        <v>4.5</v>
      </c>
      <c r="P13" s="557">
        <f>IF(Stamoplysninger!$H$29="JA",September!DG13,CX13)</f>
        <v>0</v>
      </c>
      <c r="Q13" s="557">
        <f t="shared" si="16"/>
        <v>0</v>
      </c>
      <c r="R13" s="558"/>
      <c r="S13" s="564"/>
      <c r="T13" s="565"/>
      <c r="U13" s="565"/>
      <c r="V13" s="753"/>
      <c r="W13" s="559"/>
      <c r="X13" s="760"/>
      <c r="Y13">
        <f t="shared" si="17"/>
        <v>0</v>
      </c>
      <c r="Z13" s="759">
        <f t="shared" si="18"/>
        <v>0</v>
      </c>
      <c r="AA13" s="1">
        <f t="shared" si="2"/>
        <v>0</v>
      </c>
      <c r="AB13" s="1">
        <f t="shared" si="3"/>
        <v>0</v>
      </c>
      <c r="AC13" s="1">
        <f t="shared" si="4"/>
        <v>0</v>
      </c>
      <c r="AD13" s="1">
        <f t="shared" si="5"/>
        <v>0</v>
      </c>
      <c r="AE13" s="1">
        <f t="shared" si="6"/>
        <v>14.66</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14.66</v>
      </c>
      <c r="BB13" s="421">
        <f t="shared" si="7"/>
        <v>0</v>
      </c>
      <c r="BC13" s="1">
        <f t="shared" si="20"/>
        <v>4.5</v>
      </c>
      <c r="BD13" s="1">
        <f t="shared" si="8"/>
        <v>0</v>
      </c>
      <c r="BE13" s="1">
        <f t="shared" si="9"/>
        <v>0</v>
      </c>
      <c r="BF13" s="1">
        <f t="shared" si="10"/>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4.5</v>
      </c>
      <c r="CB13" s="1">
        <f t="shared" si="11"/>
        <v>0</v>
      </c>
      <c r="CC13" s="1">
        <f t="shared" si="12"/>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1</v>
      </c>
      <c r="DF13" s="457">
        <f>IF(C13="ekskursion",Stamoplysninger!$H$30/200,0)</f>
        <v>0</v>
      </c>
      <c r="DG13" s="457">
        <f t="shared" si="22"/>
        <v>1</v>
      </c>
    </row>
    <row r="14" spans="1:211" ht="16" customHeight="1">
      <c r="A14" s="443">
        <f t="shared" si="13"/>
        <v>6</v>
      </c>
      <c r="B14" s="218" t="str">
        <f t="shared" si="0"/>
        <v>ti</v>
      </c>
      <c r="C14" s="219" t="s">
        <v>156</v>
      </c>
      <c r="D14" s="220" t="str">
        <f t="shared" si="1"/>
        <v/>
      </c>
      <c r="E14" s="906" t="s">
        <v>590</v>
      </c>
      <c r="F14" s="907"/>
      <c r="G14" s="908"/>
      <c r="H14" s="594"/>
      <c r="I14" s="855"/>
      <c r="J14" s="726"/>
      <c r="K14" s="669">
        <v>17.329999999999998</v>
      </c>
      <c r="L14" s="669">
        <v>4.5</v>
      </c>
      <c r="M14" s="669"/>
      <c r="N14" s="557">
        <f t="shared" si="14"/>
        <v>17.329999999999998</v>
      </c>
      <c r="O14" s="557">
        <f t="shared" si="15"/>
        <v>4.5</v>
      </c>
      <c r="P14" s="557">
        <f>IF(Stamoplysninger!$H$29="JA",September!DG14,CX14)</f>
        <v>0</v>
      </c>
      <c r="Q14" s="557">
        <f t="shared" si="16"/>
        <v>0</v>
      </c>
      <c r="R14" s="558"/>
      <c r="S14" s="564"/>
      <c r="T14" s="565"/>
      <c r="U14" s="565"/>
      <c r="V14" s="753"/>
      <c r="W14" s="559"/>
      <c r="X14" s="760"/>
      <c r="Y14">
        <f t="shared" si="17"/>
        <v>0</v>
      </c>
      <c r="Z14" s="759">
        <f t="shared" si="18"/>
        <v>0</v>
      </c>
      <c r="AA14" s="1">
        <f t="shared" si="2"/>
        <v>0</v>
      </c>
      <c r="AB14" s="1">
        <f t="shared" si="3"/>
        <v>0</v>
      </c>
      <c r="AC14" s="1">
        <f t="shared" si="4"/>
        <v>0</v>
      </c>
      <c r="AD14" s="1">
        <f t="shared" si="5"/>
        <v>0</v>
      </c>
      <c r="AE14" s="1">
        <f t="shared" si="6"/>
        <v>17.329999999999998</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17.329999999999998</v>
      </c>
      <c r="BB14" s="421">
        <f t="shared" si="7"/>
        <v>0</v>
      </c>
      <c r="BC14" s="1">
        <f t="shared" si="20"/>
        <v>4.5</v>
      </c>
      <c r="BD14" s="1">
        <f t="shared" si="8"/>
        <v>0</v>
      </c>
      <c r="BE14" s="1">
        <f t="shared" si="9"/>
        <v>0</v>
      </c>
      <c r="BF14" s="1">
        <f t="shared" si="10"/>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4.5</v>
      </c>
      <c r="CB14" s="1">
        <f t="shared" si="11"/>
        <v>0</v>
      </c>
      <c r="CC14" s="1">
        <f t="shared" si="12"/>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1</v>
      </c>
      <c r="DF14" s="457">
        <f>IF(C14="ekskursion",Stamoplysninger!$H$30/200,0)</f>
        <v>0</v>
      </c>
      <c r="DG14" s="457">
        <f t="shared" si="22"/>
        <v>1</v>
      </c>
    </row>
    <row r="15" spans="1:211" ht="16" customHeight="1">
      <c r="A15" s="443">
        <f t="shared" si="13"/>
        <v>7</v>
      </c>
      <c r="B15" s="218" t="str">
        <f t="shared" si="0"/>
        <v>on</v>
      </c>
      <c r="C15" s="219" t="s">
        <v>156</v>
      </c>
      <c r="D15" s="220" t="str">
        <f t="shared" si="1"/>
        <v/>
      </c>
      <c r="E15" s="906" t="s">
        <v>590</v>
      </c>
      <c r="F15" s="907"/>
      <c r="G15" s="908"/>
      <c r="H15" s="594"/>
      <c r="I15" s="855"/>
      <c r="J15" s="726"/>
      <c r="K15" s="669">
        <v>17.329999999999998</v>
      </c>
      <c r="L15" s="669">
        <v>4.5</v>
      </c>
      <c r="M15" s="669"/>
      <c r="N15" s="557">
        <f t="shared" si="14"/>
        <v>17.329999999999998</v>
      </c>
      <c r="O15" s="557">
        <f t="shared" si="15"/>
        <v>4.5</v>
      </c>
      <c r="P15" s="557">
        <f>IF(Stamoplysninger!$H$29="JA",September!DG15,CX15)</f>
        <v>0</v>
      </c>
      <c r="Q15" s="557">
        <f t="shared" si="16"/>
        <v>0</v>
      </c>
      <c r="R15" s="558"/>
      <c r="S15" s="564"/>
      <c r="T15" s="565"/>
      <c r="U15" s="565"/>
      <c r="V15" s="753"/>
      <c r="W15" s="559"/>
      <c r="X15" s="760"/>
      <c r="Y15">
        <f t="shared" si="17"/>
        <v>0</v>
      </c>
      <c r="Z15" s="759">
        <f t="shared" si="18"/>
        <v>0</v>
      </c>
      <c r="AA15" s="1">
        <f t="shared" si="2"/>
        <v>0</v>
      </c>
      <c r="AB15" s="1">
        <f t="shared" si="3"/>
        <v>0</v>
      </c>
      <c r="AC15" s="1">
        <f t="shared" si="4"/>
        <v>0</v>
      </c>
      <c r="AD15" s="1">
        <f t="shared" si="5"/>
        <v>0</v>
      </c>
      <c r="AE15" s="1">
        <f t="shared" si="6"/>
        <v>17.329999999999998</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17.329999999999998</v>
      </c>
      <c r="BB15" s="421">
        <f t="shared" si="7"/>
        <v>0</v>
      </c>
      <c r="BC15" s="1">
        <f t="shared" si="20"/>
        <v>4.5</v>
      </c>
      <c r="BD15" s="1">
        <f t="shared" si="8"/>
        <v>0</v>
      </c>
      <c r="BE15" s="1">
        <f t="shared" si="9"/>
        <v>0</v>
      </c>
      <c r="BF15" s="1">
        <f t="shared" si="10"/>
        <v>0</v>
      </c>
      <c r="BG15" s="382" t="str">
        <f>IF(AND(C15="Skema 1",B15="ma"),Skemaoplysninger!$E$28,"")</f>
        <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4.5</v>
      </c>
      <c r="CB15" s="1">
        <f t="shared" si="11"/>
        <v>0</v>
      </c>
      <c r="CC15" s="1">
        <f t="shared" si="12"/>
        <v>0</v>
      </c>
      <c r="CD15" s="382" t="str">
        <f>IF(AND(C15="Skema 1",B15="ma"),Skemaoplysninger!$E$37,"")</f>
        <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v>
      </c>
      <c r="CY15" s="457">
        <f>IF(C15="Skema 1",Stamoplysninger!$H$30/200,0)</f>
        <v>0</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1</v>
      </c>
      <c r="DF15" s="457">
        <f>IF(C15="ekskursion",Stamoplysninger!$H$30/200,0)</f>
        <v>0</v>
      </c>
      <c r="DG15" s="457">
        <f t="shared" si="22"/>
        <v>1</v>
      </c>
    </row>
    <row r="16" spans="1:211">
      <c r="A16" s="443">
        <f t="shared" si="13"/>
        <v>8</v>
      </c>
      <c r="B16" s="218" t="str">
        <f t="shared" si="0"/>
        <v>to</v>
      </c>
      <c r="C16" s="219" t="s">
        <v>156</v>
      </c>
      <c r="D16" s="220" t="str">
        <f t="shared" si="1"/>
        <v/>
      </c>
      <c r="E16" s="906" t="s">
        <v>590</v>
      </c>
      <c r="F16" s="907"/>
      <c r="G16" s="908"/>
      <c r="H16" s="594"/>
      <c r="I16" s="855"/>
      <c r="J16" s="726"/>
      <c r="K16" s="669">
        <v>17.329999999999998</v>
      </c>
      <c r="L16" s="669">
        <v>4.5</v>
      </c>
      <c r="M16" s="669"/>
      <c r="N16" s="557">
        <f t="shared" si="14"/>
        <v>17.329999999999998</v>
      </c>
      <c r="O16" s="557">
        <f t="shared" si="15"/>
        <v>4.5</v>
      </c>
      <c r="P16" s="557">
        <f>IF(Stamoplysninger!$H$29="JA",September!DG16,CX16)</f>
        <v>0</v>
      </c>
      <c r="Q16" s="557">
        <f t="shared" si="16"/>
        <v>0</v>
      </c>
      <c r="R16" s="558"/>
      <c r="S16" s="564"/>
      <c r="T16" s="565"/>
      <c r="U16" s="565"/>
      <c r="V16" s="753"/>
      <c r="W16" s="559"/>
      <c r="X16" s="760"/>
      <c r="Y16">
        <f t="shared" si="17"/>
        <v>0</v>
      </c>
      <c r="Z16" s="759">
        <f t="shared" si="18"/>
        <v>0</v>
      </c>
      <c r="AA16" s="1">
        <f t="shared" si="2"/>
        <v>0</v>
      </c>
      <c r="AB16" s="1">
        <f t="shared" si="3"/>
        <v>0</v>
      </c>
      <c r="AC16" s="1">
        <f t="shared" si="4"/>
        <v>0</v>
      </c>
      <c r="AD16" s="1">
        <f t="shared" si="5"/>
        <v>0</v>
      </c>
      <c r="AE16" s="1">
        <f t="shared" si="6"/>
        <v>17.329999999999998</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17.329999999999998</v>
      </c>
      <c r="BB16" s="421">
        <f t="shared" si="7"/>
        <v>0</v>
      </c>
      <c r="BC16" s="1">
        <f t="shared" si="20"/>
        <v>4.5</v>
      </c>
      <c r="BD16" s="1">
        <f t="shared" si="8"/>
        <v>0</v>
      </c>
      <c r="BE16" s="1">
        <f t="shared" si="9"/>
        <v>0</v>
      </c>
      <c r="BF16" s="1">
        <f t="shared" si="10"/>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4.5</v>
      </c>
      <c r="CB16" s="1">
        <f t="shared" si="11"/>
        <v>0</v>
      </c>
      <c r="CC16" s="1">
        <f t="shared" si="12"/>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1</v>
      </c>
      <c r="DF16" s="457">
        <f>IF(C16="ekskursion",Stamoplysninger!$H$30/200,0)</f>
        <v>0</v>
      </c>
      <c r="DG16" s="457">
        <f t="shared" si="22"/>
        <v>1</v>
      </c>
    </row>
    <row r="17" spans="1:111">
      <c r="A17" s="443">
        <f t="shared" si="13"/>
        <v>9</v>
      </c>
      <c r="B17" s="218" t="str">
        <f t="shared" si="0"/>
        <v>fr</v>
      </c>
      <c r="C17" s="219" t="s">
        <v>156</v>
      </c>
      <c r="D17" s="220" t="str">
        <f t="shared" si="1"/>
        <v/>
      </c>
      <c r="E17" s="906" t="s">
        <v>591</v>
      </c>
      <c r="F17" s="907"/>
      <c r="G17" s="908"/>
      <c r="H17" s="594"/>
      <c r="I17" s="855"/>
      <c r="J17" s="726"/>
      <c r="K17" s="669">
        <v>14</v>
      </c>
      <c r="L17" s="669">
        <v>4.5</v>
      </c>
      <c r="M17" s="669"/>
      <c r="N17" s="557">
        <f t="shared" si="14"/>
        <v>14</v>
      </c>
      <c r="O17" s="557">
        <f t="shared" si="15"/>
        <v>4.5</v>
      </c>
      <c r="P17" s="557">
        <f>IF(Stamoplysninger!$H$29="JA",September!DG17,CX17)</f>
        <v>0</v>
      </c>
      <c r="Q17" s="557">
        <f t="shared" si="16"/>
        <v>0</v>
      </c>
      <c r="R17" s="558"/>
      <c r="S17" s="564"/>
      <c r="T17" s="565"/>
      <c r="U17" s="565"/>
      <c r="V17" s="753"/>
      <c r="W17" s="559"/>
      <c r="X17" s="760"/>
      <c r="Y17">
        <f t="shared" si="17"/>
        <v>0</v>
      </c>
      <c r="Z17" s="759">
        <f t="shared" si="18"/>
        <v>0</v>
      </c>
      <c r="AA17" s="1">
        <f t="shared" si="2"/>
        <v>0</v>
      </c>
      <c r="AB17" s="1">
        <f t="shared" si="3"/>
        <v>0</v>
      </c>
      <c r="AC17" s="1">
        <f t="shared" si="4"/>
        <v>0</v>
      </c>
      <c r="AD17" s="1">
        <f t="shared" si="5"/>
        <v>0</v>
      </c>
      <c r="AE17" s="1">
        <f t="shared" si="6"/>
        <v>14</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14</v>
      </c>
      <c r="BB17" s="421">
        <f t="shared" si="7"/>
        <v>0</v>
      </c>
      <c r="BC17" s="1">
        <f t="shared" si="20"/>
        <v>4.5</v>
      </c>
      <c r="BD17" s="1">
        <f t="shared" si="8"/>
        <v>0</v>
      </c>
      <c r="BE17" s="1">
        <f t="shared" si="9"/>
        <v>0</v>
      </c>
      <c r="BF17" s="1">
        <f t="shared" si="10"/>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4.5</v>
      </c>
      <c r="CB17" s="1">
        <f t="shared" si="11"/>
        <v>0</v>
      </c>
      <c r="CC17" s="1">
        <f t="shared" si="12"/>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1</v>
      </c>
      <c r="DF17" s="457">
        <f>IF(C17="ekskursion",Stamoplysninger!$H$30/200,0)</f>
        <v>0</v>
      </c>
      <c r="DG17" s="457">
        <f t="shared" si="22"/>
        <v>1</v>
      </c>
    </row>
    <row r="18" spans="1:111">
      <c r="A18" s="443">
        <f t="shared" si="13"/>
        <v>10</v>
      </c>
      <c r="B18" s="218" t="str">
        <f t="shared" si="0"/>
        <v>lø</v>
      </c>
      <c r="C18" s="219" t="s">
        <v>138</v>
      </c>
      <c r="D18" s="220" t="str">
        <f t="shared" si="1"/>
        <v/>
      </c>
      <c r="E18" s="906"/>
      <c r="F18" s="907"/>
      <c r="G18" s="908"/>
      <c r="H18" s="594"/>
      <c r="I18" s="726"/>
      <c r="J18" s="726"/>
      <c r="K18" s="669"/>
      <c r="L18" s="669"/>
      <c r="M18" s="669"/>
      <c r="N18" s="557">
        <f t="shared" si="14"/>
        <v>0</v>
      </c>
      <c r="O18" s="557">
        <f t="shared" si="15"/>
        <v>0</v>
      </c>
      <c r="P18" s="557">
        <f>IF(Stamoplysninger!$H$29="JA",September!DG18,CX18)</f>
        <v>0</v>
      </c>
      <c r="Q18" s="557">
        <f t="shared" si="16"/>
        <v>0</v>
      </c>
      <c r="R18" s="558"/>
      <c r="S18" s="564"/>
      <c r="T18" s="565"/>
      <c r="U18" s="565"/>
      <c r="V18" s="753"/>
      <c r="W18" s="559"/>
      <c r="X18" s="760"/>
      <c r="Y18">
        <f t="shared" si="17"/>
        <v>0</v>
      </c>
      <c r="Z18" s="759">
        <f t="shared" si="18"/>
        <v>0</v>
      </c>
      <c r="AA18" s="1">
        <f t="shared" si="2"/>
        <v>0</v>
      </c>
      <c r="AB18" s="1">
        <f t="shared" si="3"/>
        <v>0</v>
      </c>
      <c r="AC18" s="1">
        <f t="shared" si="4"/>
        <v>0</v>
      </c>
      <c r="AD18" s="1">
        <f t="shared" si="5"/>
        <v>0</v>
      </c>
      <c r="AE18" s="1">
        <f t="shared" si="6"/>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0</v>
      </c>
      <c r="BB18" s="421">
        <f t="shared" si="7"/>
        <v>0</v>
      </c>
      <c r="BC18" s="1">
        <f t="shared" si="20"/>
        <v>0</v>
      </c>
      <c r="BD18" s="1">
        <f t="shared" si="8"/>
        <v>0</v>
      </c>
      <c r="BE18" s="1">
        <f t="shared" si="9"/>
        <v>0</v>
      </c>
      <c r="BF18" s="1">
        <f t="shared" si="10"/>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0</v>
      </c>
      <c r="CB18" s="1">
        <f t="shared" si="11"/>
        <v>0</v>
      </c>
      <c r="CC18" s="1">
        <f t="shared" si="12"/>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v>
      </c>
      <c r="CY18" s="457">
        <f>IF(C18="Skema 1",Stamoplysninger!$H$30/200,0)</f>
        <v>0</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0</v>
      </c>
    </row>
    <row r="19" spans="1:111">
      <c r="A19" s="443">
        <f t="shared" si="13"/>
        <v>11</v>
      </c>
      <c r="B19" s="218" t="str">
        <f t="shared" si="0"/>
        <v>sø</v>
      </c>
      <c r="C19" s="219" t="s">
        <v>138</v>
      </c>
      <c r="D19" s="220" t="str">
        <f t="shared" si="1"/>
        <v/>
      </c>
      <c r="E19" s="906"/>
      <c r="F19" s="907"/>
      <c r="G19" s="908"/>
      <c r="H19" s="594"/>
      <c r="I19" s="726"/>
      <c r="J19" s="726"/>
      <c r="K19" s="669"/>
      <c r="L19" s="669"/>
      <c r="M19" s="669"/>
      <c r="N19" s="557">
        <f t="shared" si="14"/>
        <v>0</v>
      </c>
      <c r="O19" s="557">
        <f t="shared" si="15"/>
        <v>0</v>
      </c>
      <c r="P19" s="557">
        <f>IF(Stamoplysninger!$H$29="JA",September!DG19,CX19)</f>
        <v>0</v>
      </c>
      <c r="Q19" s="557">
        <f t="shared" si="16"/>
        <v>0</v>
      </c>
      <c r="R19" s="558"/>
      <c r="S19" s="564"/>
      <c r="T19" s="565"/>
      <c r="U19" s="565"/>
      <c r="V19" s="753"/>
      <c r="W19" s="559"/>
      <c r="X19" s="760"/>
      <c r="Y19">
        <f t="shared" si="17"/>
        <v>0</v>
      </c>
      <c r="Z19" s="759">
        <f t="shared" si="18"/>
        <v>0</v>
      </c>
      <c r="AA19" s="1">
        <f t="shared" si="2"/>
        <v>0</v>
      </c>
      <c r="AB19" s="1">
        <f t="shared" si="3"/>
        <v>0</v>
      </c>
      <c r="AC19" s="1">
        <f t="shared" si="4"/>
        <v>0</v>
      </c>
      <c r="AD19" s="1">
        <f t="shared" si="5"/>
        <v>0</v>
      </c>
      <c r="AE19" s="1">
        <f t="shared" si="6"/>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0</v>
      </c>
      <c r="BB19" s="421">
        <f t="shared" si="7"/>
        <v>0</v>
      </c>
      <c r="BC19" s="1">
        <f t="shared" si="20"/>
        <v>0</v>
      </c>
      <c r="BD19" s="1">
        <f t="shared" si="8"/>
        <v>0</v>
      </c>
      <c r="BE19" s="1">
        <f t="shared" si="9"/>
        <v>0</v>
      </c>
      <c r="BF19" s="1">
        <f t="shared" si="10"/>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0</v>
      </c>
      <c r="CB19" s="1">
        <f t="shared" si="11"/>
        <v>0</v>
      </c>
      <c r="CC19" s="1">
        <f t="shared" si="12"/>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v>
      </c>
      <c r="CY19" s="457">
        <f>IF(C19="Skema 1",Stamoplysninger!$H$30/200,0)</f>
        <v>0</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0</v>
      </c>
    </row>
    <row r="20" spans="1:111">
      <c r="A20" s="443">
        <f>IF(ISNUMBER(A19),A19+1,1)</f>
        <v>12</v>
      </c>
      <c r="B20" s="218" t="str">
        <f t="shared" si="0"/>
        <v>ma</v>
      </c>
      <c r="C20" s="219" t="s">
        <v>241</v>
      </c>
      <c r="D20" s="220">
        <f t="shared" si="1"/>
        <v>37.285714285714285</v>
      </c>
      <c r="E20" s="906"/>
      <c r="F20" s="907"/>
      <c r="G20" s="908"/>
      <c r="H20" s="594"/>
      <c r="I20" s="855"/>
      <c r="J20" s="726"/>
      <c r="K20" s="669"/>
      <c r="L20" s="669"/>
      <c r="M20" s="669"/>
      <c r="N20" s="557">
        <f t="shared" si="14"/>
        <v>8</v>
      </c>
      <c r="O20" s="557">
        <f t="shared" si="15"/>
        <v>3.75</v>
      </c>
      <c r="P20" s="557">
        <f>IF(Stamoplysninger!$H$29="JA",September!DG20,CX20)</f>
        <v>0.91666666666666674</v>
      </c>
      <c r="Q20" s="557">
        <f t="shared" si="16"/>
        <v>3.333333333333333</v>
      </c>
      <c r="R20" s="558"/>
      <c r="S20" s="564"/>
      <c r="T20" s="565"/>
      <c r="U20" s="565"/>
      <c r="V20" s="753"/>
      <c r="W20" s="559"/>
      <c r="X20" s="760"/>
      <c r="Y20">
        <f t="shared" si="17"/>
        <v>0</v>
      </c>
      <c r="Z20" s="759">
        <f t="shared" si="18"/>
        <v>0</v>
      </c>
      <c r="AA20" s="1">
        <f t="shared" si="2"/>
        <v>0</v>
      </c>
      <c r="AB20" s="1">
        <f t="shared" si="3"/>
        <v>0</v>
      </c>
      <c r="AC20" s="1">
        <f t="shared" si="4"/>
        <v>0</v>
      </c>
      <c r="AD20" s="1">
        <f t="shared" si="5"/>
        <v>0</v>
      </c>
      <c r="AE20" s="1">
        <f t="shared" si="6"/>
        <v>0</v>
      </c>
      <c r="AF20" s="1">
        <f>IF(C20="Orlov",7.4*Stamoplysninger!$E$15,0)</f>
        <v>0</v>
      </c>
      <c r="AG20" s="383">
        <f>IF(AND(C20="Skema 1",B20="ma"),Arbejdstidsoversigt!$E$44,"")</f>
        <v>8</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7"/>
        <v>192</v>
      </c>
      <c r="BC20" s="1">
        <f t="shared" si="20"/>
        <v>0</v>
      </c>
      <c r="BD20" s="1">
        <f t="shared" si="8"/>
        <v>0</v>
      </c>
      <c r="BE20" s="1">
        <f t="shared" si="9"/>
        <v>0</v>
      </c>
      <c r="BF20" s="1">
        <f t="shared" si="10"/>
        <v>0</v>
      </c>
      <c r="BG20" s="382">
        <f>IF(AND(C20="Skema 1",B20="ma"),Skemaoplysninger!$E$28,"")</f>
        <v>0.15625</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3.75</v>
      </c>
      <c r="CB20" s="1">
        <f t="shared" si="11"/>
        <v>0</v>
      </c>
      <c r="CC20" s="1">
        <f t="shared" si="12"/>
        <v>0</v>
      </c>
      <c r="CD20" s="382">
        <f>IF(AND(C20="Skema 1",B20="ma"),Skemaoplysninger!$E$37,"")</f>
        <v>0.91666666666666674</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0.91666666666666674</v>
      </c>
      <c r="CY20" s="457">
        <f>IF(C20="Skema 1",Stamoplysninger!$H$30/200,0)</f>
        <v>1</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ti</v>
      </c>
      <c r="C21" s="219" t="s">
        <v>241</v>
      </c>
      <c r="D21" s="220" t="str">
        <f t="shared" si="1"/>
        <v/>
      </c>
      <c r="E21" s="909"/>
      <c r="F21" s="910"/>
      <c r="G21" s="911"/>
      <c r="H21" s="593"/>
      <c r="I21" s="855"/>
      <c r="J21" s="726"/>
      <c r="K21" s="669"/>
      <c r="L21" s="669"/>
      <c r="M21" s="669"/>
      <c r="N21" s="557">
        <f t="shared" si="14"/>
        <v>8</v>
      </c>
      <c r="O21" s="557">
        <f t="shared" si="15"/>
        <v>5.25</v>
      </c>
      <c r="P21" s="557">
        <f>IF(Stamoplysninger!$H$29="JA",September!DG21,CX21)</f>
        <v>1.0833333333333335</v>
      </c>
      <c r="Q21" s="557">
        <f t="shared" si="16"/>
        <v>1.6666666666666665</v>
      </c>
      <c r="R21" s="558"/>
      <c r="S21" s="564"/>
      <c r="T21" s="565"/>
      <c r="U21" s="565"/>
      <c r="V21" s="753"/>
      <c r="W21" s="559"/>
      <c r="X21" s="760"/>
      <c r="Y21">
        <f t="shared" si="17"/>
        <v>0</v>
      </c>
      <c r="Z21" s="759">
        <f t="shared" si="18"/>
        <v>0</v>
      </c>
      <c r="AA21" s="1">
        <f t="shared" si="2"/>
        <v>0</v>
      </c>
      <c r="AB21" s="1">
        <f t="shared" si="3"/>
        <v>0</v>
      </c>
      <c r="AC21" s="1">
        <f t="shared" si="4"/>
        <v>0</v>
      </c>
      <c r="AD21" s="1">
        <f t="shared" si="5"/>
        <v>0</v>
      </c>
      <c r="AE21" s="1">
        <f t="shared" si="6"/>
        <v>0</v>
      </c>
      <c r="AF21" s="1">
        <f>IF(C21="Orlov",7.4*Stamoplysninger!$E$15,0)</f>
        <v>0</v>
      </c>
      <c r="AG21" s="383" t="str">
        <f>IF(AND(C21="Skema 1",B21="ma"),Arbejdstidsoversigt!$E$44,"")</f>
        <v/>
      </c>
      <c r="AH21" s="383">
        <f>IF(AND(C21="Skema 1",B21="ti"),Arbejdstidsoversigt!$E$45,"")</f>
        <v>8</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7"/>
        <v>192</v>
      </c>
      <c r="BC21" s="1">
        <f t="shared" si="20"/>
        <v>0</v>
      </c>
      <c r="BD21" s="1">
        <f t="shared" si="8"/>
        <v>0</v>
      </c>
      <c r="BE21" s="1">
        <f t="shared" si="9"/>
        <v>0</v>
      </c>
      <c r="BF21" s="1">
        <f t="shared" si="10"/>
        <v>0</v>
      </c>
      <c r="BG21" s="382" t="str">
        <f>IF(AND(C21="Skema 1",B21="ma"),Skemaoplysninger!$E$28,"")</f>
        <v/>
      </c>
      <c r="BH21" s="382">
        <f>IF(AND(C21="Skema 1",B21="ti"),Skemaoplysninger!$F$28,"")</f>
        <v>0.21875</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5.25</v>
      </c>
      <c r="CB21" s="1">
        <f t="shared" si="11"/>
        <v>0</v>
      </c>
      <c r="CC21" s="1">
        <f t="shared" si="12"/>
        <v>0</v>
      </c>
      <c r="CD21" s="382" t="str">
        <f>IF(AND(C21="Skema 1",B21="ma"),Skemaoplysninger!$E$37,"")</f>
        <v/>
      </c>
      <c r="CE21" s="382">
        <f>IF(AND(C21="Skema 1",B21="ti"),Skemaoplysninger!$F$37,"")</f>
        <v>1.0833333333333335</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1.0833333333333335</v>
      </c>
      <c r="CY21" s="457">
        <f>IF(C21="Skema 1",Stamoplysninger!$H$30/200,0)</f>
        <v>1</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1</v>
      </c>
    </row>
    <row r="22" spans="1:111">
      <c r="A22" s="443">
        <f t="shared" si="13"/>
        <v>14</v>
      </c>
      <c r="B22" s="218" t="str">
        <f t="shared" si="0"/>
        <v>on</v>
      </c>
      <c r="C22" s="219" t="s">
        <v>241</v>
      </c>
      <c r="D22" s="220" t="str">
        <f t="shared" si="1"/>
        <v/>
      </c>
      <c r="E22" s="909"/>
      <c r="F22" s="910"/>
      <c r="G22" s="911"/>
      <c r="H22" s="593"/>
      <c r="I22" s="855"/>
      <c r="J22" s="726"/>
      <c r="K22" s="669"/>
      <c r="L22" s="669"/>
      <c r="M22" s="669"/>
      <c r="N22" s="557">
        <f t="shared" si="14"/>
        <v>8</v>
      </c>
      <c r="O22" s="557">
        <f t="shared" si="15"/>
        <v>3.75</v>
      </c>
      <c r="P22" s="557">
        <f>IF(Stamoplysninger!$H$29="JA",September!DG22,CX22)</f>
        <v>0.91666666666666674</v>
      </c>
      <c r="Q22" s="557">
        <f t="shared" si="16"/>
        <v>3.333333333333333</v>
      </c>
      <c r="R22" s="558"/>
      <c r="S22" s="564"/>
      <c r="T22" s="565"/>
      <c r="U22" s="565"/>
      <c r="V22" s="753"/>
      <c r="W22" s="559"/>
      <c r="X22" s="760"/>
      <c r="Y22">
        <f t="shared" si="17"/>
        <v>0</v>
      </c>
      <c r="Z22" s="759">
        <f t="shared" si="18"/>
        <v>0</v>
      </c>
      <c r="AA22" s="1">
        <f t="shared" si="2"/>
        <v>0</v>
      </c>
      <c r="AB22" s="1">
        <f t="shared" si="3"/>
        <v>0</v>
      </c>
      <c r="AC22" s="1">
        <f t="shared" si="4"/>
        <v>0</v>
      </c>
      <c r="AD22" s="1">
        <f t="shared" si="5"/>
        <v>0</v>
      </c>
      <c r="AE22" s="1">
        <f t="shared" si="6"/>
        <v>0</v>
      </c>
      <c r="AF22" s="1">
        <f>IF(C22="Orlov",7.4*Stamoplysninger!$E$15,0)</f>
        <v>0</v>
      </c>
      <c r="AG22" s="383" t="str">
        <f>IF(AND(C22="Skema 1",B22="ma"),Arbejdstidsoversigt!$E$44,"")</f>
        <v/>
      </c>
      <c r="AH22" s="383" t="str">
        <f>IF(AND(C22="Skema 1",B22="ti"),Arbejdstidsoversigt!$E$45,"")</f>
        <v/>
      </c>
      <c r="AI22" s="383">
        <f>IF(AND(C22="Skema 1",B22="on"),Arbejdstidsoversigt!$E$46,"")</f>
        <v>8</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8</v>
      </c>
      <c r="BB22" s="421">
        <f t="shared" si="7"/>
        <v>192</v>
      </c>
      <c r="BC22" s="1">
        <f t="shared" si="20"/>
        <v>0</v>
      </c>
      <c r="BD22" s="1">
        <f t="shared" si="8"/>
        <v>0</v>
      </c>
      <c r="BE22" s="1">
        <f t="shared" si="9"/>
        <v>0</v>
      </c>
      <c r="BF22" s="1">
        <f t="shared" si="10"/>
        <v>0</v>
      </c>
      <c r="BG22" s="382" t="str">
        <f>IF(AND(C22="Skema 1",B22="ma"),Skemaoplysninger!$E$28,"")</f>
        <v/>
      </c>
      <c r="BH22" s="382" t="str">
        <f>IF(AND(C22="Skema 1",B22="ti"),Skemaoplysninger!$F$28,"")</f>
        <v/>
      </c>
      <c r="BI22" s="382">
        <f>IF(AND(C22="Skema 1",B22="on"),Skemaoplysninger!$G$28,"")</f>
        <v>0.15625</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3.75</v>
      </c>
      <c r="CB22" s="1">
        <f t="shared" si="11"/>
        <v>0</v>
      </c>
      <c r="CC22" s="1">
        <f t="shared" si="12"/>
        <v>0</v>
      </c>
      <c r="CD22" s="382" t="str">
        <f>IF(AND(C22="Skema 1",B22="ma"),Skemaoplysninger!$E$37,"")</f>
        <v/>
      </c>
      <c r="CE22" s="382" t="str">
        <f>IF(AND(C22="Skema 1",B22="ti"),Skemaoplysninger!$F$37,"")</f>
        <v/>
      </c>
      <c r="CF22" s="382">
        <f>IF(AND(C22="Skema 1",B22="on"),Skemaoplysninger!$G$37,"")</f>
        <v>0.91666666666666674</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0.91666666666666674</v>
      </c>
      <c r="CY22" s="457">
        <f>IF(C22="Skema 1",Stamoplysninger!$H$30/200,0)</f>
        <v>1</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3"/>
        <v>15</v>
      </c>
      <c r="B23" s="218" t="str">
        <f t="shared" si="0"/>
        <v>to</v>
      </c>
      <c r="C23" s="219" t="s">
        <v>241</v>
      </c>
      <c r="D23" s="220" t="str">
        <f t="shared" si="1"/>
        <v/>
      </c>
      <c r="E23" s="909"/>
      <c r="F23" s="910"/>
      <c r="G23" s="911"/>
      <c r="H23" s="593"/>
      <c r="I23" s="855"/>
      <c r="J23" s="726"/>
      <c r="K23" s="669"/>
      <c r="L23" s="669"/>
      <c r="M23" s="669"/>
      <c r="N23" s="557">
        <f t="shared" si="14"/>
        <v>8</v>
      </c>
      <c r="O23" s="557">
        <f t="shared" si="15"/>
        <v>3.75</v>
      </c>
      <c r="P23" s="557">
        <f>IF(Stamoplysninger!$H$29="JA",September!DG23,CX23)</f>
        <v>0.91666666666666674</v>
      </c>
      <c r="Q23" s="557">
        <f t="shared" si="16"/>
        <v>3.333333333333333</v>
      </c>
      <c r="R23" s="558"/>
      <c r="S23" s="564"/>
      <c r="T23" s="565"/>
      <c r="U23" s="565"/>
      <c r="V23" s="753"/>
      <c r="W23" s="559"/>
      <c r="X23" s="760"/>
      <c r="Y23">
        <f t="shared" si="17"/>
        <v>0</v>
      </c>
      <c r="Z23" s="759">
        <f t="shared" si="18"/>
        <v>0</v>
      </c>
      <c r="AA23" s="1">
        <f t="shared" si="2"/>
        <v>0</v>
      </c>
      <c r="AB23" s="1">
        <f t="shared" si="3"/>
        <v>0</v>
      </c>
      <c r="AC23" s="1">
        <f t="shared" si="4"/>
        <v>0</v>
      </c>
      <c r="AD23" s="1">
        <f t="shared" si="5"/>
        <v>0</v>
      </c>
      <c r="AE23" s="1">
        <f t="shared" si="6"/>
        <v>0</v>
      </c>
      <c r="AF23" s="1">
        <f>IF(C23="Orlov",7.4*Stamoplysninger!$E$15,0)</f>
        <v>0</v>
      </c>
      <c r="AG23" s="383" t="str">
        <f>IF(AND(C23="Skema 1",B23="ma"),Arbejdstidsoversigt!$E$44,"")</f>
        <v/>
      </c>
      <c r="AH23" s="383" t="str">
        <f>IF(AND(C23="Skema 1",B23="ti"),Arbejdstidsoversigt!$E$45,"")</f>
        <v/>
      </c>
      <c r="AI23" s="383" t="str">
        <f>IF(AND(C23="Skema 1",B23="on"),Arbejdstidsoversigt!$E$46,"")</f>
        <v/>
      </c>
      <c r="AJ23" s="383">
        <f>IF(AND(C23="Skema 1",B23="to"),Arbejdstidsoversigt!$E$47,"")</f>
        <v>8</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7"/>
        <v>192</v>
      </c>
      <c r="BC23" s="1">
        <f t="shared" si="20"/>
        <v>0</v>
      </c>
      <c r="BD23" s="1">
        <f t="shared" si="8"/>
        <v>0</v>
      </c>
      <c r="BE23" s="1">
        <f t="shared" si="9"/>
        <v>0</v>
      </c>
      <c r="BF23" s="1">
        <f t="shared" si="10"/>
        <v>0</v>
      </c>
      <c r="BG23" s="382" t="str">
        <f>IF(AND(C23="Skema 1",B23="ma"),Skemaoplysninger!$E$28,"")</f>
        <v/>
      </c>
      <c r="BH23" s="382" t="str">
        <f>IF(AND(C23="Skema 1",B23="ti"),Skemaoplysninger!$F$28,"")</f>
        <v/>
      </c>
      <c r="BI23" s="382" t="str">
        <f>IF(AND(C23="Skema 1",B23="on"),Skemaoplysninger!$G$28,"")</f>
        <v/>
      </c>
      <c r="BJ23" s="382">
        <f>IF(AND(C23="Skema 1",B23="to"),Skemaoplysninger!$H$28,"")</f>
        <v>0.15625</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3.75</v>
      </c>
      <c r="CB23" s="1">
        <f t="shared" si="11"/>
        <v>0</v>
      </c>
      <c r="CC23" s="1">
        <f t="shared" si="12"/>
        <v>0</v>
      </c>
      <c r="CD23" s="382" t="str">
        <f>IF(AND(C23="Skema 1",B23="ma"),Skemaoplysninger!$E$37,"")</f>
        <v/>
      </c>
      <c r="CE23" s="382" t="str">
        <f>IF(AND(C23="Skema 1",B23="ti"),Skemaoplysninger!$F$37,"")</f>
        <v/>
      </c>
      <c r="CF23" s="382" t="str">
        <f>IF(AND(C23="Skema 1",B23="on"),Skemaoplysninger!$G$37,"")</f>
        <v/>
      </c>
      <c r="CG23" s="382">
        <f>IF(AND(C23="Skema 1",B23="to"),Skemaoplysninger!$H$37,"")</f>
        <v>0.91666666666666674</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0.91666666666666674</v>
      </c>
      <c r="CY23" s="457">
        <f>IF(C23="Skema 1",Stamoplysninger!$H$30/200,0)</f>
        <v>1</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fr</v>
      </c>
      <c r="C24" s="219" t="s">
        <v>241</v>
      </c>
      <c r="D24" s="220" t="str">
        <f t="shared" si="1"/>
        <v/>
      </c>
      <c r="E24" s="906"/>
      <c r="F24" s="907"/>
      <c r="G24" s="908"/>
      <c r="H24" s="594"/>
      <c r="I24" s="855"/>
      <c r="J24" s="726"/>
      <c r="K24" s="669"/>
      <c r="L24" s="669"/>
      <c r="M24" s="669"/>
      <c r="N24" s="557">
        <f t="shared" si="14"/>
        <v>7</v>
      </c>
      <c r="O24" s="557">
        <f t="shared" si="15"/>
        <v>2.25</v>
      </c>
      <c r="P24" s="557">
        <f>IF(Stamoplysninger!$H$29="JA",September!DG24,CX24)</f>
        <v>0.33333333333333331</v>
      </c>
      <c r="Q24" s="557">
        <f t="shared" si="16"/>
        <v>4.416666666666667</v>
      </c>
      <c r="R24" s="558"/>
      <c r="S24" s="564"/>
      <c r="T24" s="565"/>
      <c r="U24" s="565"/>
      <c r="V24" s="753"/>
      <c r="W24" s="559"/>
      <c r="X24" s="760"/>
      <c r="Y24">
        <f t="shared" si="17"/>
        <v>0</v>
      </c>
      <c r="Z24" s="759">
        <f t="shared" si="18"/>
        <v>0</v>
      </c>
      <c r="AA24" s="1">
        <f t="shared" si="2"/>
        <v>0</v>
      </c>
      <c r="AB24" s="1">
        <f t="shared" si="3"/>
        <v>0</v>
      </c>
      <c r="AC24" s="1">
        <f t="shared" si="4"/>
        <v>0</v>
      </c>
      <c r="AD24" s="1">
        <f t="shared" si="5"/>
        <v>0</v>
      </c>
      <c r="AE24" s="1">
        <f t="shared" si="6"/>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f>IF(AND(C24="Skema 1",B24="fr"),Arbejdstidsoversigt!$E$48,"")</f>
        <v>7</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7</v>
      </c>
      <c r="BB24" s="421">
        <f t="shared" si="7"/>
        <v>168</v>
      </c>
      <c r="BC24" s="1">
        <f t="shared" si="20"/>
        <v>0</v>
      </c>
      <c r="BD24" s="1">
        <f t="shared" si="8"/>
        <v>0</v>
      </c>
      <c r="BE24" s="1">
        <f t="shared" si="9"/>
        <v>0</v>
      </c>
      <c r="BF24" s="1">
        <f t="shared" si="10"/>
        <v>0</v>
      </c>
      <c r="BG24" s="382" t="str">
        <f>IF(AND(C24="Skema 1",B24="ma"),Skemaoplysninger!$E$28,"")</f>
        <v/>
      </c>
      <c r="BH24" s="382" t="str">
        <f>IF(AND(C24="Skema 1",B24="ti"),Skemaoplysninger!$F$28,"")</f>
        <v/>
      </c>
      <c r="BI24" s="382" t="str">
        <f>IF(AND(C24="Skema 1",B24="on"),Skemaoplysninger!$G$28,"")</f>
        <v/>
      </c>
      <c r="BJ24" s="382" t="str">
        <f>IF(AND(C24="Skema 1",B24="to"),Skemaoplysninger!$H$28,"")</f>
        <v/>
      </c>
      <c r="BK24" s="382">
        <f>IF(AND(C24="Skema 1",B24="fr"),Skemaoplysninger!$I$28,"")</f>
        <v>9.375E-2</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2.25</v>
      </c>
      <c r="CB24" s="1">
        <f t="shared" si="11"/>
        <v>0</v>
      </c>
      <c r="CC24" s="1">
        <f t="shared" si="12"/>
        <v>0</v>
      </c>
      <c r="CD24" s="382" t="str">
        <f>IF(AND(C24="Skema 1",B24="ma"),Skemaoplysninger!$E$37,"")</f>
        <v/>
      </c>
      <c r="CE24" s="382" t="str">
        <f>IF(AND(C24="Skema 1",B24="ti"),Skemaoplysninger!$F$37,"")</f>
        <v/>
      </c>
      <c r="CF24" s="382" t="str">
        <f>IF(AND(C24="Skema 1",B24="on"),Skemaoplysninger!$G$37,"")</f>
        <v/>
      </c>
      <c r="CG24" s="382" t="str">
        <f>IF(AND(C24="Skema 1",B24="to"),Skemaoplysninger!$H$37,"")</f>
        <v/>
      </c>
      <c r="CH24" s="382">
        <f>IF(AND(C24="Skema 1",B24="fr"),Skemaoplysninger!$I$37,"")</f>
        <v>0.33333333333333331</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0.33333333333333331</v>
      </c>
      <c r="CY24" s="457">
        <f>IF(C24="Skema 1",Stamoplysninger!$H$30/200,0)</f>
        <v>1</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3"/>
        <v>17</v>
      </c>
      <c r="B25" s="218" t="str">
        <f t="shared" si="0"/>
        <v>lø</v>
      </c>
      <c r="C25" s="219" t="s">
        <v>138</v>
      </c>
      <c r="D25" s="220" t="str">
        <f t="shared" si="1"/>
        <v/>
      </c>
      <c r="E25" s="906"/>
      <c r="F25" s="907"/>
      <c r="G25" s="908"/>
      <c r="H25" s="594"/>
      <c r="I25" s="726"/>
      <c r="J25" s="726"/>
      <c r="K25" s="669"/>
      <c r="L25" s="669"/>
      <c r="M25" s="669"/>
      <c r="N25" s="557">
        <f t="shared" si="14"/>
        <v>0</v>
      </c>
      <c r="O25" s="557">
        <f t="shared" si="15"/>
        <v>0</v>
      </c>
      <c r="P25" s="557">
        <f>IF(Stamoplysninger!$H$29="JA",September!DG25,CX25)</f>
        <v>0</v>
      </c>
      <c r="Q25" s="557">
        <f t="shared" si="16"/>
        <v>0</v>
      </c>
      <c r="R25" s="558"/>
      <c r="S25" s="564"/>
      <c r="T25" s="565"/>
      <c r="U25" s="565"/>
      <c r="V25" s="753"/>
      <c r="W25" s="559"/>
      <c r="X25" s="760"/>
      <c r="Y25">
        <f t="shared" si="17"/>
        <v>0</v>
      </c>
      <c r="Z25" s="759">
        <f t="shared" si="18"/>
        <v>0</v>
      </c>
      <c r="AA25" s="1">
        <f t="shared" si="2"/>
        <v>0</v>
      </c>
      <c r="AB25" s="1">
        <f t="shared" si="3"/>
        <v>0</v>
      </c>
      <c r="AC25" s="1">
        <f t="shared" si="4"/>
        <v>0</v>
      </c>
      <c r="AD25" s="1">
        <f t="shared" si="5"/>
        <v>0</v>
      </c>
      <c r="AE25" s="1">
        <f t="shared" si="6"/>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7"/>
        <v>0</v>
      </c>
      <c r="BC25" s="1">
        <f t="shared" si="20"/>
        <v>0</v>
      </c>
      <c r="BD25" s="1">
        <f t="shared" si="8"/>
        <v>0</v>
      </c>
      <c r="BE25" s="1">
        <f t="shared" si="9"/>
        <v>0</v>
      </c>
      <c r="BF25" s="1">
        <f t="shared" si="10"/>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1"/>
        <v>0</v>
      </c>
      <c r="CC25" s="1">
        <f t="shared" si="12"/>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3"/>
        <v>18</v>
      </c>
      <c r="B26" s="218" t="str">
        <f t="shared" si="0"/>
        <v>sø</v>
      </c>
      <c r="C26" s="219" t="s">
        <v>138</v>
      </c>
      <c r="D26" s="220" t="str">
        <f t="shared" si="1"/>
        <v/>
      </c>
      <c r="E26" s="906"/>
      <c r="F26" s="907"/>
      <c r="G26" s="908"/>
      <c r="H26" s="594"/>
      <c r="I26" s="726"/>
      <c r="J26" s="726"/>
      <c r="K26" s="669"/>
      <c r="L26" s="669"/>
      <c r="M26" s="669"/>
      <c r="N26" s="557">
        <f t="shared" si="14"/>
        <v>0</v>
      </c>
      <c r="O26" s="557">
        <f t="shared" si="15"/>
        <v>0</v>
      </c>
      <c r="P26" s="557">
        <f>IF(Stamoplysninger!$H$29="JA",September!DG26,CX26)</f>
        <v>0</v>
      </c>
      <c r="Q26" s="557">
        <f t="shared" si="16"/>
        <v>0</v>
      </c>
      <c r="R26" s="558"/>
      <c r="S26" s="564"/>
      <c r="T26" s="565"/>
      <c r="U26" s="565"/>
      <c r="V26" s="753"/>
      <c r="W26" s="559"/>
      <c r="X26" s="760"/>
      <c r="Y26">
        <f t="shared" si="17"/>
        <v>0</v>
      </c>
      <c r="Z26" s="759">
        <f t="shared" si="18"/>
        <v>0</v>
      </c>
      <c r="AA26" s="1">
        <f t="shared" si="2"/>
        <v>0</v>
      </c>
      <c r="AB26" s="1">
        <f t="shared" si="3"/>
        <v>0</v>
      </c>
      <c r="AC26" s="1">
        <f t="shared" si="4"/>
        <v>0</v>
      </c>
      <c r="AD26" s="1">
        <f t="shared" si="5"/>
        <v>0</v>
      </c>
      <c r="AE26" s="1">
        <f t="shared" si="6"/>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7"/>
        <v>0</v>
      </c>
      <c r="BC26" s="1">
        <f t="shared" si="20"/>
        <v>0</v>
      </c>
      <c r="BD26" s="1">
        <f t="shared" si="8"/>
        <v>0</v>
      </c>
      <c r="BE26" s="1">
        <f t="shared" si="9"/>
        <v>0</v>
      </c>
      <c r="BF26" s="1">
        <f t="shared" si="10"/>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1"/>
        <v>0</v>
      </c>
      <c r="CC26" s="1">
        <f t="shared" si="12"/>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3"/>
        <v>19</v>
      </c>
      <c r="B27" s="218" t="str">
        <f t="shared" si="0"/>
        <v>ma</v>
      </c>
      <c r="C27" s="219" t="s">
        <v>241</v>
      </c>
      <c r="D27" s="220">
        <f t="shared" si="1"/>
        <v>38.285714285714285</v>
      </c>
      <c r="E27" s="906"/>
      <c r="F27" s="907"/>
      <c r="G27" s="908"/>
      <c r="H27" s="594"/>
      <c r="I27" s="855"/>
      <c r="J27" s="726"/>
      <c r="K27" s="669"/>
      <c r="L27" s="669"/>
      <c r="M27" s="669"/>
      <c r="N27" s="557">
        <f t="shared" si="14"/>
        <v>8</v>
      </c>
      <c r="O27" s="557">
        <f t="shared" si="15"/>
        <v>3.75</v>
      </c>
      <c r="P27" s="557">
        <f>IF(Stamoplysninger!$H$29="JA",September!DG27,CX27)</f>
        <v>0.91666666666666674</v>
      </c>
      <c r="Q27" s="557">
        <f t="shared" si="16"/>
        <v>3.333333333333333</v>
      </c>
      <c r="R27" s="558"/>
      <c r="S27" s="564"/>
      <c r="T27" s="565"/>
      <c r="U27" s="565"/>
      <c r="V27" s="753"/>
      <c r="W27" s="559"/>
      <c r="X27" s="760"/>
      <c r="Y27">
        <f t="shared" si="17"/>
        <v>0</v>
      </c>
      <c r="Z27" s="759">
        <f t="shared" si="18"/>
        <v>0</v>
      </c>
      <c r="AA27" s="1">
        <f t="shared" si="2"/>
        <v>0</v>
      </c>
      <c r="AB27" s="1">
        <f t="shared" si="3"/>
        <v>0</v>
      </c>
      <c r="AC27" s="1">
        <f t="shared" si="4"/>
        <v>0</v>
      </c>
      <c r="AD27" s="1">
        <f t="shared" si="5"/>
        <v>0</v>
      </c>
      <c r="AE27" s="1">
        <f t="shared" si="6"/>
        <v>0</v>
      </c>
      <c r="AF27" s="1">
        <f>IF(C27="Orlov",7.4*Stamoplysninger!$E$15,0)</f>
        <v>0</v>
      </c>
      <c r="AG27" s="383">
        <f>IF(AND(C27="Skema 1",B27="ma"),Arbejdstidsoversigt!$E$44,"")</f>
        <v>8</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8</v>
      </c>
      <c r="BB27" s="421">
        <f t="shared" si="7"/>
        <v>192</v>
      </c>
      <c r="BC27" s="1">
        <f t="shared" si="20"/>
        <v>0</v>
      </c>
      <c r="BD27" s="1">
        <f t="shared" si="8"/>
        <v>0</v>
      </c>
      <c r="BE27" s="1">
        <f t="shared" si="9"/>
        <v>0</v>
      </c>
      <c r="BF27" s="1">
        <f t="shared" si="10"/>
        <v>0</v>
      </c>
      <c r="BG27" s="382">
        <f>IF(AND(C27="Skema 1",B27="ma"),Skemaoplysninger!$E$28,"")</f>
        <v>0.15625</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3.75</v>
      </c>
      <c r="CB27" s="1">
        <f t="shared" si="11"/>
        <v>0</v>
      </c>
      <c r="CC27" s="1">
        <f t="shared" si="12"/>
        <v>0</v>
      </c>
      <c r="CD27" s="382">
        <f>IF(AND(C27="Skema 1",B27="ma"),Skemaoplysninger!$E$37,"")</f>
        <v>0.91666666666666674</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0.91666666666666674</v>
      </c>
      <c r="CY27" s="457">
        <f>IF(C27="Skema 1",Stamoplysninger!$H$30/200,0)</f>
        <v>1</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1</v>
      </c>
    </row>
    <row r="28" spans="1:111">
      <c r="A28" s="443">
        <f t="shared" si="13"/>
        <v>20</v>
      </c>
      <c r="B28" s="218" t="str">
        <f t="shared" si="0"/>
        <v>ti</v>
      </c>
      <c r="C28" s="219" t="s">
        <v>241</v>
      </c>
      <c r="D28" s="220" t="str">
        <f t="shared" si="1"/>
        <v/>
      </c>
      <c r="E28" s="906"/>
      <c r="F28" s="907"/>
      <c r="G28" s="908"/>
      <c r="H28" s="594"/>
      <c r="I28" s="855"/>
      <c r="J28" s="726"/>
      <c r="K28" s="669"/>
      <c r="L28" s="669"/>
      <c r="M28" s="669"/>
      <c r="N28" s="557">
        <f t="shared" si="14"/>
        <v>8</v>
      </c>
      <c r="O28" s="557">
        <f t="shared" si="15"/>
        <v>5.25</v>
      </c>
      <c r="P28" s="557">
        <f>IF(Stamoplysninger!$H$29="JA",September!DG28,CX28)</f>
        <v>1.0833333333333335</v>
      </c>
      <c r="Q28" s="557">
        <f t="shared" si="16"/>
        <v>1.6666666666666665</v>
      </c>
      <c r="R28" s="558"/>
      <c r="S28" s="564"/>
      <c r="T28" s="565"/>
      <c r="U28" s="565"/>
      <c r="V28" s="753"/>
      <c r="W28" s="559"/>
      <c r="X28" s="760"/>
      <c r="Y28">
        <f t="shared" si="17"/>
        <v>0</v>
      </c>
      <c r="Z28" s="759">
        <f t="shared" si="18"/>
        <v>0</v>
      </c>
      <c r="AA28" s="1">
        <f t="shared" si="2"/>
        <v>0</v>
      </c>
      <c r="AB28" s="1">
        <f t="shared" si="3"/>
        <v>0</v>
      </c>
      <c r="AC28" s="1">
        <f t="shared" si="4"/>
        <v>0</v>
      </c>
      <c r="AD28" s="1">
        <f t="shared" si="5"/>
        <v>0</v>
      </c>
      <c r="AE28" s="1">
        <f t="shared" si="6"/>
        <v>0</v>
      </c>
      <c r="AF28" s="1">
        <f>IF(C28="Orlov",7.4*Stamoplysninger!$E$15,0)</f>
        <v>0</v>
      </c>
      <c r="AG28" s="383" t="str">
        <f>IF(AND(C28="Skema 1",B28="ma"),Arbejdstidsoversigt!$E$44,"")</f>
        <v/>
      </c>
      <c r="AH28" s="383">
        <f>IF(AND(C28="Skema 1",B28="ti"),Arbejdstidsoversigt!$E$45,"")</f>
        <v>8</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8</v>
      </c>
      <c r="BB28" s="421">
        <f t="shared" si="7"/>
        <v>192</v>
      </c>
      <c r="BC28" s="1">
        <f t="shared" si="20"/>
        <v>0</v>
      </c>
      <c r="BD28" s="1">
        <f t="shared" si="8"/>
        <v>0</v>
      </c>
      <c r="BE28" s="1">
        <f t="shared" si="9"/>
        <v>0</v>
      </c>
      <c r="BF28" s="1">
        <f t="shared" si="10"/>
        <v>0</v>
      </c>
      <c r="BG28" s="382" t="str">
        <f>IF(AND(C28="Skema 1",B28="ma"),Skemaoplysninger!$E$28,"")</f>
        <v/>
      </c>
      <c r="BH28" s="382">
        <f>IF(AND(C28="Skema 1",B28="ti"),Skemaoplysninger!$F$28,"")</f>
        <v>0.21875</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5.25</v>
      </c>
      <c r="CB28" s="1">
        <f t="shared" si="11"/>
        <v>0</v>
      </c>
      <c r="CC28" s="1">
        <f t="shared" si="12"/>
        <v>0</v>
      </c>
      <c r="CD28" s="382" t="str">
        <f>IF(AND(C28="Skema 1",B28="ma"),Skemaoplysninger!$E$37,"")</f>
        <v/>
      </c>
      <c r="CE28" s="382">
        <f>IF(AND(C28="Skema 1",B28="ti"),Skemaoplysninger!$F$37,"")</f>
        <v>1.0833333333333335</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1.0833333333333335</v>
      </c>
      <c r="CY28" s="457">
        <f>IF(C28="Skema 1",Stamoplysninger!$H$30/200,0)</f>
        <v>1</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1</v>
      </c>
    </row>
    <row r="29" spans="1:111">
      <c r="A29" s="443">
        <f t="shared" si="13"/>
        <v>21</v>
      </c>
      <c r="B29" s="218" t="str">
        <f t="shared" si="0"/>
        <v>on</v>
      </c>
      <c r="C29" s="219" t="s">
        <v>241</v>
      </c>
      <c r="D29" s="220" t="str">
        <f t="shared" si="1"/>
        <v/>
      </c>
      <c r="E29" s="906"/>
      <c r="F29" s="907"/>
      <c r="G29" s="908"/>
      <c r="H29" s="594"/>
      <c r="I29" s="855"/>
      <c r="J29" s="726"/>
      <c r="K29" s="669"/>
      <c r="L29" s="669"/>
      <c r="M29" s="669"/>
      <c r="N29" s="557">
        <f t="shared" si="14"/>
        <v>8</v>
      </c>
      <c r="O29" s="557">
        <f t="shared" si="15"/>
        <v>3.75</v>
      </c>
      <c r="P29" s="557">
        <f>IF(Stamoplysninger!$H$29="JA",September!DG29,CX29)</f>
        <v>0.91666666666666674</v>
      </c>
      <c r="Q29" s="557">
        <f t="shared" si="16"/>
        <v>3.333333333333333</v>
      </c>
      <c r="R29" s="558"/>
      <c r="S29" s="564"/>
      <c r="T29" s="565"/>
      <c r="U29" s="565"/>
      <c r="V29" s="753"/>
      <c r="W29" s="559"/>
      <c r="X29" s="760"/>
      <c r="Y29">
        <f t="shared" si="17"/>
        <v>0</v>
      </c>
      <c r="Z29" s="759">
        <f t="shared" si="18"/>
        <v>0</v>
      </c>
      <c r="AA29" s="1">
        <f t="shared" si="2"/>
        <v>0</v>
      </c>
      <c r="AB29" s="1">
        <f t="shared" si="3"/>
        <v>0</v>
      </c>
      <c r="AC29" s="1">
        <f t="shared" si="4"/>
        <v>0</v>
      </c>
      <c r="AD29" s="1">
        <f t="shared" si="5"/>
        <v>0</v>
      </c>
      <c r="AE29" s="1">
        <f t="shared" si="6"/>
        <v>0</v>
      </c>
      <c r="AF29" s="1">
        <f>IF(C29="Orlov",7.4*Stamoplysninger!$E$15,0)</f>
        <v>0</v>
      </c>
      <c r="AG29" s="383" t="str">
        <f>IF(AND(C29="Skema 1",B29="ma"),Arbejdstidsoversigt!$E$44,"")</f>
        <v/>
      </c>
      <c r="AH29" s="383" t="str">
        <f>IF(AND(C29="Skema 1",B29="ti"),Arbejdstidsoversigt!$E$45,"")</f>
        <v/>
      </c>
      <c r="AI29" s="383">
        <f>IF(AND(C29="Skema 1",B29="on"),Arbejdstidsoversigt!$E$46,"")</f>
        <v>8</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8</v>
      </c>
      <c r="BB29" s="421">
        <f t="shared" si="7"/>
        <v>192</v>
      </c>
      <c r="BC29" s="1">
        <f t="shared" si="20"/>
        <v>0</v>
      </c>
      <c r="BD29" s="1">
        <f t="shared" si="8"/>
        <v>0</v>
      </c>
      <c r="BE29" s="1">
        <f t="shared" si="9"/>
        <v>0</v>
      </c>
      <c r="BF29" s="1">
        <f t="shared" si="10"/>
        <v>0</v>
      </c>
      <c r="BG29" s="382" t="str">
        <f>IF(AND(C29="Skema 1",B29="ma"),Skemaoplysninger!$E$28,"")</f>
        <v/>
      </c>
      <c r="BH29" s="382" t="str">
        <f>IF(AND(C29="Skema 1",B29="ti"),Skemaoplysninger!$F$28,"")</f>
        <v/>
      </c>
      <c r="BI29" s="382">
        <f>IF(AND(C29="Skema 1",B29="on"),Skemaoplysninger!$G$28,"")</f>
        <v>0.15625</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3.75</v>
      </c>
      <c r="CB29" s="1">
        <f t="shared" si="11"/>
        <v>0</v>
      </c>
      <c r="CC29" s="1">
        <f t="shared" si="12"/>
        <v>0</v>
      </c>
      <c r="CD29" s="382" t="str">
        <f>IF(AND(C29="Skema 1",B29="ma"),Skemaoplysninger!$E$37,"")</f>
        <v/>
      </c>
      <c r="CE29" s="382" t="str">
        <f>IF(AND(C29="Skema 1",B29="ti"),Skemaoplysninger!$F$37,"")</f>
        <v/>
      </c>
      <c r="CF29" s="382">
        <f>IF(AND(C29="Skema 1",B29="on"),Skemaoplysninger!$G$37,"")</f>
        <v>0.91666666666666674</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0.91666666666666674</v>
      </c>
      <c r="CY29" s="457">
        <f>IF(C29="Skema 1",Stamoplysninger!$H$30/200,0)</f>
        <v>1</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3"/>
        <v>22</v>
      </c>
      <c r="B30" s="218" t="str">
        <f t="shared" si="0"/>
        <v>to</v>
      </c>
      <c r="C30" s="219" t="s">
        <v>241</v>
      </c>
      <c r="D30" s="220" t="str">
        <f t="shared" si="1"/>
        <v/>
      </c>
      <c r="E30" s="906"/>
      <c r="F30" s="907"/>
      <c r="G30" s="908"/>
      <c r="H30" s="594"/>
      <c r="I30" s="855"/>
      <c r="J30" s="726"/>
      <c r="K30" s="669"/>
      <c r="L30" s="669"/>
      <c r="M30" s="669"/>
      <c r="N30" s="557">
        <f t="shared" si="14"/>
        <v>8</v>
      </c>
      <c r="O30" s="557">
        <f t="shared" si="15"/>
        <v>3.75</v>
      </c>
      <c r="P30" s="557">
        <f>IF(Stamoplysninger!$H$29="JA",September!DG30,CX30)</f>
        <v>0.91666666666666674</v>
      </c>
      <c r="Q30" s="557">
        <f t="shared" si="16"/>
        <v>3.333333333333333</v>
      </c>
      <c r="R30" s="558"/>
      <c r="S30" s="564"/>
      <c r="T30" s="565"/>
      <c r="U30" s="565"/>
      <c r="V30" s="753"/>
      <c r="W30" s="559"/>
      <c r="X30" s="760"/>
      <c r="Y30">
        <f t="shared" si="17"/>
        <v>0</v>
      </c>
      <c r="Z30" s="759">
        <f t="shared" si="18"/>
        <v>0</v>
      </c>
      <c r="AA30" s="1">
        <f t="shared" si="2"/>
        <v>0</v>
      </c>
      <c r="AB30" s="1">
        <f t="shared" si="3"/>
        <v>0</v>
      </c>
      <c r="AC30" s="1">
        <f t="shared" si="4"/>
        <v>0</v>
      </c>
      <c r="AD30" s="1">
        <f t="shared" si="5"/>
        <v>0</v>
      </c>
      <c r="AE30" s="1">
        <f t="shared" si="6"/>
        <v>0</v>
      </c>
      <c r="AF30" s="1">
        <f>IF(C30="Orlov",7.4*Stamoplysninger!$E$15,0)</f>
        <v>0</v>
      </c>
      <c r="AG30" s="383" t="str">
        <f>IF(AND(C30="Skema 1",B30="ma"),Arbejdstidsoversigt!$E$44,"")</f>
        <v/>
      </c>
      <c r="AH30" s="383" t="str">
        <f>IF(AND(C30="Skema 1",B30="ti"),Arbejdstidsoversigt!$E$45,"")</f>
        <v/>
      </c>
      <c r="AI30" s="383" t="str">
        <f>IF(AND(C30="Skema 1",B30="on"),Arbejdstidsoversigt!$E$46,"")</f>
        <v/>
      </c>
      <c r="AJ30" s="383">
        <f>IF(AND(C30="Skema 1",B30="to"),Arbejdstidsoversigt!$E$47,"")</f>
        <v>8</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7"/>
        <v>192</v>
      </c>
      <c r="BC30" s="1">
        <f t="shared" si="20"/>
        <v>0</v>
      </c>
      <c r="BD30" s="1">
        <f t="shared" si="8"/>
        <v>0</v>
      </c>
      <c r="BE30" s="1">
        <f t="shared" si="9"/>
        <v>0</v>
      </c>
      <c r="BF30" s="1">
        <f t="shared" si="10"/>
        <v>0</v>
      </c>
      <c r="BG30" s="382" t="str">
        <f>IF(AND(C30="Skema 1",B30="ma"),Skemaoplysninger!$E$28,"")</f>
        <v/>
      </c>
      <c r="BH30" s="382" t="str">
        <f>IF(AND(C30="Skema 1",B30="ti"),Skemaoplysninger!$F$28,"")</f>
        <v/>
      </c>
      <c r="BI30" s="382" t="str">
        <f>IF(AND(C30="Skema 1",B30="on"),Skemaoplysninger!$G$28,"")</f>
        <v/>
      </c>
      <c r="BJ30" s="382">
        <f>IF(AND(C30="Skema 1",B30="to"),Skemaoplysninger!$H$28,"")</f>
        <v>0.15625</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3.75</v>
      </c>
      <c r="CB30" s="1">
        <f t="shared" si="11"/>
        <v>0</v>
      </c>
      <c r="CC30" s="1">
        <f t="shared" si="12"/>
        <v>0</v>
      </c>
      <c r="CD30" s="382" t="str">
        <f>IF(AND(C30="Skema 1",B30="ma"),Skemaoplysninger!$E$37,"")</f>
        <v/>
      </c>
      <c r="CE30" s="382" t="str">
        <f>IF(AND(C30="Skema 1",B30="ti"),Skemaoplysninger!$F$37,"")</f>
        <v/>
      </c>
      <c r="CF30" s="382" t="str">
        <f>IF(AND(C30="Skema 1",B30="on"),Skemaoplysninger!$G$37,"")</f>
        <v/>
      </c>
      <c r="CG30" s="382">
        <f>IF(AND(C30="Skema 1",B30="to"),Skemaoplysninger!$H$37,"")</f>
        <v>0.91666666666666674</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0.91666666666666674</v>
      </c>
      <c r="CY30" s="457">
        <f>IF(C30="Skema 1",Stamoplysninger!$H$30/200,0)</f>
        <v>1</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3"/>
        <v>23</v>
      </c>
      <c r="B31" s="218" t="str">
        <f t="shared" si="0"/>
        <v>fr</v>
      </c>
      <c r="C31" s="219" t="s">
        <v>241</v>
      </c>
      <c r="D31" s="220" t="str">
        <f t="shared" si="1"/>
        <v/>
      </c>
      <c r="E31" s="906"/>
      <c r="F31" s="907"/>
      <c r="G31" s="908"/>
      <c r="H31" s="594" t="s">
        <v>592</v>
      </c>
      <c r="I31" s="855"/>
      <c r="J31" s="726"/>
      <c r="K31" s="669"/>
      <c r="L31" s="669"/>
      <c r="M31" s="669"/>
      <c r="N31" s="557">
        <f t="shared" si="14"/>
        <v>7</v>
      </c>
      <c r="O31" s="557">
        <f t="shared" si="15"/>
        <v>2.25</v>
      </c>
      <c r="P31" s="557">
        <f>IF(Stamoplysninger!$H$29="JA",September!DG31,CX31)</f>
        <v>0.33333333333333331</v>
      </c>
      <c r="Q31" s="557">
        <f t="shared" si="16"/>
        <v>4.416666666666667</v>
      </c>
      <c r="R31" s="558">
        <v>3</v>
      </c>
      <c r="S31" s="564"/>
      <c r="T31" s="565"/>
      <c r="U31" s="565"/>
      <c r="V31" s="753"/>
      <c r="W31" s="559"/>
      <c r="X31" s="760"/>
      <c r="Y31">
        <f t="shared" si="17"/>
        <v>0</v>
      </c>
      <c r="Z31" s="759">
        <f t="shared" si="18"/>
        <v>0</v>
      </c>
      <c r="AA31" s="1">
        <f t="shared" si="2"/>
        <v>0</v>
      </c>
      <c r="AB31" s="1">
        <f t="shared" si="3"/>
        <v>0</v>
      </c>
      <c r="AC31" s="1">
        <f t="shared" si="4"/>
        <v>0</v>
      </c>
      <c r="AD31" s="1">
        <f t="shared" si="5"/>
        <v>0</v>
      </c>
      <c r="AE31" s="1">
        <f t="shared" si="6"/>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f>IF(AND(C31="Skema 1",B31="fr"),Arbejdstidsoversigt!$E$48,"")</f>
        <v>7</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7</v>
      </c>
      <c r="BB31" s="421">
        <f t="shared" si="7"/>
        <v>168</v>
      </c>
      <c r="BC31" s="1">
        <f t="shared" si="20"/>
        <v>0</v>
      </c>
      <c r="BD31" s="1">
        <f t="shared" si="8"/>
        <v>0</v>
      </c>
      <c r="BE31" s="1">
        <f t="shared" si="9"/>
        <v>0</v>
      </c>
      <c r="BF31" s="1">
        <f t="shared" si="10"/>
        <v>0</v>
      </c>
      <c r="BG31" s="382" t="str">
        <f>IF(AND(C31="Skema 1",B31="ma"),Skemaoplysninger!$E$28,"")</f>
        <v/>
      </c>
      <c r="BH31" s="382" t="str">
        <f>IF(AND(C31="Skema 1",B31="ti"),Skemaoplysninger!$F$28,"")</f>
        <v/>
      </c>
      <c r="BI31" s="382" t="str">
        <f>IF(AND(C31="Skema 1",B31="on"),Skemaoplysninger!$G$28,"")</f>
        <v/>
      </c>
      <c r="BJ31" s="382" t="str">
        <f>IF(AND(C31="Skema 1",B31="to"),Skemaoplysninger!$H$28,"")</f>
        <v/>
      </c>
      <c r="BK31" s="382">
        <f>IF(AND(C31="Skema 1",B31="fr"),Skemaoplysninger!$I$28,"")</f>
        <v>9.375E-2</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2.25</v>
      </c>
      <c r="CB31" s="1">
        <f t="shared" si="11"/>
        <v>0</v>
      </c>
      <c r="CC31" s="1">
        <f t="shared" si="12"/>
        <v>0</v>
      </c>
      <c r="CD31" s="382" t="str">
        <f>IF(AND(C31="Skema 1",B31="ma"),Skemaoplysninger!$E$37,"")</f>
        <v/>
      </c>
      <c r="CE31" s="382" t="str">
        <f>IF(AND(C31="Skema 1",B31="ti"),Skemaoplysninger!$F$37,"")</f>
        <v/>
      </c>
      <c r="CF31" s="382" t="str">
        <f>IF(AND(C31="Skema 1",B31="on"),Skemaoplysninger!$G$37,"")</f>
        <v/>
      </c>
      <c r="CG31" s="382" t="str">
        <f>IF(AND(C31="Skema 1",B31="to"),Skemaoplysninger!$H$37,"")</f>
        <v/>
      </c>
      <c r="CH31" s="382">
        <f>IF(AND(C31="Skema 1",B31="fr"),Skemaoplysninger!$I$37,"")</f>
        <v>0.33333333333333331</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0.33333333333333331</v>
      </c>
      <c r="CY31" s="457">
        <f>IF(C31="Skema 1",Stamoplysninger!$H$30/200,0)</f>
        <v>1</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1</v>
      </c>
    </row>
    <row r="32" spans="1:111">
      <c r="A32" s="443">
        <f t="shared" si="13"/>
        <v>24</v>
      </c>
      <c r="B32" s="218" t="str">
        <f t="shared" si="0"/>
        <v>lø</v>
      </c>
      <c r="C32" s="219" t="s">
        <v>241</v>
      </c>
      <c r="D32" s="220" t="str">
        <f t="shared" si="1"/>
        <v/>
      </c>
      <c r="E32" s="909"/>
      <c r="F32" s="910"/>
      <c r="G32" s="911"/>
      <c r="H32" s="594"/>
      <c r="I32" s="726"/>
      <c r="J32" s="726"/>
      <c r="K32" s="669"/>
      <c r="L32" s="669"/>
      <c r="M32" s="669"/>
      <c r="N32" s="557">
        <f t="shared" si="14"/>
        <v>0</v>
      </c>
      <c r="O32" s="557">
        <f t="shared" si="15"/>
        <v>0</v>
      </c>
      <c r="P32" s="557">
        <f>IF(Stamoplysninger!$H$29="JA",September!DG32,CX32)</f>
        <v>0</v>
      </c>
      <c r="Q32" s="557">
        <f t="shared" si="16"/>
        <v>0</v>
      </c>
      <c r="R32" s="558"/>
      <c r="S32" s="564"/>
      <c r="T32" s="565"/>
      <c r="U32" s="565"/>
      <c r="V32" s="753"/>
      <c r="W32" s="559"/>
      <c r="X32" s="760"/>
      <c r="Y32">
        <f t="shared" si="17"/>
        <v>0</v>
      </c>
      <c r="Z32" s="759">
        <f t="shared" si="18"/>
        <v>0</v>
      </c>
      <c r="AA32" s="1">
        <f t="shared" si="2"/>
        <v>0</v>
      </c>
      <c r="AB32" s="1">
        <f t="shared" si="3"/>
        <v>0</v>
      </c>
      <c r="AC32" s="1">
        <f t="shared" si="4"/>
        <v>0</v>
      </c>
      <c r="AD32" s="1">
        <f t="shared" si="5"/>
        <v>0</v>
      </c>
      <c r="AE32" s="1">
        <f t="shared" si="6"/>
        <v>0</v>
      </c>
      <c r="AF32" s="1">
        <f>IF(C32="Orlov",7.4*Stamoplysninger!$E$15,0)</f>
        <v>0</v>
      </c>
      <c r="AG32" s="383" t="str">
        <f>IF(AND(C32="Skema 1",B32="ma"),Arbejdstidsoversigt!$E$44,"")</f>
        <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0</v>
      </c>
      <c r="BB32" s="421">
        <f t="shared" si="7"/>
        <v>0</v>
      </c>
      <c r="BC32" s="1">
        <f t="shared" si="20"/>
        <v>0</v>
      </c>
      <c r="BD32" s="1">
        <f t="shared" si="8"/>
        <v>0</v>
      </c>
      <c r="BE32" s="1">
        <f t="shared" si="9"/>
        <v>0</v>
      </c>
      <c r="BF32" s="1">
        <f t="shared" si="10"/>
        <v>0</v>
      </c>
      <c r="BG32" s="382" t="str">
        <f>IF(AND(C32="Skema 1",B32="ma"),Skemaoplysninger!$E$28,"")</f>
        <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0</v>
      </c>
      <c r="CB32" s="1">
        <f t="shared" si="11"/>
        <v>0</v>
      </c>
      <c r="CC32" s="1">
        <f t="shared" si="12"/>
        <v>0</v>
      </c>
      <c r="CD32" s="382" t="str">
        <f>IF(AND(C32="Skema 1",B32="ma"),Skemaoplysninger!$E$37,"")</f>
        <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v>
      </c>
      <c r="CY32" s="457">
        <f>IF(C32="Skema 1",Stamoplysninger!$H$30/200,0)</f>
        <v>1</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3"/>
        <v>25</v>
      </c>
      <c r="B33" s="218" t="str">
        <f t="shared" si="0"/>
        <v>sø</v>
      </c>
      <c r="C33" s="219" t="s">
        <v>138</v>
      </c>
      <c r="D33" s="220" t="str">
        <f t="shared" si="1"/>
        <v/>
      </c>
      <c r="E33" s="906"/>
      <c r="F33" s="907"/>
      <c r="G33" s="908"/>
      <c r="H33" s="594"/>
      <c r="I33" s="726"/>
      <c r="J33" s="726"/>
      <c r="K33" s="669"/>
      <c r="L33" s="669"/>
      <c r="M33" s="669"/>
      <c r="N33" s="557">
        <f t="shared" si="14"/>
        <v>0</v>
      </c>
      <c r="O33" s="557">
        <f t="shared" si="15"/>
        <v>0</v>
      </c>
      <c r="P33" s="557">
        <f>IF(Stamoplysninger!$H$29="JA",September!DG33,CX33)</f>
        <v>0</v>
      </c>
      <c r="Q33" s="557">
        <f t="shared" si="16"/>
        <v>0</v>
      </c>
      <c r="R33" s="558"/>
      <c r="S33" s="564"/>
      <c r="T33" s="565"/>
      <c r="U33" s="565"/>
      <c r="V33" s="753"/>
      <c r="W33" s="559"/>
      <c r="X33" s="760"/>
      <c r="Y33">
        <f t="shared" si="17"/>
        <v>0</v>
      </c>
      <c r="Z33" s="759">
        <f t="shared" si="18"/>
        <v>0</v>
      </c>
      <c r="AA33" s="1">
        <f t="shared" si="2"/>
        <v>0</v>
      </c>
      <c r="AB33" s="1">
        <f t="shared" si="3"/>
        <v>0</v>
      </c>
      <c r="AC33" s="1">
        <f t="shared" si="4"/>
        <v>0</v>
      </c>
      <c r="AD33" s="1">
        <f t="shared" si="5"/>
        <v>0</v>
      </c>
      <c r="AE33" s="1">
        <f t="shared" si="6"/>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0</v>
      </c>
      <c r="BB33" s="421">
        <f t="shared" si="7"/>
        <v>0</v>
      </c>
      <c r="BC33" s="1">
        <f t="shared" si="20"/>
        <v>0</v>
      </c>
      <c r="BD33" s="1">
        <f t="shared" si="8"/>
        <v>0</v>
      </c>
      <c r="BE33" s="1">
        <f t="shared" si="9"/>
        <v>0</v>
      </c>
      <c r="BF33" s="1">
        <f t="shared" si="10"/>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0</v>
      </c>
      <c r="CB33" s="1">
        <f t="shared" si="11"/>
        <v>0</v>
      </c>
      <c r="CC33" s="1">
        <f t="shared" si="12"/>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v>
      </c>
      <c r="CY33" s="457">
        <f>IF(C33="Skema 1",Stamoplysninger!$H$30/200,0)</f>
        <v>0</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0</v>
      </c>
    </row>
    <row r="34" spans="1:111">
      <c r="A34" s="443">
        <f t="shared" si="13"/>
        <v>26</v>
      </c>
      <c r="B34" s="218" t="str">
        <f t="shared" si="0"/>
        <v>ma</v>
      </c>
      <c r="C34" s="219" t="s">
        <v>155</v>
      </c>
      <c r="D34" s="220">
        <f t="shared" si="1"/>
        <v>39.285714285714285</v>
      </c>
      <c r="E34" s="906" t="s">
        <v>5</v>
      </c>
      <c r="F34" s="907"/>
      <c r="G34" s="908"/>
      <c r="H34" s="594"/>
      <c r="I34" s="855"/>
      <c r="J34" s="726"/>
      <c r="K34" s="669">
        <v>8</v>
      </c>
      <c r="L34" s="669">
        <v>4.5</v>
      </c>
      <c r="M34" s="669">
        <v>1</v>
      </c>
      <c r="N34" s="557">
        <f t="shared" si="14"/>
        <v>8</v>
      </c>
      <c r="O34" s="557">
        <f t="shared" si="15"/>
        <v>4.5</v>
      </c>
      <c r="P34" s="557">
        <f>IF(Stamoplysninger!$H$29="JA",September!DG34,CX34)</f>
        <v>1</v>
      </c>
      <c r="Q34" s="557">
        <f t="shared" si="16"/>
        <v>2.5</v>
      </c>
      <c r="R34" s="558"/>
      <c r="S34" s="564"/>
      <c r="T34" s="565"/>
      <c r="U34" s="565"/>
      <c r="V34" s="753"/>
      <c r="W34" s="559"/>
      <c r="X34" s="760"/>
      <c r="Y34">
        <f t="shared" si="17"/>
        <v>0</v>
      </c>
      <c r="Z34" s="759">
        <f t="shared" si="18"/>
        <v>0</v>
      </c>
      <c r="AA34" s="1">
        <f t="shared" si="2"/>
        <v>0</v>
      </c>
      <c r="AB34" s="1">
        <f t="shared" si="3"/>
        <v>8</v>
      </c>
      <c r="AC34" s="1">
        <f t="shared" si="4"/>
        <v>0</v>
      </c>
      <c r="AD34" s="1">
        <f t="shared" si="5"/>
        <v>0</v>
      </c>
      <c r="AE34" s="1">
        <f t="shared" si="6"/>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8</v>
      </c>
      <c r="BB34" s="421">
        <f t="shared" si="7"/>
        <v>0</v>
      </c>
      <c r="BC34" s="1">
        <f t="shared" si="20"/>
        <v>0</v>
      </c>
      <c r="BD34" s="1">
        <f t="shared" si="8"/>
        <v>0</v>
      </c>
      <c r="BE34" s="1">
        <f t="shared" si="9"/>
        <v>4.5</v>
      </c>
      <c r="BF34" s="1">
        <f t="shared" si="10"/>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4.5</v>
      </c>
      <c r="CB34" s="1">
        <f t="shared" si="11"/>
        <v>1</v>
      </c>
      <c r="CC34" s="1">
        <f t="shared" si="12"/>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1</v>
      </c>
      <c r="CY34" s="457">
        <f>IF(C34="Skema 1",Stamoplysninger!$H$30/200,0)</f>
        <v>0</v>
      </c>
      <c r="CZ34" s="457">
        <f>IF(C34="Skema 2",Stamoplysninger!$H$30/200,0)</f>
        <v>0</v>
      </c>
      <c r="DA34" s="457">
        <f>IF(C34="Skema 3",Stamoplysninger!$H$30/200,0)</f>
        <v>0</v>
      </c>
      <c r="DB34" s="457">
        <f>IF(C34="Skema 4",Stamoplysninger!$H$30/200,0)</f>
        <v>0</v>
      </c>
      <c r="DC34" s="457">
        <f>IF(C34="fagdag",Stamoplysninger!$H$30/200,0)</f>
        <v>1</v>
      </c>
      <c r="DD34" s="457">
        <f>IF(C34="emnedag",Stamoplysninger!$H$30/200,0)</f>
        <v>0</v>
      </c>
      <c r="DE34" s="457">
        <f>IF(C34="lejrskole",Stamoplysninger!$H$30/200,0)</f>
        <v>0</v>
      </c>
      <c r="DF34" s="457">
        <f>IF(C34="ekskursion",Stamoplysninger!$H$30/200,0)</f>
        <v>0</v>
      </c>
      <c r="DG34" s="457">
        <f t="shared" si="22"/>
        <v>1</v>
      </c>
    </row>
    <row r="35" spans="1:111">
      <c r="A35" s="443">
        <f t="shared" si="13"/>
        <v>27</v>
      </c>
      <c r="B35" s="218" t="str">
        <f t="shared" si="0"/>
        <v>ti</v>
      </c>
      <c r="C35" s="219" t="s">
        <v>241</v>
      </c>
      <c r="D35" s="220" t="str">
        <f t="shared" si="1"/>
        <v/>
      </c>
      <c r="E35" s="906"/>
      <c r="F35" s="907"/>
      <c r="G35" s="908"/>
      <c r="H35" s="594"/>
      <c r="I35" s="855"/>
      <c r="J35" s="726"/>
      <c r="K35" s="669"/>
      <c r="L35" s="669"/>
      <c r="M35" s="669"/>
      <c r="N35" s="557">
        <f t="shared" si="14"/>
        <v>8</v>
      </c>
      <c r="O35" s="557">
        <f t="shared" si="15"/>
        <v>5.25</v>
      </c>
      <c r="P35" s="557">
        <f>IF(Stamoplysninger!$H$29="JA",September!DG35,CX35)</f>
        <v>1.0833333333333335</v>
      </c>
      <c r="Q35" s="557">
        <f t="shared" si="16"/>
        <v>1.6666666666666665</v>
      </c>
      <c r="R35" s="558"/>
      <c r="S35" s="564"/>
      <c r="T35" s="565"/>
      <c r="U35" s="565"/>
      <c r="V35" s="753"/>
      <c r="W35" s="559"/>
      <c r="X35" s="760"/>
      <c r="Y35">
        <f t="shared" si="17"/>
        <v>0</v>
      </c>
      <c r="Z35" s="759">
        <f t="shared" si="18"/>
        <v>0</v>
      </c>
      <c r="AA35" s="1">
        <f t="shared" si="2"/>
        <v>0</v>
      </c>
      <c r="AB35" s="1">
        <f t="shared" si="3"/>
        <v>0</v>
      </c>
      <c r="AC35" s="1">
        <f t="shared" si="4"/>
        <v>0</v>
      </c>
      <c r="AD35" s="1">
        <f t="shared" si="5"/>
        <v>0</v>
      </c>
      <c r="AE35" s="1">
        <f t="shared" si="6"/>
        <v>0</v>
      </c>
      <c r="AF35" s="1">
        <f>IF(C35="Orlov",7.4*Stamoplysninger!$E$15,0)</f>
        <v>0</v>
      </c>
      <c r="AG35" s="383" t="str">
        <f>IF(AND(C35="Skema 1",B35="ma"),Arbejdstidsoversigt!$E$44,"")</f>
        <v/>
      </c>
      <c r="AH35" s="383">
        <f>IF(AND(C35="Skema 1",B35="ti"),Arbejdstidsoversigt!$E$45,"")</f>
        <v>8</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8</v>
      </c>
      <c r="BB35" s="421">
        <f t="shared" si="7"/>
        <v>192</v>
      </c>
      <c r="BC35" s="1">
        <f t="shared" si="20"/>
        <v>0</v>
      </c>
      <c r="BD35" s="1">
        <f t="shared" si="8"/>
        <v>0</v>
      </c>
      <c r="BE35" s="1">
        <f t="shared" si="9"/>
        <v>0</v>
      </c>
      <c r="BF35" s="1">
        <f t="shared" si="10"/>
        <v>0</v>
      </c>
      <c r="BG35" s="382" t="str">
        <f>IF(AND(C35="Skema 1",B35="ma"),Skemaoplysninger!$E$28,"")</f>
        <v/>
      </c>
      <c r="BH35" s="382">
        <f>IF(AND(C35="Skema 1",B35="ti"),Skemaoplysninger!$F$28,"")</f>
        <v>0.21875</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5.25</v>
      </c>
      <c r="CB35" s="1">
        <f t="shared" si="11"/>
        <v>0</v>
      </c>
      <c r="CC35" s="1">
        <f t="shared" si="12"/>
        <v>0</v>
      </c>
      <c r="CD35" s="382" t="str">
        <f>IF(AND(C35="Skema 1",B35="ma"),Skemaoplysninger!$E$37,"")</f>
        <v/>
      </c>
      <c r="CE35" s="382">
        <f>IF(AND(C35="Skema 1",B35="ti"),Skemaoplysninger!$F$37,"")</f>
        <v>1.0833333333333335</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1.0833333333333335</v>
      </c>
      <c r="CY35" s="457">
        <f>IF(C35="Skema 1",Stamoplysninger!$H$30/200,0)</f>
        <v>1</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row>
    <row r="36" spans="1:111">
      <c r="A36" s="443">
        <f t="shared" si="13"/>
        <v>28</v>
      </c>
      <c r="B36" s="218" t="str">
        <f t="shared" si="0"/>
        <v>on</v>
      </c>
      <c r="C36" s="219" t="s">
        <v>241</v>
      </c>
      <c r="D36" s="220" t="str">
        <f t="shared" si="1"/>
        <v/>
      </c>
      <c r="E36" s="906"/>
      <c r="F36" s="907"/>
      <c r="G36" s="908"/>
      <c r="H36" s="594"/>
      <c r="I36" s="855"/>
      <c r="J36" s="726"/>
      <c r="K36" s="669"/>
      <c r="L36" s="669"/>
      <c r="M36" s="669"/>
      <c r="N36" s="557">
        <f t="shared" si="14"/>
        <v>8</v>
      </c>
      <c r="O36" s="557">
        <f t="shared" si="15"/>
        <v>3.75</v>
      </c>
      <c r="P36" s="557">
        <f>IF(Stamoplysninger!$H$29="JA",September!DG36,CX36)</f>
        <v>0.91666666666666674</v>
      </c>
      <c r="Q36" s="557">
        <f t="shared" si="16"/>
        <v>3.333333333333333</v>
      </c>
      <c r="R36" s="558"/>
      <c r="S36" s="564"/>
      <c r="T36" s="565"/>
      <c r="U36" s="565"/>
      <c r="V36" s="753"/>
      <c r="W36" s="559"/>
      <c r="X36" s="760"/>
      <c r="Y36">
        <f t="shared" si="17"/>
        <v>0</v>
      </c>
      <c r="Z36" s="759">
        <f t="shared" si="18"/>
        <v>0</v>
      </c>
      <c r="AA36" s="1">
        <f t="shared" si="2"/>
        <v>0</v>
      </c>
      <c r="AB36" s="1">
        <f t="shared" si="3"/>
        <v>0</v>
      </c>
      <c r="AC36" s="1">
        <f t="shared" si="4"/>
        <v>0</v>
      </c>
      <c r="AD36" s="1">
        <f t="shared" si="5"/>
        <v>0</v>
      </c>
      <c r="AE36" s="1">
        <f t="shared" si="6"/>
        <v>0</v>
      </c>
      <c r="AF36" s="1">
        <f>IF(C36="Orlov",7.4*Stamoplysninger!$E$15,0)</f>
        <v>0</v>
      </c>
      <c r="AG36" s="383" t="str">
        <f>IF(AND(C36="Skema 1",B36="ma"),Arbejdstidsoversigt!$E$44,"")</f>
        <v/>
      </c>
      <c r="AH36" s="383" t="str">
        <f>IF(AND(C36="Skema 1",B36="ti"),Arbejdstidsoversigt!$E$45,"")</f>
        <v/>
      </c>
      <c r="AI36" s="383">
        <f>IF(AND(C36="Skema 1",B36="on"),Arbejdstidsoversigt!$E$46,"")</f>
        <v>8</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8</v>
      </c>
      <c r="BB36" s="421">
        <f t="shared" si="7"/>
        <v>192</v>
      </c>
      <c r="BC36" s="1">
        <f t="shared" si="20"/>
        <v>0</v>
      </c>
      <c r="BD36" s="1">
        <f t="shared" si="8"/>
        <v>0</v>
      </c>
      <c r="BE36" s="1">
        <f t="shared" si="9"/>
        <v>0</v>
      </c>
      <c r="BF36" s="1">
        <f t="shared" si="10"/>
        <v>0</v>
      </c>
      <c r="BG36" s="382" t="str">
        <f>IF(AND(C36="Skema 1",B36="ma"),Skemaoplysninger!$E$28,"")</f>
        <v/>
      </c>
      <c r="BH36" s="382" t="str">
        <f>IF(AND(C36="Skema 1",B36="ti"),Skemaoplysninger!$F$28,"")</f>
        <v/>
      </c>
      <c r="BI36" s="382">
        <f>IF(AND(C36="Skema 1",B36="on"),Skemaoplysninger!$G$28,"")</f>
        <v>0.15625</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3.75</v>
      </c>
      <c r="CB36" s="1">
        <f t="shared" si="11"/>
        <v>0</v>
      </c>
      <c r="CC36" s="1">
        <f t="shared" si="12"/>
        <v>0</v>
      </c>
      <c r="CD36" s="382" t="str">
        <f>IF(AND(C36="Skema 1",B36="ma"),Skemaoplysninger!$E$37,"")</f>
        <v/>
      </c>
      <c r="CE36" s="382" t="str">
        <f>IF(AND(C36="Skema 1",B36="ti"),Skemaoplysninger!$F$37,"")</f>
        <v/>
      </c>
      <c r="CF36" s="382">
        <f>IF(AND(C36="Skema 1",B36="on"),Skemaoplysninger!$G$37,"")</f>
        <v>0.91666666666666674</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0.91666666666666674</v>
      </c>
      <c r="CY36" s="457">
        <f>IF(C36="Skema 1",Stamoplysninger!$H$30/200,0)</f>
        <v>1</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1</v>
      </c>
    </row>
    <row r="37" spans="1:111">
      <c r="A37" s="443">
        <f>IF(ISNUMBER(A36),A36+1,1)</f>
        <v>29</v>
      </c>
      <c r="B37" s="218" t="str">
        <f t="shared" si="0"/>
        <v>to</v>
      </c>
      <c r="C37" s="219" t="s">
        <v>241</v>
      </c>
      <c r="D37" s="220" t="str">
        <f t="shared" si="1"/>
        <v/>
      </c>
      <c r="E37" s="906"/>
      <c r="F37" s="907"/>
      <c r="G37" s="908"/>
      <c r="H37" s="594"/>
      <c r="I37" s="855"/>
      <c r="J37" s="726"/>
      <c r="K37" s="669"/>
      <c r="L37" s="669"/>
      <c r="M37" s="669"/>
      <c r="N37" s="557">
        <f t="shared" si="14"/>
        <v>8</v>
      </c>
      <c r="O37" s="557">
        <f t="shared" si="15"/>
        <v>3.75</v>
      </c>
      <c r="P37" s="557">
        <f>IF(Stamoplysninger!$H$29="JA",September!DG37,CX37)</f>
        <v>0.91666666666666674</v>
      </c>
      <c r="Q37" s="557">
        <f t="shared" si="16"/>
        <v>3.333333333333333</v>
      </c>
      <c r="R37" s="558"/>
      <c r="S37" s="564"/>
      <c r="T37" s="565"/>
      <c r="U37" s="565"/>
      <c r="V37" s="753"/>
      <c r="W37" s="559"/>
      <c r="X37" s="760"/>
      <c r="Y37">
        <f t="shared" si="17"/>
        <v>0</v>
      </c>
      <c r="Z37" s="759">
        <f t="shared" si="18"/>
        <v>0</v>
      </c>
      <c r="AA37" s="1">
        <f t="shared" si="2"/>
        <v>0</v>
      </c>
      <c r="AB37" s="1">
        <f t="shared" si="3"/>
        <v>0</v>
      </c>
      <c r="AC37" s="1">
        <f t="shared" si="4"/>
        <v>0</v>
      </c>
      <c r="AD37" s="1">
        <f t="shared" si="5"/>
        <v>0</v>
      </c>
      <c r="AE37" s="1">
        <f t="shared" si="6"/>
        <v>0</v>
      </c>
      <c r="AF37" s="1">
        <f>IF(C37="Orlov",7.4*Stamoplysninger!$E$15,0)</f>
        <v>0</v>
      </c>
      <c r="AG37" s="383" t="str">
        <f>IF(AND(C37="Skema 1",B37="ma"),Arbejdstidsoversigt!$E$44,"")</f>
        <v/>
      </c>
      <c r="AH37" s="383" t="str">
        <f>IF(AND(C37="Skema 1",B37="ti"),Arbejdstidsoversigt!$E$45,"")</f>
        <v/>
      </c>
      <c r="AI37" s="383" t="str">
        <f>IF(AND(C37="Skema 1",B37="on"),Arbejdstidsoversigt!$E$46,"")</f>
        <v/>
      </c>
      <c r="AJ37" s="383">
        <f>IF(AND(C37="Skema 1",B37="to"),Arbejdstidsoversigt!$E$47,"")</f>
        <v>8</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8</v>
      </c>
      <c r="BB37" s="421">
        <f t="shared" si="7"/>
        <v>192</v>
      </c>
      <c r="BC37" s="1">
        <f t="shared" si="20"/>
        <v>0</v>
      </c>
      <c r="BD37" s="1">
        <f t="shared" si="8"/>
        <v>0</v>
      </c>
      <c r="BE37" s="1">
        <f t="shared" si="9"/>
        <v>0</v>
      </c>
      <c r="BF37" s="1">
        <f t="shared" si="10"/>
        <v>0</v>
      </c>
      <c r="BG37" s="382" t="str">
        <f>IF(AND(C37="Skema 1",B37="ma"),Skemaoplysninger!$E$28,"")</f>
        <v/>
      </c>
      <c r="BH37" s="382" t="str">
        <f>IF(AND(C37="Skema 1",B37="ti"),Skemaoplysninger!$F$28,"")</f>
        <v/>
      </c>
      <c r="BI37" s="382" t="str">
        <f>IF(AND(C37="Skema 1",B37="on"),Skemaoplysninger!$G$28,"")</f>
        <v/>
      </c>
      <c r="BJ37" s="382">
        <f>IF(AND(C37="Skema 1",B37="to"),Skemaoplysninger!$H$28,"")</f>
        <v>0.15625</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3.75</v>
      </c>
      <c r="CB37" s="1">
        <f t="shared" si="11"/>
        <v>0</v>
      </c>
      <c r="CC37" s="1">
        <f t="shared" si="12"/>
        <v>0</v>
      </c>
      <c r="CD37" s="382" t="str">
        <f>IF(AND(C37="Skema 1",B37="ma"),Skemaoplysninger!$E$37,"")</f>
        <v/>
      </c>
      <c r="CE37" s="382" t="str">
        <f>IF(AND(C37="Skema 1",B37="ti"),Skemaoplysninger!$F$37,"")</f>
        <v/>
      </c>
      <c r="CF37" s="382" t="str">
        <f>IF(AND(C37="Skema 1",B37="on"),Skemaoplysninger!$G$37,"")</f>
        <v/>
      </c>
      <c r="CG37" s="382">
        <f>IF(AND(C37="Skema 1",B37="to"),Skemaoplysninger!$H$37,"")</f>
        <v>0.91666666666666674</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0.91666666666666674</v>
      </c>
      <c r="CY37" s="457">
        <f>IF(C37="Skema 1",Stamoplysninger!$H$30/200,0)</f>
        <v>1</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1</v>
      </c>
    </row>
    <row r="38" spans="1:111">
      <c r="A38" s="443">
        <f t="shared" si="13"/>
        <v>30</v>
      </c>
      <c r="B38" s="218" t="str">
        <f t="shared" si="0"/>
        <v>fr</v>
      </c>
      <c r="C38" s="219" t="s">
        <v>241</v>
      </c>
      <c r="D38" s="220" t="str">
        <f t="shared" si="1"/>
        <v/>
      </c>
      <c r="E38" s="906"/>
      <c r="F38" s="907"/>
      <c r="G38" s="908"/>
      <c r="H38" s="594"/>
      <c r="I38" s="855"/>
      <c r="J38" s="726"/>
      <c r="K38" s="669"/>
      <c r="L38" s="669"/>
      <c r="M38" s="669"/>
      <c r="N38" s="557">
        <f t="shared" si="14"/>
        <v>7</v>
      </c>
      <c r="O38" s="557">
        <f t="shared" si="15"/>
        <v>2.25</v>
      </c>
      <c r="P38" s="557">
        <f>IF(Stamoplysninger!$H$29="JA",September!DG38,CX38)</f>
        <v>0.33333333333333331</v>
      </c>
      <c r="Q38" s="557">
        <f t="shared" si="16"/>
        <v>4.416666666666667</v>
      </c>
      <c r="R38" s="558"/>
      <c r="S38" s="564"/>
      <c r="T38" s="565"/>
      <c r="U38" s="565"/>
      <c r="V38" s="753"/>
      <c r="W38" s="559"/>
      <c r="X38" s="760"/>
      <c r="Y38">
        <f t="shared" si="17"/>
        <v>0</v>
      </c>
      <c r="Z38" s="759">
        <f t="shared" si="18"/>
        <v>0</v>
      </c>
      <c r="AA38" s="1">
        <f t="shared" si="2"/>
        <v>0</v>
      </c>
      <c r="AB38" s="1">
        <f t="shared" si="3"/>
        <v>0</v>
      </c>
      <c r="AC38" s="1">
        <f t="shared" si="4"/>
        <v>0</v>
      </c>
      <c r="AD38" s="1">
        <f t="shared" si="5"/>
        <v>0</v>
      </c>
      <c r="AE38" s="1">
        <f t="shared" si="6"/>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f>IF(AND(C38="Skema 1",B38="fr"),Arbejdstidsoversigt!$E$48,"")</f>
        <v>7</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SUM(AA38:AZ38)</f>
        <v>7</v>
      </c>
      <c r="BB38" s="421">
        <f t="shared" si="7"/>
        <v>168</v>
      </c>
      <c r="BC38" s="1">
        <f t="shared" si="20"/>
        <v>0</v>
      </c>
      <c r="BD38" s="1">
        <f t="shared" si="8"/>
        <v>0</v>
      </c>
      <c r="BE38" s="1">
        <f t="shared" si="9"/>
        <v>0</v>
      </c>
      <c r="BF38" s="1">
        <f t="shared" si="10"/>
        <v>0</v>
      </c>
      <c r="BG38" s="382" t="str">
        <f>IF(AND(C38="Skema 1",B38="ma"),Skemaoplysninger!$E$28,"")</f>
        <v/>
      </c>
      <c r="BH38" s="382" t="str">
        <f>IF(AND(C38="Skema 1",B38="ti"),Skemaoplysninger!$F$28,"")</f>
        <v/>
      </c>
      <c r="BI38" s="382" t="str">
        <f>IF(AND(C38="Skema 1",B38="on"),Skemaoplysninger!$G$28,"")</f>
        <v/>
      </c>
      <c r="BJ38" s="382" t="str">
        <f>IF(AND(C38="Skema 1",B38="to"),Skemaoplysninger!$H$28,"")</f>
        <v/>
      </c>
      <c r="BK38" s="382">
        <f>IF(AND(C38="Skema 1",B38="fr"),Skemaoplysninger!$I$28,"")</f>
        <v>9.375E-2</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2.25</v>
      </c>
      <c r="CB38" s="1">
        <f t="shared" si="11"/>
        <v>0</v>
      </c>
      <c r="CC38" s="1">
        <f t="shared" si="12"/>
        <v>0</v>
      </c>
      <c r="CD38" s="382" t="str">
        <f>IF(AND(C38="Skema 1",B38="ma"),Skemaoplysninger!$E$37,"")</f>
        <v/>
      </c>
      <c r="CE38" s="382" t="str">
        <f>IF(AND(C38="Skema 1",B38="ti"),Skemaoplysninger!$F$37,"")</f>
        <v/>
      </c>
      <c r="CF38" s="382" t="str">
        <f>IF(AND(C38="Skema 1",B38="on"),Skemaoplysninger!$G$37,"")</f>
        <v/>
      </c>
      <c r="CG38" s="382" t="str">
        <f>IF(AND(C38="Skema 1",B38="to"),Skemaoplysninger!$H$37,"")</f>
        <v/>
      </c>
      <c r="CH38" s="382">
        <f>IF(AND(C38="Skema 1",B38="fr"),Skemaoplysninger!$I$37,"")</f>
        <v>0.33333333333333331</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0.33333333333333331</v>
      </c>
      <c r="CY38" s="457">
        <f>IF(C38="Skema 1",Stamoplysninger!$H$30/200,0)</f>
        <v>1</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1</v>
      </c>
    </row>
    <row r="39" spans="1:111" s="586" customFormat="1" ht="17" thickBot="1">
      <c r="A39" s="1101" t="s">
        <v>308</v>
      </c>
      <c r="B39" s="1102"/>
      <c r="C39" s="1102"/>
      <c r="D39" s="1102"/>
      <c r="E39" s="1102"/>
      <c r="F39" s="1102"/>
      <c r="G39" s="1102"/>
      <c r="H39" s="1102"/>
      <c r="I39" s="1103"/>
      <c r="J39" s="552"/>
      <c r="K39" s="562"/>
      <c r="L39" s="562"/>
      <c r="M39" s="562"/>
      <c r="N39" s="562">
        <f t="shared" ref="N39:Q39" si="23">SUM(N9:N38)</f>
        <v>212.64999999999998</v>
      </c>
      <c r="O39" s="562">
        <f t="shared" si="23"/>
        <v>85.5</v>
      </c>
      <c r="P39" s="562">
        <f t="shared" si="23"/>
        <v>13.833333333333334</v>
      </c>
      <c r="Q39" s="562">
        <f t="shared" si="23"/>
        <v>55.166666666666664</v>
      </c>
      <c r="R39" s="584">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3</v>
      </c>
      <c r="S39" s="750"/>
      <c r="T39" s="751"/>
      <c r="U39" s="751"/>
      <c r="V39"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751">
        <f t="shared" ref="W39" si="24">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384">
        <f>SUM(Y9:Y38)</f>
        <v>0</v>
      </c>
      <c r="Z39" s="706">
        <f>Z9+Z10+Z11+Z12+Z13+Z14+Z15+Z16+Z17+Z18+Z19+Z20+Z21+Z22+Z23+Z24+Z25+Z26+Z27+Z28+Z29+Z30+Z31+Z32+Z33+Z34+Z35+Z36+Z37+Z38</f>
        <v>0</v>
      </c>
      <c r="AA39" s="585">
        <f t="shared" ref="AA39:AF39" si="25">SUM(AA9:AA38)</f>
        <v>0</v>
      </c>
      <c r="AB39" s="585">
        <f t="shared" si="25"/>
        <v>8</v>
      </c>
      <c r="AC39" s="585">
        <f t="shared" si="25"/>
        <v>0</v>
      </c>
      <c r="AD39" s="585">
        <f t="shared" si="25"/>
        <v>0</v>
      </c>
      <c r="AE39" s="585">
        <f t="shared" si="25"/>
        <v>80.649999999999991</v>
      </c>
      <c r="AF39" s="585">
        <f t="shared" si="25"/>
        <v>0</v>
      </c>
      <c r="AQ39" s="587"/>
      <c r="AR39" s="587"/>
      <c r="AS39" s="587"/>
      <c r="AT39" s="587"/>
      <c r="AU39" s="587"/>
      <c r="AV39" s="587"/>
      <c r="AW39" s="587"/>
      <c r="AX39" s="587"/>
      <c r="AY39" s="587"/>
      <c r="AZ39" s="587"/>
      <c r="BA39" s="588">
        <f>SUM(BA9:BA38)</f>
        <v>212.64999999999998</v>
      </c>
      <c r="BB39" s="589"/>
      <c r="BC39" s="585">
        <f>SUM(BC9:BC38)</f>
        <v>22.5</v>
      </c>
      <c r="BD39" s="585">
        <f>SUM(BD9:BD38)</f>
        <v>0</v>
      </c>
      <c r="BE39" s="585">
        <f>SUM(BE9:BE38)</f>
        <v>4.5</v>
      </c>
      <c r="BF39" s="585">
        <f>SUM(BF9:BF38)</f>
        <v>0</v>
      </c>
      <c r="BQ39" s="587"/>
      <c r="BR39" s="587"/>
      <c r="BS39" s="587"/>
      <c r="BT39" s="587"/>
      <c r="BU39" s="587"/>
      <c r="BV39" s="587"/>
      <c r="BW39" s="587"/>
      <c r="BX39" s="587"/>
      <c r="BY39" s="587"/>
      <c r="BZ39" s="587"/>
      <c r="CA39" s="585">
        <f>SUM(CA9:CA38)</f>
        <v>85.5</v>
      </c>
      <c r="CB39" s="585">
        <f>SUM(CB9:CB38)</f>
        <v>1</v>
      </c>
      <c r="CC39" s="585">
        <f>SUM(CC9:CC38)</f>
        <v>0</v>
      </c>
      <c r="CN39" s="587"/>
      <c r="CO39" s="587"/>
      <c r="CP39" s="587"/>
      <c r="CQ39" s="587"/>
      <c r="CR39" s="587"/>
      <c r="CS39" s="587"/>
      <c r="CT39" s="587"/>
      <c r="CU39" s="587"/>
      <c r="CV39" s="587"/>
      <c r="CW39" s="587"/>
      <c r="CX39" s="590"/>
      <c r="CY39" s="590">
        <f t="shared" ref="CY39:DG39" si="26">SUM(CY9:CY38)</f>
        <v>17</v>
      </c>
      <c r="CZ39" s="590">
        <f t="shared" si="26"/>
        <v>0</v>
      </c>
      <c r="DA39" s="590">
        <f t="shared" si="26"/>
        <v>0</v>
      </c>
      <c r="DB39" s="590">
        <f t="shared" si="26"/>
        <v>0</v>
      </c>
      <c r="DC39" s="590">
        <f t="shared" si="26"/>
        <v>1</v>
      </c>
      <c r="DD39" s="590">
        <f t="shared" si="26"/>
        <v>0</v>
      </c>
      <c r="DE39" s="590">
        <f t="shared" si="26"/>
        <v>5</v>
      </c>
      <c r="DF39" s="590">
        <f t="shared" si="26"/>
        <v>0</v>
      </c>
      <c r="DG39" s="590">
        <f t="shared" si="26"/>
        <v>23</v>
      </c>
    </row>
    <row r="40" spans="1:111" s="435" customFormat="1" ht="17" thickBot="1">
      <c r="A40" s="444"/>
      <c r="B40" s="444"/>
      <c r="C40" s="444"/>
      <c r="D40" s="444"/>
      <c r="E40" s="444"/>
      <c r="F40" s="444"/>
      <c r="G40" s="444"/>
      <c r="H40" s="444"/>
      <c r="I40" s="444"/>
      <c r="J40" s="444"/>
      <c r="K40" s="437"/>
      <c r="L40" s="437"/>
      <c r="M40" s="437"/>
      <c r="N40" s="437"/>
      <c r="O40" s="437"/>
      <c r="P40" s="437"/>
      <c r="Q40" s="437"/>
      <c r="R40" s="437"/>
      <c r="S40" s="437"/>
      <c r="T40" s="437"/>
      <c r="U40" s="437"/>
      <c r="V40" s="437"/>
      <c r="W40" s="437"/>
      <c r="X40" s="437"/>
      <c r="Y40" s="454"/>
      <c r="Z40" s="445"/>
      <c r="AA40" s="446"/>
      <c r="AB40" s="445"/>
      <c r="AC40" s="445"/>
      <c r="AD40" s="446"/>
      <c r="AE40" s="446"/>
      <c r="AF40" s="446"/>
      <c r="AG40" s="446"/>
      <c r="AR40" s="447"/>
      <c r="AS40" s="447"/>
      <c r="AT40" s="447"/>
      <c r="AU40" s="447"/>
      <c r="AV40" s="447"/>
      <c r="AW40" s="447"/>
      <c r="AX40" s="447"/>
      <c r="AY40" s="447"/>
      <c r="AZ40" s="447"/>
      <c r="BA40" s="447"/>
      <c r="BB40" s="447"/>
      <c r="BC40" s="446"/>
      <c r="BD40" s="446"/>
      <c r="BE40" s="446"/>
      <c r="BF40" s="446"/>
      <c r="BG40" s="448"/>
      <c r="BR40" s="447"/>
      <c r="BS40" s="447"/>
      <c r="BT40" s="447"/>
      <c r="BU40" s="447"/>
      <c r="BV40" s="447"/>
      <c r="BW40" s="447"/>
      <c r="BX40" s="447"/>
      <c r="BY40" s="447"/>
      <c r="BZ40" s="447"/>
      <c r="CA40" s="447"/>
      <c r="CB40" s="446"/>
      <c r="CC40" s="446"/>
      <c r="CD40" s="448"/>
      <c r="CO40" s="447"/>
      <c r="CP40" s="447"/>
      <c r="CQ40" s="447"/>
      <c r="CR40" s="447"/>
      <c r="CS40" s="447"/>
      <c r="CT40" s="447"/>
      <c r="CU40" s="447"/>
      <c r="CV40" s="447"/>
      <c r="CW40" s="447"/>
      <c r="CX40" s="458"/>
      <c r="CY40" s="458"/>
    </row>
    <row r="41" spans="1:111" ht="70" customHeight="1">
      <c r="A41" s="1138" t="str">
        <f>"Arbejdstid for "&amp;A7&amp;" måned:"</f>
        <v>Arbejdstid for September måned:</v>
      </c>
      <c r="B41" s="1139"/>
      <c r="C41" s="1139"/>
      <c r="D41" s="1139"/>
      <c r="E41" s="1139"/>
      <c r="F41" s="1139"/>
      <c r="G41" s="1139"/>
      <c r="H41" s="571" t="s">
        <v>303</v>
      </c>
      <c r="I41" s="1139" t="s">
        <v>264</v>
      </c>
      <c r="J41" s="1140"/>
      <c r="K41" s="1141"/>
      <c r="L41" s="472"/>
      <c r="M41" s="1164" t="str">
        <f>"Ulempetimer og weekendtimer i "&amp;A5&amp;":"</f>
        <v>Ulempetimer og weekendtimer i September måneds kalender for: Beate Simonsen. Måneden vedr. normperioden: 01.08.2022 - 31.07.2023.:</v>
      </c>
      <c r="N41" s="1165"/>
      <c r="O41" s="1165"/>
      <c r="P41" s="1165"/>
      <c r="Q41" s="1165"/>
      <c r="R41" s="1165"/>
      <c r="S41" s="1165"/>
      <c r="T41" s="1165"/>
      <c r="U41" s="1165"/>
      <c r="V41" s="1165"/>
      <c r="W41" s="1165"/>
      <c r="X41" s="1166"/>
      <c r="Y41" s="386"/>
      <c r="Z41" s="437"/>
      <c r="AA41" s="437"/>
      <c r="AB41" s="437"/>
      <c r="AG41" s="124"/>
      <c r="AH41" s="124"/>
      <c r="BB41" s="436"/>
      <c r="BO41" s="1"/>
      <c r="CL41" s="1"/>
      <c r="CW41" s="455"/>
      <c r="CX41" s="455"/>
      <c r="CY41"/>
      <c r="CZ41"/>
    </row>
    <row r="42" spans="1:111">
      <c r="A42" s="1105" t="s">
        <v>302</v>
      </c>
      <c r="B42" s="1106"/>
      <c r="C42" s="1106"/>
      <c r="D42" s="1106"/>
      <c r="E42" s="1106"/>
      <c r="F42" s="1106"/>
      <c r="G42" s="1106"/>
      <c r="H42" s="466">
        <f>D66</f>
        <v>22</v>
      </c>
      <c r="I42" s="1107">
        <f>IF(Stamoplysninger!$E$12="Ja",1924/Arbejdstidsoversigt!$K$9*Stamoplysninger!$E$15*$H$42,H42*7.4*Stamoplysninger!$E$13)</f>
        <v>162.17624521072798</v>
      </c>
      <c r="J42" s="1108"/>
      <c r="K42" s="1109"/>
      <c r="L42" s="468"/>
      <c r="M42" s="1167" t="s">
        <v>368</v>
      </c>
      <c r="N42" s="1168"/>
      <c r="O42" s="1168"/>
      <c r="P42" s="1168"/>
      <c r="Q42" s="1168"/>
      <c r="R42" s="1168"/>
      <c r="S42" s="1168"/>
      <c r="T42" s="1168"/>
      <c r="U42" s="1168"/>
      <c r="V42" s="1169">
        <f>M61+S60+T60+M64+M68+M62+N61+N68</f>
        <v>0.75</v>
      </c>
      <c r="W42" s="1169"/>
      <c r="X42" s="1170"/>
      <c r="Y42" s="437"/>
      <c r="Z42" s="437"/>
      <c r="AA42" s="437"/>
      <c r="AB42" s="437"/>
      <c r="AG42" s="124"/>
      <c r="AH42" s="124"/>
      <c r="BB42" s="436"/>
      <c r="BO42" s="1"/>
      <c r="CL42" s="1"/>
      <c r="CW42" s="455"/>
      <c r="CX42" s="455"/>
      <c r="CY42"/>
      <c r="CZ42"/>
    </row>
    <row r="43" spans="1:111">
      <c r="A43" s="1105" t="str">
        <f>"Ferie "&amp;A7&amp;" måned"</f>
        <v>Ferie September måned</v>
      </c>
      <c r="B43" s="1106"/>
      <c r="C43" s="1106"/>
      <c r="D43" s="1106"/>
      <c r="E43" s="1106"/>
      <c r="F43" s="1106"/>
      <c r="G43" s="1106"/>
      <c r="H43" s="467" t="str">
        <f>IF(D61&gt;0,$D$61,"0")</f>
        <v>0</v>
      </c>
      <c r="I43" s="1110">
        <f>H43*7.4*Stamoplysninger!$E$15</f>
        <v>0</v>
      </c>
      <c r="J43" s="1111"/>
      <c r="K43" s="1112"/>
      <c r="L43" s="468"/>
      <c r="M43" s="1171" t="s">
        <v>307</v>
      </c>
      <c r="N43" s="1172"/>
      <c r="O43" s="1172"/>
      <c r="P43" s="1172"/>
      <c r="Q43" s="1172"/>
      <c r="R43" s="1172"/>
      <c r="S43" s="1172"/>
      <c r="T43" s="1172"/>
      <c r="U43" s="1172"/>
      <c r="V43" s="1173">
        <f>M60+S59+T59+M63+M67+M59+N59+N67</f>
        <v>0</v>
      </c>
      <c r="W43" s="1173"/>
      <c r="X43" s="1174"/>
      <c r="Y43" s="437"/>
      <c r="Z43" s="437"/>
      <c r="AA43" s="437"/>
      <c r="AB43" s="437"/>
      <c r="AG43" s="124"/>
      <c r="AH43" s="124"/>
      <c r="BB43" s="436"/>
      <c r="BO43" s="1"/>
      <c r="CL43" s="1"/>
      <c r="CW43" s="455"/>
      <c r="CX43" s="455"/>
      <c r="CY43"/>
      <c r="CZ43"/>
    </row>
    <row r="44" spans="1:111">
      <c r="A44" s="1105" t="str">
        <f>"Søgnehelligdage i "&amp;A7&amp;" måned"</f>
        <v>Søgnehelligdage i September måned</v>
      </c>
      <c r="B44" s="1106"/>
      <c r="C44" s="1106"/>
      <c r="D44" s="1106"/>
      <c r="E44" s="1106"/>
      <c r="F44" s="1106"/>
      <c r="G44" s="1106"/>
      <c r="H44" s="467">
        <f>IF(D60&gt;0,D60,0)</f>
        <v>0</v>
      </c>
      <c r="I44" s="1110">
        <f>H44*7.4*Stamoplysninger!$E$15</f>
        <v>0</v>
      </c>
      <c r="J44" s="1111"/>
      <c r="K44" s="1112"/>
      <c r="L44" s="469"/>
      <c r="M44" s="1175" t="s">
        <v>347</v>
      </c>
      <c r="N44" s="1176"/>
      <c r="O44" s="1176"/>
      <c r="P44" s="1176"/>
      <c r="Q44" s="1176"/>
      <c r="R44" s="1176"/>
      <c r="S44" s="1176"/>
      <c r="T44" s="1176"/>
      <c r="U44" s="1176"/>
      <c r="V44" s="1186">
        <f>August!V56</f>
        <v>0</v>
      </c>
      <c r="W44" s="1186"/>
      <c r="X44" s="1187"/>
      <c r="Y44" s="437"/>
      <c r="Z44" s="437"/>
      <c r="AA44" s="437"/>
      <c r="AB44" s="437"/>
      <c r="AG44" s="124"/>
      <c r="AH44" s="124"/>
      <c r="BB44" s="436"/>
      <c r="BO44" s="1"/>
      <c r="CL44" s="1"/>
      <c r="CW44" s="455"/>
      <c r="CX44" s="455"/>
      <c r="CY44"/>
      <c r="CZ44"/>
    </row>
    <row r="45" spans="1:111">
      <c r="A45" s="1105" t="str">
        <f>"Nettoarbejdstid ialt i "&amp;A7&amp;" måned"</f>
        <v>Nettoarbejdstid ialt i September måned</v>
      </c>
      <c r="B45" s="1106"/>
      <c r="C45" s="1106"/>
      <c r="D45" s="1106"/>
      <c r="E45" s="1106"/>
      <c r="F45" s="1106"/>
      <c r="G45" s="1106"/>
      <c r="H45" s="470">
        <f>H42-H43-H44</f>
        <v>22</v>
      </c>
      <c r="I45" s="1110">
        <f>I42-I43-I44</f>
        <v>162.17624521072798</v>
      </c>
      <c r="J45" s="1111"/>
      <c r="K45" s="1112"/>
      <c r="L45" s="469"/>
      <c r="M45" s="1134" t="s">
        <v>354</v>
      </c>
      <c r="N45" s="1135"/>
      <c r="O45" s="1135"/>
      <c r="P45" s="1135"/>
      <c r="Q45" s="1135"/>
      <c r="R45" s="1135"/>
      <c r="S45" s="1135"/>
      <c r="T45" s="1135"/>
      <c r="U45" s="1135"/>
      <c r="V45" s="1136">
        <f>V43+V44</f>
        <v>0</v>
      </c>
      <c r="W45" s="1136"/>
      <c r="X45" s="1137"/>
      <c r="Y45" s="437"/>
      <c r="Z45" s="437"/>
      <c r="AA45" s="437"/>
      <c r="AB45" s="437"/>
      <c r="AG45" s="124"/>
      <c r="AH45" s="124"/>
      <c r="BB45" s="436"/>
      <c r="BO45" s="1"/>
      <c r="CL45" s="1"/>
      <c r="CW45" s="455"/>
      <c r="CX45" s="455"/>
      <c r="CY45"/>
      <c r="CZ45"/>
    </row>
    <row r="46" spans="1:111">
      <c r="A46" s="1113" t="str">
        <f>"Planlagt arbejdstid efter ovennstående "&amp;A7&amp;" måned kalender"</f>
        <v>Planlagt arbejdstid efter ovennstående September måned kalender</v>
      </c>
      <c r="B46" s="1114"/>
      <c r="C46" s="1114"/>
      <c r="D46" s="1114"/>
      <c r="E46" s="1114"/>
      <c r="F46" s="1114"/>
      <c r="G46" s="1114"/>
      <c r="H46" s="866">
        <f>D52+D53+D54+D55+D56+D57+D58</f>
        <v>23</v>
      </c>
      <c r="I46" s="1115">
        <f>N39+R39-J55</f>
        <v>215.64999999999998</v>
      </c>
      <c r="J46" s="1116"/>
      <c r="K46" s="1117"/>
      <c r="L46" s="469"/>
      <c r="M46" s="1157" t="s">
        <v>345</v>
      </c>
      <c r="N46" s="1158"/>
      <c r="O46" s="1158"/>
      <c r="P46" s="1158"/>
      <c r="Q46" s="1158"/>
      <c r="R46" s="1158"/>
      <c r="S46" s="1158"/>
      <c r="T46" s="1158"/>
      <c r="U46" s="1158"/>
      <c r="V46" s="1158"/>
      <c r="W46" s="1158"/>
      <c r="X46" s="1159"/>
      <c r="Y46" s="437"/>
      <c r="Z46" s="437"/>
      <c r="AA46" s="437"/>
      <c r="AB46" s="437"/>
      <c r="AG46" s="124"/>
      <c r="AH46" s="124"/>
      <c r="BB46" s="436"/>
      <c r="BO46" s="1"/>
      <c r="CL46" s="1"/>
      <c r="CW46" s="455"/>
      <c r="CX46" s="455"/>
      <c r="CY46"/>
      <c r="CZ46"/>
    </row>
    <row r="47" spans="1:111">
      <c r="A47" s="1121" t="str">
        <f>August!A49</f>
        <v>Heraf planlagte weekendtimer til afspadsering, udbetaling eller hvor der er indgået lokalaftale</v>
      </c>
      <c r="B47" s="1122"/>
      <c r="C47" s="1122"/>
      <c r="D47" s="1122"/>
      <c r="E47" s="1122"/>
      <c r="F47" s="1122"/>
      <c r="G47" s="1122"/>
      <c r="H47" s="1123"/>
      <c r="I47" s="1118">
        <f>(M59+M61+M69+M71+M65+M66+M70)*-1</f>
        <v>0</v>
      </c>
      <c r="J47" s="1119"/>
      <c r="K47" s="1120"/>
      <c r="L47" s="465"/>
      <c r="M47" s="1160" t="s">
        <v>633</v>
      </c>
      <c r="N47" s="1161"/>
      <c r="O47" s="1161"/>
      <c r="P47" s="1161"/>
      <c r="Q47" s="1161"/>
      <c r="R47" s="1161"/>
      <c r="S47" s="1161"/>
      <c r="T47" s="1161"/>
      <c r="U47" s="1161"/>
      <c r="V47" s="1162" t="s">
        <v>264</v>
      </c>
      <c r="W47" s="1162"/>
      <c r="X47" s="1163"/>
      <c r="Y47" s="437"/>
      <c r="Z47" s="437"/>
      <c r="AA47" s="437"/>
      <c r="AB47" s="437"/>
      <c r="AG47" s="124"/>
      <c r="AH47" s="124"/>
      <c r="BB47" s="436"/>
      <c r="BO47" s="1"/>
      <c r="CL47" s="1"/>
      <c r="CW47" s="455"/>
      <c r="CX47" s="455"/>
      <c r="CY47"/>
      <c r="CZ47"/>
    </row>
    <row r="48" spans="1:111">
      <c r="A48" s="1126" t="str">
        <f>"Arbejde særligt planlagt for "&amp;A7&amp;" måned efter fanen skemaoplysninger"</f>
        <v>Arbejde særligt planlagt for September måned efter fanen skemaoplysninger</v>
      </c>
      <c r="B48" s="1127"/>
      <c r="C48" s="1127"/>
      <c r="D48" s="1127"/>
      <c r="E48" s="1127"/>
      <c r="F48" s="1127"/>
      <c r="G48" s="1127"/>
      <c r="H48" s="1128"/>
      <c r="I48" s="1116">
        <f>Skemaoplysninger!L67</f>
        <v>0</v>
      </c>
      <c r="J48" s="1124"/>
      <c r="K48" s="1125"/>
      <c r="L48" s="439"/>
      <c r="M48" s="1147"/>
      <c r="N48" s="1148"/>
      <c r="O48" s="1148"/>
      <c r="P48" s="1148"/>
      <c r="Q48" s="1148"/>
      <c r="R48" s="1148"/>
      <c r="S48" s="1148"/>
      <c r="T48" s="1148"/>
      <c r="U48" s="1148"/>
      <c r="V48" s="1149"/>
      <c r="W48" s="1149"/>
      <c r="X48" s="1150"/>
      <c r="Y48" s="454"/>
      <c r="Z48" s="437"/>
      <c r="AB48" s="437"/>
      <c r="AC48" s="437"/>
      <c r="AD48" s="436"/>
      <c r="AG48" s="436"/>
      <c r="AI48" s="124"/>
      <c r="AJ48" s="124"/>
      <c r="BC48" s="437"/>
      <c r="BD48" s="436"/>
      <c r="BQ48" s="1"/>
      <c r="CN48" s="1"/>
      <c r="CX48" s="455"/>
      <c r="CZ48"/>
    </row>
    <row r="49" spans="1:112">
      <c r="A49" s="1142" t="s">
        <v>342</v>
      </c>
      <c r="B49" s="1143"/>
      <c r="C49" s="1143"/>
      <c r="D49" s="1143"/>
      <c r="E49" s="1143"/>
      <c r="F49" s="1143"/>
      <c r="G49" s="1143"/>
      <c r="H49" s="1143"/>
      <c r="I49" s="1144">
        <f>V39+X39-N56</f>
        <v>0</v>
      </c>
      <c r="J49" s="1145"/>
      <c r="K49" s="1146"/>
      <c r="L49" s="439"/>
      <c r="M49" s="1147"/>
      <c r="N49" s="1148"/>
      <c r="O49" s="1148"/>
      <c r="P49" s="1148"/>
      <c r="Q49" s="1148"/>
      <c r="R49" s="1148"/>
      <c r="S49" s="1148"/>
      <c r="T49" s="1148"/>
      <c r="U49" s="1148"/>
      <c r="V49" s="1149"/>
      <c r="W49" s="1149"/>
      <c r="X49" s="1150"/>
      <c r="Y49" s="454"/>
      <c r="Z49" s="437"/>
      <c r="AB49" s="437"/>
      <c r="AC49" s="437"/>
      <c r="AH49" s="124"/>
      <c r="AI49" s="124"/>
      <c r="BC49" s="436"/>
      <c r="BP49" s="1"/>
      <c r="CM49" s="1"/>
      <c r="CX49" s="455"/>
      <c r="CZ49"/>
    </row>
    <row r="50" spans="1:112" ht="17" thickBot="1">
      <c r="A50" s="471" t="str">
        <f>"Faktisk arbejdstid ialt i "&amp;A7&amp;" måned"</f>
        <v>Faktisk arbejdstid ialt i September måned</v>
      </c>
      <c r="B50" s="553"/>
      <c r="C50" s="554"/>
      <c r="D50" s="554"/>
      <c r="E50" s="554"/>
      <c r="F50" s="554"/>
      <c r="G50" s="554"/>
      <c r="H50" s="555"/>
      <c r="I50" s="1129">
        <f>I46+I49+I48+I47</f>
        <v>215.64999999999998</v>
      </c>
      <c r="J50" s="1130"/>
      <c r="K50" s="1131"/>
      <c r="L50" s="439"/>
      <c r="M50" s="1147"/>
      <c r="N50" s="1148"/>
      <c r="O50" s="1148"/>
      <c r="P50" s="1148"/>
      <c r="Q50" s="1148"/>
      <c r="R50" s="1148"/>
      <c r="S50" s="1148"/>
      <c r="T50" s="1148"/>
      <c r="U50" s="1148"/>
      <c r="V50" s="1149"/>
      <c r="W50" s="1149"/>
      <c r="X50" s="1150"/>
      <c r="Y50" s="437"/>
      <c r="Z50" s="437"/>
      <c r="AA50" s="437"/>
      <c r="AB50" s="437"/>
      <c r="AC50" s="387"/>
      <c r="AD50" s="454"/>
      <c r="AE50" s="454"/>
      <c r="AF50" s="454"/>
      <c r="AG50" s="454"/>
      <c r="AH50" s="437"/>
      <c r="AJ50" s="437"/>
      <c r="AK50" s="437"/>
      <c r="AO50" s="124"/>
      <c r="AP50" s="124"/>
      <c r="BJ50" s="436"/>
      <c r="BW50" s="1"/>
      <c r="CT50" s="1"/>
      <c r="CY50"/>
      <c r="CZ50"/>
      <c r="DE50" s="455"/>
      <c r="DF50" s="455"/>
    </row>
    <row r="51" spans="1:112" ht="24" customHeight="1">
      <c r="A51" s="761"/>
      <c r="B51" s="761"/>
      <c r="C51" s="761"/>
      <c r="D51" s="761"/>
      <c r="E51" s="761"/>
      <c r="F51" s="761"/>
      <c r="G51" s="761"/>
      <c r="H51" s="780"/>
      <c r="I51" s="459"/>
      <c r="J51" s="459"/>
      <c r="K51" s="473" t="s">
        <v>343</v>
      </c>
      <c r="L51" s="439"/>
      <c r="M51" s="1147"/>
      <c r="N51" s="1148"/>
      <c r="O51" s="1148"/>
      <c r="P51" s="1148"/>
      <c r="Q51" s="1148"/>
      <c r="R51" s="1148"/>
      <c r="S51" s="1148"/>
      <c r="T51" s="1148"/>
      <c r="U51" s="1148"/>
      <c r="V51" s="1149"/>
      <c r="W51" s="1149"/>
      <c r="X51" s="1150"/>
      <c r="Y51" s="437"/>
      <c r="Z51" s="437"/>
      <c r="AA51" s="437"/>
      <c r="AB51" s="437"/>
      <c r="AC51" s="387"/>
      <c r="AD51" s="454"/>
      <c r="AE51" s="454"/>
      <c r="AF51" s="454"/>
      <c r="AG51" s="454"/>
      <c r="AH51" s="437"/>
      <c r="AJ51" s="437"/>
      <c r="AK51" s="437"/>
      <c r="AO51" s="124"/>
      <c r="AP51" s="124"/>
      <c r="BJ51" s="436"/>
      <c r="BW51" s="1"/>
      <c r="CT51" s="1"/>
      <c r="CY51"/>
      <c r="CZ51"/>
      <c r="DE51" s="455"/>
      <c r="DF51" s="455"/>
    </row>
    <row r="52" spans="1:112">
      <c r="A52" s="683" t="s">
        <v>241</v>
      </c>
      <c r="B52" s="689"/>
      <c r="C52" s="689"/>
      <c r="D52" s="683">
        <f>COUNTIF([0]!SEPTEMBER,"Skema 1")</f>
        <v>17</v>
      </c>
      <c r="E52" s="690"/>
      <c r="F52" s="576" t="s">
        <v>221</v>
      </c>
      <c r="G52" s="576">
        <f>COUNTIFS($B$9:$B$38,"ma",[0]!SEPTEMBER,"Skema 1")</f>
        <v>2</v>
      </c>
      <c r="H52" s="576"/>
      <c r="I52" s="576"/>
      <c r="J52" s="577"/>
      <c r="K52" s="681"/>
      <c r="L52" s="681"/>
      <c r="M52" s="1147"/>
      <c r="N52" s="1148"/>
      <c r="O52" s="1148"/>
      <c r="P52" s="1148"/>
      <c r="Q52" s="1148"/>
      <c r="R52" s="1148"/>
      <c r="S52" s="1148"/>
      <c r="T52" s="1148"/>
      <c r="U52" s="1148"/>
      <c r="V52" s="1149"/>
      <c r="W52" s="1149"/>
      <c r="X52" s="1150"/>
      <c r="Y52" s="437"/>
      <c r="Z52" s="437"/>
      <c r="AA52" s="437"/>
      <c r="AB52" s="437"/>
      <c r="AC52" s="387"/>
      <c r="AD52" s="454"/>
      <c r="AE52" s="454"/>
      <c r="AF52" s="454"/>
      <c r="AG52" s="454"/>
      <c r="AH52" s="437"/>
      <c r="AJ52" s="437"/>
      <c r="AK52" s="437"/>
      <c r="AO52" s="124"/>
      <c r="AP52" s="124"/>
      <c r="BJ52" s="436"/>
      <c r="BW52" s="1"/>
      <c r="CT52" s="1"/>
      <c r="CY52"/>
      <c r="CZ52"/>
      <c r="DE52" s="455"/>
      <c r="DF52" s="455"/>
    </row>
    <row r="53" spans="1:112" ht="15" customHeight="1">
      <c r="A53" s="1188" t="s">
        <v>242</v>
      </c>
      <c r="B53" s="1188"/>
      <c r="C53" s="1188"/>
      <c r="D53" s="683">
        <f>COUNTIF([0]!SEPTEMBER,"Skema 2")</f>
        <v>0</v>
      </c>
      <c r="E53" s="690"/>
      <c r="F53" s="576" t="s">
        <v>222</v>
      </c>
      <c r="G53" s="576">
        <f>COUNTIFS($B$9:$B$38,"ti",[0]!SEPTEMBER,"Skema 1")</f>
        <v>3</v>
      </c>
      <c r="H53" s="576"/>
      <c r="I53" s="576"/>
      <c r="J53" s="577"/>
      <c r="K53" s="681"/>
      <c r="L53" s="681"/>
      <c r="M53" s="1147"/>
      <c r="N53" s="1148"/>
      <c r="O53" s="1148"/>
      <c r="P53" s="1148"/>
      <c r="Q53" s="1148"/>
      <c r="R53" s="1148"/>
      <c r="S53" s="1148"/>
      <c r="T53" s="1148"/>
      <c r="U53" s="1148"/>
      <c r="V53" s="1149"/>
      <c r="W53" s="1149"/>
      <c r="X53" s="1150"/>
      <c r="Y53" s="437"/>
      <c r="Z53" s="437"/>
      <c r="AA53" s="437"/>
      <c r="AB53" s="437"/>
      <c r="AC53" s="387"/>
      <c r="AD53" s="454"/>
      <c r="AE53" s="454"/>
      <c r="AF53" s="454"/>
      <c r="AG53" s="454"/>
      <c r="AH53" s="437"/>
      <c r="AJ53" s="437"/>
      <c r="AK53" s="437"/>
      <c r="AO53" s="124"/>
      <c r="AP53" s="124"/>
      <c r="BJ53" s="436"/>
      <c r="BW53" s="1"/>
      <c r="CT53" s="1"/>
      <c r="CY53"/>
      <c r="CZ53"/>
      <c r="DE53" s="455"/>
      <c r="DF53" s="455"/>
    </row>
    <row r="54" spans="1:112" ht="17" thickBot="1">
      <c r="A54" s="1188" t="s">
        <v>243</v>
      </c>
      <c r="B54" s="1188"/>
      <c r="C54" s="1188"/>
      <c r="D54" s="683">
        <f>COUNTIF([0]!SEPTEMBER,"Skema 3")</f>
        <v>0</v>
      </c>
      <c r="E54" s="690"/>
      <c r="F54" s="576" t="s">
        <v>223</v>
      </c>
      <c r="G54" s="576">
        <f>COUNTIFS($B$9:$B$38,"on",[0]!SEPTEMBER,"Skema 1")</f>
        <v>3</v>
      </c>
      <c r="H54" s="576"/>
      <c r="I54" s="576"/>
      <c r="J54" s="577"/>
      <c r="K54" s="681"/>
      <c r="L54" s="578"/>
      <c r="M54" s="1151" t="s">
        <v>346</v>
      </c>
      <c r="N54" s="1152"/>
      <c r="O54" s="1152"/>
      <c r="P54" s="1152"/>
      <c r="Q54" s="1152"/>
      <c r="R54" s="1152"/>
      <c r="S54" s="1152"/>
      <c r="T54" s="1152"/>
      <c r="U54" s="1153"/>
      <c r="V54" s="1154">
        <f>V45-SUM(V48:W53)</f>
        <v>0</v>
      </c>
      <c r="W54" s="1155"/>
      <c r="X54" s="1156"/>
      <c r="Y54" s="437"/>
      <c r="Z54" s="437"/>
      <c r="AA54" s="437"/>
      <c r="AB54" s="437"/>
      <c r="AC54" s="387"/>
      <c r="AD54" s="454"/>
      <c r="AE54" s="454"/>
      <c r="AF54" s="454"/>
      <c r="AG54" s="454"/>
      <c r="AH54" s="437"/>
      <c r="AJ54" s="437"/>
      <c r="AK54" s="437"/>
      <c r="AO54" s="124"/>
      <c r="AP54" s="124"/>
      <c r="BJ54" s="436"/>
      <c r="BW54" s="1"/>
      <c r="CT54" s="1"/>
      <c r="CY54"/>
      <c r="CZ54"/>
      <c r="DE54" s="455"/>
      <c r="DF54" s="455"/>
    </row>
    <row r="55" spans="1:112" hidden="1">
      <c r="A55" s="1188" t="s">
        <v>244</v>
      </c>
      <c r="B55" s="1188"/>
      <c r="C55" s="1188"/>
      <c r="D55" s="683">
        <f>COUNTIF([0]!SEPTEMBER,"Skema 4")</f>
        <v>0</v>
      </c>
      <c r="E55" s="690"/>
      <c r="F55" s="576" t="s">
        <v>225</v>
      </c>
      <c r="G55" s="576">
        <f>COUNTIFS($B$9:$B$38,"to",[0]!SEPTEMBER,"Skema 1")</f>
        <v>4</v>
      </c>
      <c r="H55" s="576"/>
      <c r="I55" s="883" t="s">
        <v>618</v>
      </c>
      <c r="J55" s="88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55" s="45"/>
      <c r="L55" s="578"/>
      <c r="M55" s="761" t="s">
        <v>378</v>
      </c>
      <c r="N55" s="761" t="s">
        <v>482</v>
      </c>
      <c r="O55" s="465"/>
      <c r="P55" s="465"/>
      <c r="Q55" s="465"/>
      <c r="R55" s="465"/>
      <c r="S55" s="465"/>
      <c r="T55" s="465"/>
      <c r="U55" s="465"/>
      <c r="V55" s="465"/>
      <c r="W55" s="465"/>
      <c r="X55" s="465"/>
      <c r="Y55" s="437"/>
      <c r="Z55" s="437"/>
      <c r="AA55" s="437"/>
      <c r="AB55" s="437"/>
      <c r="AC55" s="437"/>
      <c r="AD55" s="387"/>
      <c r="AE55" s="454"/>
      <c r="AF55" s="454"/>
      <c r="AG55" s="454"/>
      <c r="AH55" s="454"/>
      <c r="AI55" s="437"/>
      <c r="AK55" s="437"/>
      <c r="AL55" s="437"/>
      <c r="AP55" s="124"/>
      <c r="AQ55" s="124"/>
      <c r="BK55" s="436"/>
      <c r="BX55" s="1"/>
      <c r="CU55" s="1"/>
      <c r="CY55"/>
      <c r="CZ55"/>
      <c r="DF55" s="455"/>
      <c r="DG55" s="455"/>
    </row>
    <row r="56" spans="1:112" hidden="1">
      <c r="A56" s="683" t="s">
        <v>117</v>
      </c>
      <c r="B56" s="683"/>
      <c r="C56" s="683"/>
      <c r="D56" s="683">
        <f>COUNTIF([0]!SEPTEMBER,"Fagdag")+COUNTIF([0]!SEPTEMBER,"emnedag")</f>
        <v>1</v>
      </c>
      <c r="E56" s="690"/>
      <c r="F56" s="576" t="s">
        <v>224</v>
      </c>
      <c r="G56" s="576">
        <f>COUNTIFS($B$9:$B$38,"fr",[0]!SEPTEMBER,"Skema 1")</f>
        <v>4</v>
      </c>
      <c r="H56" s="576"/>
      <c r="I56" s="578" t="s">
        <v>380</v>
      </c>
      <c r="J56" s="577"/>
      <c r="K56" s="578"/>
      <c r="L56" s="45"/>
      <c r="M56" s="754">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56" s="754">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56" s="754"/>
      <c r="P56" s="581"/>
      <c r="Q56" s="757" t="s">
        <v>382</v>
      </c>
      <c r="R56" s="459"/>
      <c r="S56" s="459"/>
      <c r="T56" s="459" t="s">
        <v>383</v>
      </c>
      <c r="U56" s="459"/>
      <c r="V56" s="459"/>
      <c r="W56" s="582"/>
      <c r="X56" s="582"/>
      <c r="Y56" s="582"/>
      <c r="Z56" s="437"/>
      <c r="AA56" s="437"/>
      <c r="AB56" s="437"/>
      <c r="AC56" s="437"/>
      <c r="AD56" s="437"/>
      <c r="AE56" s="387"/>
      <c r="AF56" s="387"/>
      <c r="AG56" s="454"/>
      <c r="AH56" s="454"/>
      <c r="AI56" s="454"/>
      <c r="AJ56" s="437"/>
      <c r="AL56" s="437"/>
      <c r="AM56" s="437"/>
      <c r="AQ56" s="124"/>
      <c r="AR56" s="124"/>
      <c r="BL56" s="436"/>
      <c r="BY56" s="1"/>
      <c r="CV56" s="1"/>
      <c r="CY56"/>
      <c r="CZ56"/>
      <c r="DG56" s="455"/>
      <c r="DH56" s="455"/>
    </row>
    <row r="57" spans="1:112" hidden="1">
      <c r="A57" s="691" t="s">
        <v>116</v>
      </c>
      <c r="B57" s="683"/>
      <c r="C57" s="683"/>
      <c r="D57" s="683">
        <f>COUNTIF([0]!SEPTEMBER,"Lejrskole")+COUNTIF([0]!SEPTEMBER,"Ekskursion")</f>
        <v>5</v>
      </c>
      <c r="E57" s="690"/>
      <c r="F57" s="576"/>
      <c r="G57" s="576"/>
      <c r="H57" s="576"/>
      <c r="I57" s="578" t="s">
        <v>394</v>
      </c>
      <c r="J57" s="577"/>
      <c r="K57" s="578"/>
      <c r="L57" s="45"/>
      <c r="M57" s="754">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57" s="754">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57" s="755">
        <v>0.5</v>
      </c>
      <c r="P57" s="581"/>
      <c r="Q57" s="757" t="s">
        <v>379</v>
      </c>
      <c r="R57" s="459"/>
      <c r="S57" s="459"/>
      <c r="T57" s="459"/>
      <c r="U57" s="459"/>
      <c r="V57" s="459"/>
      <c r="W57" s="582"/>
      <c r="X57" s="582"/>
      <c r="Y57" s="582"/>
      <c r="Z57" s="437"/>
      <c r="AA57" s="437"/>
      <c r="AB57" s="437"/>
      <c r="AC57" s="437"/>
      <c r="AD57" s="437"/>
      <c r="AE57" s="387"/>
      <c r="AF57" s="387"/>
      <c r="AG57" s="454"/>
      <c r="AH57" s="454"/>
      <c r="AI57" s="454"/>
      <c r="AJ57" s="437"/>
      <c r="AL57" s="437"/>
      <c r="AM57" s="437"/>
      <c r="AQ57" s="124"/>
      <c r="AR57" s="124"/>
      <c r="BL57" s="436"/>
      <c r="BY57" s="1"/>
      <c r="CV57" s="1"/>
      <c r="CY57"/>
      <c r="CZ57"/>
      <c r="DG57" s="455"/>
      <c r="DH57" s="455"/>
    </row>
    <row r="58" spans="1:112" hidden="1">
      <c r="A58" s="683" t="s">
        <v>115</v>
      </c>
      <c r="B58" s="683"/>
      <c r="C58" s="683"/>
      <c r="D58" s="683">
        <f>COUNTIF([0]!SEPTEMBER,"Pæd.dag")</f>
        <v>0</v>
      </c>
      <c r="E58" s="690"/>
      <c r="F58" s="576" t="s">
        <v>226</v>
      </c>
      <c r="G58" s="576">
        <f>COUNTIFS($B$9:$B$38,"ma",[0]!SEPTEMBER,"Skema 2")</f>
        <v>0</v>
      </c>
      <c r="H58" s="576"/>
      <c r="I58" s="576" t="s">
        <v>393</v>
      </c>
      <c r="J58" s="577"/>
      <c r="K58" s="45"/>
      <c r="L58" s="45"/>
      <c r="M58" s="754">
        <f>SUM(M56:M57)</f>
        <v>0</v>
      </c>
      <c r="N58" s="754">
        <f>SUM(N56:N57)</f>
        <v>0</v>
      </c>
      <c r="O58" s="756">
        <f>(M58+N58)/2</f>
        <v>0</v>
      </c>
      <c r="P58" s="581">
        <f>SUM(M58:O58)</f>
        <v>0</v>
      </c>
      <c r="Q58" s="757">
        <f>(M58+N58)*25%</f>
        <v>0</v>
      </c>
      <c r="R58" s="459"/>
      <c r="S58" s="459"/>
      <c r="T58" s="459"/>
      <c r="U58" s="459"/>
      <c r="V58" s="459"/>
      <c r="W58" s="582"/>
      <c r="X58" s="582"/>
      <c r="Y58" s="582"/>
      <c r="Z58" s="437"/>
      <c r="AA58" s="437"/>
      <c r="AB58" s="437"/>
      <c r="AC58" s="437"/>
      <c r="AD58" s="437"/>
      <c r="AE58" s="387"/>
      <c r="AF58" s="387"/>
      <c r="AG58" s="454"/>
      <c r="AH58" s="454"/>
      <c r="AI58" s="454"/>
      <c r="AJ58" s="437"/>
      <c r="AL58" s="437"/>
      <c r="AM58" s="437"/>
      <c r="AQ58" s="124"/>
      <c r="AR58" s="124"/>
      <c r="BL58" s="436"/>
      <c r="BY58" s="1"/>
      <c r="CV58" s="1"/>
      <c r="CY58"/>
      <c r="CZ58"/>
      <c r="DG58" s="455"/>
      <c r="DH58" s="455"/>
    </row>
    <row r="59" spans="1:112" ht="16" hidden="1" customHeight="1">
      <c r="A59" s="683" t="s">
        <v>138</v>
      </c>
      <c r="B59" s="683"/>
      <c r="C59" s="683"/>
      <c r="D59" s="683">
        <f>COUNTIF([0]!SEPTEMBER,"Weekend")</f>
        <v>7</v>
      </c>
      <c r="E59" s="690"/>
      <c r="F59" s="576" t="s">
        <v>227</v>
      </c>
      <c r="G59" s="576">
        <f>COUNTIFS($B$9:$B$38,"ti",[0]!SEPTEMBER,"Skema 2")</f>
        <v>0</v>
      </c>
      <c r="H59" s="576"/>
      <c r="I59" s="576" t="s">
        <v>564</v>
      </c>
      <c r="J59" s="577"/>
      <c r="K59" s="45"/>
      <c r="L59" s="45"/>
      <c r="M59" s="858">
        <f>IF(Stamoplysninger!$B$26="Weekendtimer og weekendtillæg afspadseres.",M56,0)</f>
        <v>0</v>
      </c>
      <c r="N59" s="858">
        <f>IF(Stamoplysninger!$B$26="Weekendtimer og weekendtillæg afspadseres.",N56,0)</f>
        <v>0</v>
      </c>
      <c r="O59" s="754"/>
      <c r="P59" s="581"/>
      <c r="Q59" s="757" t="s">
        <v>384</v>
      </c>
      <c r="R59" s="459"/>
      <c r="S59" s="459">
        <f>IF(Stamoplysninger!B22="Ulempetillæg afspadseres med 25%(Kræver en aftale imellem ledelsen og den ansatte)",Q58,0)</f>
        <v>0</v>
      </c>
      <c r="T59" s="459">
        <f>IF(Stamoplysninger!B22="Ulempetillæg afspadseres med 25%(Kræver en aftale imellem ledelsen og den ansatte)",(R39+X39)*0.25,0)</f>
        <v>0</v>
      </c>
      <c r="U59" s="459"/>
      <c r="V59" s="459"/>
      <c r="W59" s="582"/>
      <c r="X59" s="582"/>
      <c r="Y59" s="582"/>
      <c r="Z59"/>
      <c r="AB59" s="436"/>
      <c r="AP59" s="1"/>
      <c r="BM59" s="1"/>
      <c r="BX59" s="455"/>
      <c r="BY59" s="455"/>
      <c r="CY59"/>
      <c r="CZ59"/>
    </row>
    <row r="60" spans="1:112" ht="16" hidden="1" customHeight="1">
      <c r="A60" s="683" t="s">
        <v>146</v>
      </c>
      <c r="B60" s="683"/>
      <c r="C60" s="683"/>
      <c r="D60" s="683">
        <f>COUNTIF([0]!SEPTEMBER,"SH-dag")</f>
        <v>0</v>
      </c>
      <c r="E60" s="690"/>
      <c r="F60" s="576" t="s">
        <v>228</v>
      </c>
      <c r="G60" s="576">
        <f>COUNTIFS($B$9:$B$38,"on",[0]!SEPTEMBER,"Skema 2")</f>
        <v>0</v>
      </c>
      <c r="H60" s="576"/>
      <c r="I60" s="854" t="s">
        <v>565</v>
      </c>
      <c r="J60" s="854"/>
      <c r="K60" s="854"/>
      <c r="L60" s="854"/>
      <c r="M60" s="858">
        <f>IF(Stamoplysninger!$B$26="Weekendtimer og weekendtillæg afspadseres.",O58,0)</f>
        <v>0</v>
      </c>
      <c r="N60" s="858">
        <f>IF(Stamoplysninger!$B$26="Weekendtimer og weekendtillæg afspadseres.",O58,0)</f>
        <v>0</v>
      </c>
      <c r="O60" s="754"/>
      <c r="P60" s="581"/>
      <c r="Q60" s="757" t="s">
        <v>381</v>
      </c>
      <c r="R60" s="459"/>
      <c r="S60" s="459">
        <f>IF(Stamoplysninger!B22="Ulempetillæg udbetales med 25% af nettotimelønnen.",Q58,0)</f>
        <v>0</v>
      </c>
      <c r="T60" s="459">
        <f>IF(Stamoplysninger!B22="Ulempetillæg udbetales med 25% af nettotimelønnen.",(R39+X39)*0.25,0)</f>
        <v>0.75</v>
      </c>
      <c r="U60" s="459"/>
      <c r="V60" s="459"/>
      <c r="W60" s="582"/>
      <c r="X60" s="582"/>
      <c r="Y60" s="582"/>
      <c r="Z60"/>
      <c r="AB60" s="436"/>
      <c r="AP60" s="1"/>
      <c r="BM60" s="1"/>
      <c r="BX60" s="455"/>
      <c r="BY60" s="455"/>
      <c r="CY60"/>
      <c r="CZ60"/>
    </row>
    <row r="61" spans="1:112" ht="16" hidden="1" customHeight="1">
      <c r="A61" s="683" t="s">
        <v>114</v>
      </c>
      <c r="B61" s="683"/>
      <c r="C61" s="683"/>
      <c r="D61" s="683">
        <f>COUNTIF([0]!SEPTEMBER,"Feriedag")</f>
        <v>0</v>
      </c>
      <c r="E61" s="690"/>
      <c r="F61" s="576" t="s">
        <v>229</v>
      </c>
      <c r="G61" s="576">
        <f>COUNTIFS($B$9:$B$38,"to",[0]!SEPTEMBER,"Skema 2")</f>
        <v>0</v>
      </c>
      <c r="H61" s="576"/>
      <c r="I61" s="854" t="s">
        <v>566</v>
      </c>
      <c r="J61" s="854"/>
      <c r="K61" s="854"/>
      <c r="L61" s="854"/>
      <c r="M61" s="859">
        <f>IF(Stamoplysninger!$B$26="Weekendtimer og weekendtillæg udbetales.",M56,0)</f>
        <v>0</v>
      </c>
      <c r="N61" s="859">
        <f>IF(Stamoplysninger!$B$26="Weekendtimer og weekendtillæg udbetales.",N56,0)</f>
        <v>0</v>
      </c>
      <c r="O61" s="754"/>
      <c r="P61" s="581"/>
      <c r="Q61" s="757"/>
      <c r="R61" s="459"/>
      <c r="S61" s="459"/>
      <c r="T61" s="459"/>
      <c r="U61" s="459"/>
      <c r="V61" s="459"/>
      <c r="W61" s="582"/>
      <c r="X61" s="582"/>
      <c r="Y61" s="582"/>
      <c r="Z61"/>
      <c r="AB61" s="436"/>
      <c r="AP61" s="1"/>
      <c r="BM61" s="1"/>
      <c r="BX61" s="455"/>
      <c r="BY61" s="455"/>
      <c r="CY61"/>
      <c r="CZ61"/>
    </row>
    <row r="62" spans="1:112" ht="16" hidden="1" customHeight="1">
      <c r="A62" s="683" t="s">
        <v>210</v>
      </c>
      <c r="B62" s="683"/>
      <c r="C62" s="683"/>
      <c r="D62" s="683">
        <f>COUNTIF([0]!SEPTEMBER,"Nul-dag")</f>
        <v>0</v>
      </c>
      <c r="E62" s="690"/>
      <c r="F62" s="576" t="s">
        <v>230</v>
      </c>
      <c r="G62" s="576">
        <f>COUNTIFS($B$9:$B$38,"fr",[0]!SEPTEMBER,"Skema 2")</f>
        <v>0</v>
      </c>
      <c r="H62" s="576"/>
      <c r="I62" s="854" t="s">
        <v>567</v>
      </c>
      <c r="J62" s="854"/>
      <c r="K62" s="854"/>
      <c r="L62" s="854"/>
      <c r="M62" s="859">
        <f>IF(Stamoplysninger!$B$26="Weekendtimer og weekendtillæg udbetales.",O58,0)</f>
        <v>0</v>
      </c>
      <c r="N62" s="859">
        <f>IF(Stamoplysninger!$B$26="Weekendtimer og weekendtillæg udbetales.",O58,0)</f>
        <v>0</v>
      </c>
      <c r="O62" s="754"/>
      <c r="P62" s="581"/>
      <c r="Q62" s="757"/>
      <c r="R62" s="459"/>
      <c r="S62" s="459"/>
      <c r="T62" s="459"/>
      <c r="U62" s="459"/>
      <c r="V62" s="459"/>
      <c r="W62" s="582"/>
      <c r="X62" s="582"/>
      <c r="Y62" s="582"/>
      <c r="Z62"/>
      <c r="AB62" s="436"/>
      <c r="AP62" s="1"/>
      <c r="BM62" s="1"/>
      <c r="BX62" s="455"/>
      <c r="BY62" s="455"/>
      <c r="CY62"/>
      <c r="CZ62"/>
    </row>
    <row r="63" spans="1:112" ht="16" hidden="1" customHeight="1">
      <c r="A63" s="841" t="s">
        <v>505</v>
      </c>
      <c r="B63" s="683"/>
      <c r="C63" s="683"/>
      <c r="D63" s="683">
        <f>COUNTIF([0]!SEPTEMBER,"Orlov")</f>
        <v>0</v>
      </c>
      <c r="E63" s="690"/>
      <c r="F63" s="692"/>
      <c r="G63" s="692"/>
      <c r="H63" s="692"/>
      <c r="I63" s="854" t="s">
        <v>385</v>
      </c>
      <c r="J63" s="854"/>
      <c r="K63" s="854"/>
      <c r="L63" s="854"/>
      <c r="M63" s="860">
        <f>IF(Stamoplysninger!$B$26="Der er indgået lokalaftale omkring weekendtimer.(Kræver aftale med TR/FSL) Weekendtillæg afspadseres.",O58,0)</f>
        <v>0</v>
      </c>
      <c r="N63" s="860">
        <f>IF(Stamoplysninger!$B$26="Der er indgået lokalaftale omkring weekendtimer.(Kræver aftale med TR/FSL) Weekendtillæg afspadseres.",N56,0)</f>
        <v>0</v>
      </c>
      <c r="O63" s="754"/>
      <c r="P63" s="581"/>
      <c r="Q63" s="757"/>
      <c r="R63" s="459"/>
      <c r="S63" s="459"/>
      <c r="T63" s="459"/>
      <c r="U63" s="459"/>
      <c r="V63" s="459"/>
      <c r="W63" s="582"/>
      <c r="X63" s="582"/>
      <c r="Y63" s="582"/>
      <c r="Z63"/>
      <c r="AP63" s="1"/>
      <c r="BM63" s="1"/>
      <c r="BX63" s="455"/>
      <c r="BY63" s="455"/>
      <c r="CY63"/>
      <c r="CZ63"/>
    </row>
    <row r="64" spans="1:112" ht="16" hidden="1" customHeight="1">
      <c r="A64" s="683" t="s">
        <v>185</v>
      </c>
      <c r="B64" s="683"/>
      <c r="C64" s="683"/>
      <c r="D64" s="683">
        <f>COUNTIF([0]!SEPTEMBER,"Ikke relevant")</f>
        <v>0</v>
      </c>
      <c r="E64" s="690"/>
      <c r="F64" s="576" t="s">
        <v>231</v>
      </c>
      <c r="G64" s="576">
        <f>COUNTIFS($B$9:$B$38,"ma",[0]!SEPTEMBER,"Skema 3")</f>
        <v>0</v>
      </c>
      <c r="H64" s="576">
        <v>1</v>
      </c>
      <c r="I64" s="854" t="s">
        <v>386</v>
      </c>
      <c r="J64" s="854"/>
      <c r="K64" s="854"/>
      <c r="L64" s="854"/>
      <c r="M64" s="860">
        <f>IF(Stamoplysninger!$B$26="Der er indgået lokalaftale omkring weekendtimer(Kræver aftale med TR/FSL). Weekendtillæg udbetales.",O58,0)</f>
        <v>0</v>
      </c>
      <c r="N64" s="860">
        <f>IF(Stamoplysninger!$B$26="Der er indgået lokalaftale omkring weekendtimer(Kræver aftale med TR/FSL). Weekendtillæg udbetales.",N56,0)</f>
        <v>0</v>
      </c>
      <c r="O64" s="754"/>
      <c r="P64" s="581"/>
      <c r="Q64" s="757"/>
      <c r="R64" s="459"/>
      <c r="S64" s="459"/>
      <c r="T64" s="459"/>
      <c r="U64" s="459"/>
      <c r="V64" s="459"/>
      <c r="W64" s="582"/>
      <c r="X64" s="582"/>
      <c r="Y64" s="582"/>
      <c r="Z64"/>
      <c r="AP64" s="1"/>
      <c r="BM64" s="1"/>
      <c r="BX64" s="455"/>
      <c r="BY64" s="455"/>
      <c r="CY64"/>
      <c r="CZ64"/>
    </row>
    <row r="65" spans="1:104" hidden="1">
      <c r="A65" s="683" t="s">
        <v>113</v>
      </c>
      <c r="B65" s="683"/>
      <c r="C65" s="683"/>
      <c r="D65" s="693">
        <f>SUM(D52:D64)</f>
        <v>30</v>
      </c>
      <c r="E65" s="693"/>
      <c r="F65" s="576" t="s">
        <v>232</v>
      </c>
      <c r="G65" s="576">
        <f>COUNTIFS($B$9:$B$38,"ti",[0]!SEPTEMBER,"Skema 3")</f>
        <v>0</v>
      </c>
      <c r="H65" s="576">
        <v>2</v>
      </c>
      <c r="I65" s="854" t="s">
        <v>569</v>
      </c>
      <c r="J65" s="854"/>
      <c r="K65" s="854"/>
      <c r="L65" s="854"/>
      <c r="M65" s="860">
        <f>IF(Stamoplysninger!$B$26="Der er indgået lokalaftale omkring weekendtimer.(Kræver aftale med TR/FSL) Weekendtillæg afspadseres.",M56,0)</f>
        <v>0</v>
      </c>
      <c r="N65" s="860">
        <f>IF(Stamoplysninger!$B$26="Der er indgået lokalaftale omkring weekendtimer.(Kræver aftale med TR/FSL) Weekendtillæg afspadseres.",O58,0)</f>
        <v>0</v>
      </c>
      <c r="O65" s="45"/>
      <c r="P65" s="45"/>
      <c r="Q65" s="45"/>
      <c r="R65" s="45"/>
      <c r="S65" s="45"/>
      <c r="T65" s="45"/>
      <c r="U65" s="580"/>
      <c r="V65" s="180"/>
      <c r="W65" s="580"/>
      <c r="X65" s="580"/>
      <c r="Y65"/>
      <c r="Z65"/>
      <c r="AO65" s="1"/>
      <c r="BL65" s="1"/>
      <c r="BW65" s="455"/>
      <c r="BX65" s="455"/>
      <c r="CY65"/>
      <c r="CZ65"/>
    </row>
    <row r="66" spans="1:104" hidden="1">
      <c r="A66" s="683" t="s">
        <v>282</v>
      </c>
      <c r="B66" s="683"/>
      <c r="C66" s="683"/>
      <c r="D66" s="693">
        <f>D65-D59-A75-D64</f>
        <v>22</v>
      </c>
      <c r="E66" s="695"/>
      <c r="F66" s="576" t="s">
        <v>233</v>
      </c>
      <c r="G66" s="576">
        <f>COUNTIFS($B$9:$B$38,"on",[0]!SEPTEMBER,"Skema 3")</f>
        <v>0</v>
      </c>
      <c r="H66" s="576"/>
      <c r="I66" s="854" t="s">
        <v>570</v>
      </c>
      <c r="J66" s="854"/>
      <c r="K66" s="854"/>
      <c r="L66" s="854"/>
      <c r="M66" s="860">
        <f>IF(Stamoplysninger!$B$26="Der er indgået lokalaftale omkring weekendtimer(Kræver aftale med TR/FSL). Weekendtillæg udbetales.",M56,0)</f>
        <v>0</v>
      </c>
      <c r="N66" s="860">
        <f>IF(Stamoplysninger!$B$26="Der er indgået lokalaftale omkring weekendtimer(Kræver aftale med TR/FSL). Weekendtillæg udbetales.",O58,0)</f>
        <v>0</v>
      </c>
      <c r="O66" s="580"/>
      <c r="P66" s="580"/>
      <c r="Q66" s="580"/>
      <c r="R66" s="580"/>
      <c r="S66" s="580"/>
      <c r="T66" s="580"/>
      <c r="U66" s="580"/>
      <c r="V66" s="580"/>
      <c r="W66" s="580"/>
      <c r="X66" s="580"/>
      <c r="Y66"/>
      <c r="Z66"/>
      <c r="AO66" s="1"/>
      <c r="BL66" s="1"/>
      <c r="BW66" s="455"/>
      <c r="BX66" s="455"/>
      <c r="CY66"/>
      <c r="CZ66"/>
    </row>
    <row r="67" spans="1:104" hidden="1">
      <c r="A67" s="576"/>
      <c r="B67" s="576"/>
      <c r="C67" s="576"/>
      <c r="D67" s="694"/>
      <c r="E67" s="576"/>
      <c r="F67" s="576" t="s">
        <v>234</v>
      </c>
      <c r="G67" s="576">
        <f>COUNTIFS($B$9:$B$38,"to",[0]!SEPTEMBER,"Skema 3")</f>
        <v>0</v>
      </c>
      <c r="H67" s="576"/>
      <c r="I67" s="854" t="s">
        <v>387</v>
      </c>
      <c r="J67" s="854"/>
      <c r="K67" s="854"/>
      <c r="L67" s="854"/>
      <c r="M67" s="862">
        <f>IF(Stamoplysninger!$B$26="Der er indgået lokalaftale omkring weekendtillæg(Kræver aftale med TR/FSL). Weekendtimerne afspadseres.",M56,0)</f>
        <v>0</v>
      </c>
      <c r="N67" s="862">
        <f>IF(Stamoplysninger!$B$26="Der er indgået lokalaftale omkring weekendtillæg(Kræver aftale med TR/FSL). Weekendtimerne afspadseres.",N56,0)</f>
        <v>0</v>
      </c>
      <c r="O67" s="580"/>
      <c r="P67" s="580"/>
      <c r="Q67" s="580"/>
      <c r="R67" s="580"/>
      <c r="S67" s="580"/>
      <c r="T67" s="580"/>
      <c r="U67" s="580"/>
      <c r="V67" s="580"/>
      <c r="W67" s="580"/>
      <c r="X67" s="580"/>
      <c r="Y67"/>
      <c r="Z67"/>
      <c r="AO67" s="1"/>
      <c r="BL67" s="1"/>
      <c r="BW67" s="455"/>
      <c r="BX67" s="455"/>
      <c r="CY67"/>
      <c r="CZ67"/>
    </row>
    <row r="68" spans="1:104" hidden="1">
      <c r="A68" s="576"/>
      <c r="B68" s="576"/>
      <c r="C68" s="576"/>
      <c r="D68" s="694"/>
      <c r="E68" s="576"/>
      <c r="F68" s="576" t="s">
        <v>235</v>
      </c>
      <c r="G68" s="576">
        <f>COUNTIFS($B$9:$B$38,"fr",[0]!SEPTEMBER,"Skema 3")</f>
        <v>0</v>
      </c>
      <c r="H68" s="576">
        <v>1</v>
      </c>
      <c r="I68" s="854" t="s">
        <v>388</v>
      </c>
      <c r="J68" s="854"/>
      <c r="K68" s="854"/>
      <c r="L68" s="854"/>
      <c r="M68" s="862">
        <f>IF(Stamoplysninger!$B$26="Der er indgået lokalaftale omkring weekendtillæg(Kræver aftale med TR/FSL). Weekendtimerne udbetales.",M56,0)</f>
        <v>0</v>
      </c>
      <c r="N68" s="862">
        <f>IF(Stamoplysninger!$B$26="Der er indgået lokalaftale omkring weekendtillæg(Kræver aftale med TR/FSL). Weekendtimerne udbetales.",N56,0)</f>
        <v>0</v>
      </c>
      <c r="O68" s="580"/>
      <c r="P68" s="580"/>
      <c r="Q68" s="580"/>
      <c r="R68" s="580"/>
      <c r="S68" s="580"/>
      <c r="T68" s="580"/>
      <c r="U68" s="580"/>
      <c r="V68" s="580"/>
      <c r="W68" s="580"/>
      <c r="X68" s="580"/>
      <c r="Y68"/>
      <c r="Z68"/>
      <c r="AO68" s="1"/>
      <c r="BL68" s="1"/>
      <c r="BW68" s="455"/>
      <c r="BX68" s="455"/>
      <c r="CY68"/>
      <c r="CZ68"/>
    </row>
    <row r="69" spans="1:104" hidden="1">
      <c r="A69" s="576" t="s">
        <v>344</v>
      </c>
      <c r="B69" s="576"/>
      <c r="C69" s="576"/>
      <c r="D69" s="694"/>
      <c r="E69" s="694"/>
      <c r="F69" s="576"/>
      <c r="G69" s="576"/>
      <c r="H69" s="576">
        <v>2</v>
      </c>
      <c r="I69" s="854" t="s">
        <v>571</v>
      </c>
      <c r="J69" s="854"/>
      <c r="K69" s="854"/>
      <c r="L69" s="854"/>
      <c r="M69" s="862">
        <f>IF(Stamoplysninger!$B$26="Der er indgået lokalaftale omkring weekendtillæg(Kræver aftale med TR/FSL). Weekendtimerne afspadseres.",M56,0)</f>
        <v>0</v>
      </c>
      <c r="N69" s="862">
        <f>IF(Stamoplysninger!$B$26="Der er indgået lokalaftale omkring weekendtillæg(Kræver aftale med TR/FSL). Weekendtimerne afspadseres.",N56,0)</f>
        <v>0</v>
      </c>
      <c r="O69" s="580"/>
      <c r="P69" s="580"/>
      <c r="Q69" s="580"/>
      <c r="R69" s="580"/>
      <c r="S69" s="580"/>
      <c r="T69" s="580"/>
      <c r="U69" s="580"/>
      <c r="V69" s="580"/>
      <c r="W69" s="580"/>
      <c r="X69" s="580"/>
      <c r="Y69"/>
      <c r="Z69"/>
      <c r="AO69" s="1"/>
      <c r="BL69" s="1"/>
      <c r="BW69" s="455"/>
      <c r="BX69" s="455"/>
      <c r="CY69"/>
      <c r="CZ69"/>
    </row>
    <row r="70" spans="1:104" hidden="1">
      <c r="A70" s="576">
        <f>COUNTIF($C$11:$C$12,"Skema 1")+COUNTIF($C$11:$C$12,"Skema 2")+COUNTIF($C$11:$C$12,"Skema 3")+COUNTIF($C$11:$C$12,"Skema 4")+COUNTIF($C$11:$C$12,"Fagdag")+COUNTIF($C$11:$C$12,"Emnedag")+COUNTIF($C$11:$C$12,"Lejrskole")+COUNTIF($C$11:$C$12,"Ekskursion")+COUNTIF($C$11:$C$12,"Pæd.dag")</f>
        <v>0</v>
      </c>
      <c r="B70" s="576"/>
      <c r="C70" s="576"/>
      <c r="D70" s="576"/>
      <c r="E70" s="694"/>
      <c r="F70" s="576" t="s">
        <v>236</v>
      </c>
      <c r="G70" s="576">
        <f>COUNTIFS($B$9:$B$38,"ma",[0]!SEPTEMBER,"Skema 4")</f>
        <v>0</v>
      </c>
      <c r="H70" s="576"/>
      <c r="I70" s="854" t="s">
        <v>572</v>
      </c>
      <c r="J70" s="854"/>
      <c r="K70" s="854"/>
      <c r="L70" s="854"/>
      <c r="M70" s="862">
        <f>IF(Stamoplysninger!$B$26="Der er indgået lokalaftale omkring weekendtillæg(Kræver aftale med TR/FSL). Weekendtimerne udbetales.",M56,0)</f>
        <v>0</v>
      </c>
      <c r="N70" s="862">
        <f>IF(Stamoplysninger!$B$26="Der er indgået lokalaftale omkring weekendtillæg(Kræver aftale med TR/FSL). Weekendtimerne udbetales.",N56,0)</f>
        <v>0</v>
      </c>
      <c r="O70" s="580"/>
      <c r="P70" s="580"/>
      <c r="Q70" s="580"/>
      <c r="R70" s="580"/>
      <c r="S70" s="580"/>
      <c r="T70" s="580"/>
      <c r="U70" s="580"/>
      <c r="V70" s="580"/>
      <c r="W70" s="580"/>
      <c r="X70" s="580"/>
      <c r="Y70"/>
      <c r="Z70"/>
      <c r="AO70" s="1"/>
      <c r="BL70" s="1"/>
      <c r="BW70" s="455"/>
      <c r="BX70" s="455"/>
      <c r="CY70"/>
      <c r="CZ70"/>
    </row>
    <row r="71" spans="1:104" hidden="1">
      <c r="A71" s="576">
        <f>COUNTIF($C$18:$C$19,"Skema 1")+COUNTIF($C$18:$C$19,"Skema 2")+COUNTIF($C$18:$C$19,"Skema 3")+COUNTIF($C$18:$C$19,"Skema 4")+COUNTIF($C$18:$C$19,"Fagdag")+COUNTIF($C$18:$C$19,"Emnedag")+COUNTIF($C$18:$C$19,"Lejrskole")+COUNTIF($C$18:$C$19,"Ekskursion")+COUNTIF($C$18:$C$19,"Pæd.dag")</f>
        <v>0</v>
      </c>
      <c r="B71" s="576"/>
      <c r="C71" s="576"/>
      <c r="D71" s="576"/>
      <c r="E71" s="694"/>
      <c r="F71" s="576" t="s">
        <v>237</v>
      </c>
      <c r="G71" s="576">
        <f>COUNTIFS($B$9:$B$38,"ti",[0]!SEPTEMBER,"Skema 4")</f>
        <v>0</v>
      </c>
      <c r="H71" s="576"/>
      <c r="I71" s="576" t="s">
        <v>568</v>
      </c>
      <c r="J71" s="45"/>
      <c r="K71" s="45"/>
      <c r="L71" s="45"/>
      <c r="M71" s="754">
        <f>IF(Stamoplysninger!$B$26="Der er indgået lokalaftale omkring weekendtimer og weekendtillæg.(Kræver aftale med TR/FSL).",M56,0)</f>
        <v>0</v>
      </c>
      <c r="N71" s="754"/>
      <c r="O71" s="580"/>
      <c r="P71" s="580"/>
      <c r="Q71" s="580"/>
      <c r="R71" s="580"/>
      <c r="S71" s="580"/>
      <c r="T71" s="580"/>
      <c r="V71" s="580"/>
      <c r="W71" s="580"/>
      <c r="X71" s="580"/>
      <c r="Y71"/>
      <c r="Z71"/>
      <c r="AO71" s="1"/>
      <c r="BL71" s="1"/>
      <c r="BW71" s="455"/>
      <c r="BX71" s="455"/>
      <c r="CY71"/>
      <c r="CZ71"/>
    </row>
    <row r="72" spans="1:104">
      <c r="A72" s="576">
        <f>COUNTIF($C$25:$C$26,"Skema 1")+COUNTIF($C$25:$C$26,"Skema 2")+COUNTIF($C$25:$C$26,"Skema 3")+COUNTIF($C$25:$C$26,"Skema 4")+COUNTIF($C$25:$C$26,"Fagdag")+COUNTIF($C$25:$C$26,"Emnedag")+COUNTIF($C$25:$C$26,"Lejrskole")+COUNTIF($C$25:$C$26,"Ekskursion")+COUNTIF($C$25:$C$26,"Pæd.dag")</f>
        <v>0</v>
      </c>
      <c r="B72" s="576"/>
      <c r="C72" s="576"/>
      <c r="D72" s="576"/>
      <c r="E72" s="694"/>
      <c r="F72" s="576" t="s">
        <v>238</v>
      </c>
      <c r="G72" s="576">
        <f>COUNTIFS($B$9:$B$38,"on",[0]!SEPTEMBER,"Skema 4")</f>
        <v>0</v>
      </c>
      <c r="H72" s="576"/>
      <c r="I72" s="576"/>
      <c r="J72" s="45"/>
      <c r="K72" s="45"/>
      <c r="L72" s="45"/>
      <c r="M72" s="580"/>
      <c r="N72" s="580"/>
      <c r="O72" s="580"/>
      <c r="P72" s="580"/>
      <c r="Q72" s="580"/>
      <c r="R72" s="580"/>
      <c r="S72" s="580"/>
      <c r="T72" s="580"/>
      <c r="U72" s="580"/>
      <c r="V72" s="580"/>
      <c r="W72" s="580"/>
      <c r="X72" s="580"/>
      <c r="Y72"/>
      <c r="Z72"/>
      <c r="AO72" s="1"/>
      <c r="BL72" s="1"/>
      <c r="BW72" s="455"/>
      <c r="BX72" s="455"/>
      <c r="CY72"/>
      <c r="CZ72"/>
    </row>
    <row r="73" spans="1:104">
      <c r="A73" s="576">
        <f>COUNTIF($C$32:$C$33,"Skema 1")+COUNTIF($C$32:$C$33,"Skema 2")+COUNTIF($C$32:$C$33,"Skema 3")+COUNTIF($C$32:$C$33,"Skema 4")+COUNTIF($C$32:$C$33,"Fagdag")+COUNTIF($C$32:$C$33,"Emnedag")+COUNTIF($C$32:$C$33,"Lejrskole")+COUNTIF($C$32:$C$33,"Ekskursion")+COUNTIF($C$32:$C$33,"Pæd.dag")</f>
        <v>1</v>
      </c>
      <c r="B73" s="576"/>
      <c r="C73" s="576"/>
      <c r="D73" s="576"/>
      <c r="E73" s="694"/>
      <c r="F73" s="576" t="s">
        <v>239</v>
      </c>
      <c r="G73" s="576">
        <f>COUNTIFS($B$9:$B$38,"to",[0]!SEPTEMBER,"Skema 4")</f>
        <v>0</v>
      </c>
      <c r="H73" s="576"/>
      <c r="I73" s="576"/>
      <c r="J73" s="45"/>
      <c r="K73" s="45"/>
      <c r="L73" s="45"/>
      <c r="Y73"/>
      <c r="Z73"/>
      <c r="AO73" s="1">
        <f>SUM(N73:AN73)</f>
        <v>0</v>
      </c>
      <c r="BL73" s="1">
        <f>SUM(AI73:BK73)</f>
        <v>0</v>
      </c>
      <c r="BW73" s="455"/>
      <c r="BX73" s="455"/>
      <c r="CY73"/>
      <c r="CZ73"/>
    </row>
    <row r="74" spans="1:104">
      <c r="A74" s="576"/>
      <c r="B74" s="576"/>
      <c r="C74" s="576"/>
      <c r="D74" s="576"/>
      <c r="E74" s="694"/>
      <c r="F74" s="576" t="s">
        <v>240</v>
      </c>
      <c r="G74" s="576">
        <f>COUNTIFS($B$9:$B$38,"fr",[0]!SEPTEMBER,"Skema 4")</f>
        <v>0</v>
      </c>
      <c r="H74" s="576"/>
      <c r="I74" s="576"/>
      <c r="J74" s="45"/>
      <c r="K74" s="45"/>
      <c r="L74" s="45"/>
      <c r="Y74"/>
      <c r="Z74"/>
      <c r="AO74" s="1">
        <f>SUM(N74:AN74)</f>
        <v>0</v>
      </c>
      <c r="BL74" s="1">
        <f>SUM(AI74:BK74)</f>
        <v>0</v>
      </c>
      <c r="BW74" s="455"/>
      <c r="BX74" s="455"/>
      <c r="CY74"/>
      <c r="CZ74"/>
    </row>
    <row r="75" spans="1:104">
      <c r="A75" s="576">
        <f>SUM(A70:A74)</f>
        <v>1</v>
      </c>
      <c r="B75" s="576"/>
      <c r="C75" s="576"/>
      <c r="D75" s="576"/>
      <c r="E75" s="694"/>
      <c r="F75" s="694"/>
      <c r="G75" s="694">
        <f>SUM(G52:G74)</f>
        <v>16</v>
      </c>
      <c r="H75" s="45"/>
      <c r="I75" s="45"/>
      <c r="J75" s="45"/>
      <c r="K75" s="45"/>
      <c r="L75" s="45"/>
      <c r="Y75"/>
      <c r="Z75"/>
      <c r="AO75" s="1">
        <f>SUM(N75:AN75)</f>
        <v>0</v>
      </c>
      <c r="BL75" s="1">
        <f>SUM(AI75:BK75)</f>
        <v>0</v>
      </c>
      <c r="BW75" s="455"/>
      <c r="BX75" s="455"/>
      <c r="CY75"/>
      <c r="CZ75"/>
    </row>
    <row r="76" spans="1:104">
      <c r="A76" s="696"/>
      <c r="B76" s="696"/>
      <c r="C76" s="696"/>
      <c r="D76" s="696"/>
      <c r="E76" s="694"/>
      <c r="F76" s="694"/>
      <c r="G76" s="694"/>
      <c r="H76" s="45"/>
      <c r="I76" s="45"/>
      <c r="J76" s="45"/>
      <c r="K76" s="45"/>
      <c r="L76" s="45"/>
      <c r="Y76"/>
      <c r="Z76"/>
      <c r="AO76" s="1">
        <f>SUM(N76:AN76)</f>
        <v>0</v>
      </c>
      <c r="BL76" s="1">
        <f>SUM(AI76:BK76)</f>
        <v>0</v>
      </c>
      <c r="BW76" s="455"/>
      <c r="BX76" s="455"/>
      <c r="CY76"/>
      <c r="CZ76"/>
    </row>
    <row r="77" spans="1:104">
      <c r="A77" s="696"/>
      <c r="B77" s="696"/>
      <c r="C77" s="696"/>
      <c r="D77" s="696"/>
      <c r="E77" s="694"/>
      <c r="F77" s="694"/>
      <c r="G77" s="694"/>
      <c r="H77" s="45"/>
      <c r="I77" s="45"/>
      <c r="J77" s="45"/>
      <c r="K77" s="45"/>
      <c r="L77" s="45"/>
      <c r="Y77"/>
      <c r="Z77"/>
      <c r="BW77" s="455"/>
      <c r="BX77" s="455"/>
      <c r="CY77"/>
      <c r="CZ77"/>
    </row>
    <row r="78" spans="1:104">
      <c r="A78" s="696"/>
      <c r="B78" s="696"/>
      <c r="C78" s="696"/>
      <c r="D78" s="696"/>
      <c r="E78" s="694"/>
      <c r="F78" s="694"/>
      <c r="G78" s="694"/>
      <c r="H78" s="45"/>
      <c r="I78" s="45"/>
      <c r="J78" s="45"/>
      <c r="K78" s="45"/>
      <c r="L78" s="45"/>
      <c r="Y78"/>
      <c r="Z78"/>
      <c r="BW78" s="455"/>
      <c r="BX78" s="455"/>
      <c r="CY78"/>
      <c r="CZ78"/>
    </row>
    <row r="79" spans="1:104">
      <c r="A79" s="696"/>
      <c r="B79" s="696"/>
      <c r="C79" s="696"/>
      <c r="D79" s="696"/>
      <c r="E79" s="842"/>
      <c r="F79" s="842"/>
      <c r="G79" s="842"/>
      <c r="H79" s="45"/>
      <c r="I79" s="45"/>
      <c r="J79" s="45"/>
      <c r="K79" s="45"/>
      <c r="L79" s="45"/>
      <c r="Y79"/>
      <c r="Z79"/>
      <c r="BW79" s="455"/>
      <c r="BX79" s="455"/>
      <c r="CY79"/>
      <c r="CZ79"/>
    </row>
    <row r="80" spans="1:104">
      <c r="A80" s="769"/>
      <c r="B80" s="769"/>
      <c r="C80" s="769"/>
      <c r="D80" s="769"/>
      <c r="E80" s="105"/>
      <c r="F80" s="109"/>
      <c r="G80" s="109"/>
      <c r="Y80"/>
      <c r="Z80"/>
      <c r="BW80" s="455"/>
      <c r="BX80" s="455"/>
      <c r="CY80"/>
      <c r="CZ80"/>
    </row>
    <row r="81" spans="5:111">
      <c r="E81" s="105"/>
      <c r="F81" s="109"/>
      <c r="G81" s="109"/>
      <c r="Y81"/>
      <c r="Z81"/>
      <c r="BW81" s="455"/>
      <c r="BX81" s="455"/>
      <c r="CY81"/>
      <c r="CZ81"/>
    </row>
    <row r="82" spans="5:111">
      <c r="E82" s="105"/>
      <c r="F82" s="109"/>
      <c r="G82" s="109"/>
      <c r="Y82"/>
      <c r="Z82"/>
      <c r="AD82" s="406"/>
      <c r="AE82" s="424"/>
      <c r="AF82" s="424"/>
      <c r="AG82" s="424"/>
      <c r="AH82" s="424"/>
      <c r="CY82"/>
      <c r="CZ82"/>
      <c r="DF82" s="455"/>
      <c r="DG82" s="455"/>
    </row>
    <row r="83" spans="5:111">
      <c r="E83" s="105"/>
      <c r="F83" s="109"/>
      <c r="G83" s="109"/>
      <c r="Y83"/>
      <c r="Z83"/>
      <c r="AD83" s="406"/>
      <c r="AE83" s="424"/>
      <c r="AF83" s="424"/>
      <c r="AG83" s="424"/>
      <c r="AH83" s="424"/>
      <c r="CY83"/>
      <c r="CZ83"/>
      <c r="DF83" s="455"/>
      <c r="DG83" s="455"/>
    </row>
    <row r="84" spans="5:111">
      <c r="E84" s="105"/>
      <c r="F84" s="105"/>
      <c r="G84" s="105"/>
    </row>
    <row r="85" spans="5:111">
      <c r="E85" s="105"/>
      <c r="F85" s="105"/>
      <c r="G85" s="105"/>
    </row>
  </sheetData>
  <sheetProtection sheet="1" objects="1" scenarios="1"/>
  <mergeCells count="117">
    <mergeCell ref="A55:C55"/>
    <mergeCell ref="V54:X54"/>
    <mergeCell ref="M54:U54"/>
    <mergeCell ref="A53:C53"/>
    <mergeCell ref="A54:C54"/>
    <mergeCell ref="I50:K50"/>
    <mergeCell ref="V49:X49"/>
    <mergeCell ref="V50:X50"/>
    <mergeCell ref="V51:X51"/>
    <mergeCell ref="V52:X52"/>
    <mergeCell ref="V53:X53"/>
    <mergeCell ref="M49:U49"/>
    <mergeCell ref="M50:U50"/>
    <mergeCell ref="M51:U51"/>
    <mergeCell ref="M52:U52"/>
    <mergeCell ref="M53:U53"/>
    <mergeCell ref="A49:H49"/>
    <mergeCell ref="I49:K49"/>
    <mergeCell ref="V42:X42"/>
    <mergeCell ref="V43:X43"/>
    <mergeCell ref="V44:X44"/>
    <mergeCell ref="M41:X41"/>
    <mergeCell ref="M42:U42"/>
    <mergeCell ref="M43:U43"/>
    <mergeCell ref="M44:U44"/>
    <mergeCell ref="A48:H48"/>
    <mergeCell ref="I48:K48"/>
    <mergeCell ref="A45:G45"/>
    <mergeCell ref="I45:K45"/>
    <mergeCell ref="A46:G46"/>
    <mergeCell ref="I46:K46"/>
    <mergeCell ref="V45:X45"/>
    <mergeCell ref="V47:X47"/>
    <mergeCell ref="V48:X48"/>
    <mergeCell ref="M46:X46"/>
    <mergeCell ref="M45:U45"/>
    <mergeCell ref="M47:U47"/>
    <mergeCell ref="M48:U48"/>
    <mergeCell ref="A47:H47"/>
    <mergeCell ref="I47:K47"/>
    <mergeCell ref="E27:G27"/>
    <mergeCell ref="E28:G28"/>
    <mergeCell ref="A43:G43"/>
    <mergeCell ref="I43:K43"/>
    <mergeCell ref="A44:G44"/>
    <mergeCell ref="I44:K44"/>
    <mergeCell ref="A41:G41"/>
    <mergeCell ref="I41:K41"/>
    <mergeCell ref="A42:G42"/>
    <mergeCell ref="I42:K42"/>
    <mergeCell ref="E36:G36"/>
    <mergeCell ref="E37:G37"/>
    <mergeCell ref="E38:G38"/>
    <mergeCell ref="A39:I39"/>
    <mergeCell ref="E29:G29"/>
    <mergeCell ref="E30:G30"/>
    <mergeCell ref="E31:G31"/>
    <mergeCell ref="E33:G33"/>
    <mergeCell ref="E34:G34"/>
    <mergeCell ref="E35:G35"/>
    <mergeCell ref="E32:G3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E6:G8"/>
    <mergeCell ref="K6:L6"/>
    <mergeCell ref="N6:N7"/>
    <mergeCell ref="O6:O7"/>
    <mergeCell ref="B2:E2"/>
    <mergeCell ref="E4:G4"/>
    <mergeCell ref="K4:L4"/>
    <mergeCell ref="A5:R5"/>
    <mergeCell ref="P6:P7"/>
    <mergeCell ref="Q6:Q7"/>
    <mergeCell ref="R6:R7"/>
    <mergeCell ref="A4:D4"/>
    <mergeCell ref="A3:X3"/>
    <mergeCell ref="S5:X5"/>
    <mergeCell ref="V8:X8"/>
    <mergeCell ref="S6:X6"/>
    <mergeCell ref="S8:U8"/>
    <mergeCell ref="E24:G24"/>
    <mergeCell ref="E25:G25"/>
    <mergeCell ref="E26:G26"/>
    <mergeCell ref="E17:G17"/>
    <mergeCell ref="E18:G18"/>
    <mergeCell ref="E11:G11"/>
    <mergeCell ref="J6:J7"/>
    <mergeCell ref="I8:J8"/>
    <mergeCell ref="K8:R8"/>
    <mergeCell ref="E12:G12"/>
    <mergeCell ref="E13:G13"/>
    <mergeCell ref="E14:G14"/>
    <mergeCell ref="E15:G15"/>
    <mergeCell ref="E16:G16"/>
    <mergeCell ref="E23:G23"/>
    <mergeCell ref="E19:G19"/>
    <mergeCell ref="E20:G20"/>
    <mergeCell ref="E21:G21"/>
    <mergeCell ref="E22:G22"/>
  </mergeCells>
  <phoneticPr fontId="5" type="noConversion"/>
  <conditionalFormatting sqref="E20">
    <cfRule type="expression" dxfId="812" priority="55">
      <formula>OR($D19="pæd.dag")</formula>
    </cfRule>
    <cfRule type="expression" dxfId="811" priority="56">
      <formula>OR($D19="nul-dag")</formula>
    </cfRule>
    <cfRule type="expression" dxfId="810" priority="57">
      <formula>OR($D19="SH-dag")</formula>
    </cfRule>
    <cfRule type="expression" dxfId="809" priority="58">
      <formula>OR($D19="ekskursion")</formula>
    </cfRule>
    <cfRule type="expression" dxfId="808" priority="59">
      <formula>OR($D19="lejrskole")</formula>
    </cfRule>
    <cfRule type="expression" dxfId="807" priority="60">
      <formula>OR($D19="emnedag")</formula>
    </cfRule>
    <cfRule type="expression" dxfId="806" priority="61">
      <formula>OR($D19="fagdag")</formula>
    </cfRule>
    <cfRule type="expression" dxfId="805" priority="62">
      <formula>OR($D19="feriedag")</formula>
    </cfRule>
    <cfRule type="expression" dxfId="804" priority="63">
      <formula>OR($D19="weekend")</formula>
    </cfRule>
    <cfRule type="expression" dxfId="803" priority="64" stopIfTrue="1">
      <formula>OR($D19="skoledag")</formula>
    </cfRule>
  </conditionalFormatting>
  <conditionalFormatting sqref="E20">
    <cfRule type="expression" dxfId="802" priority="65">
      <formula>OR($D19="Ikke relevant")</formula>
    </cfRule>
  </conditionalFormatting>
  <conditionalFormatting sqref="K9:M38">
    <cfRule type="expression" dxfId="801" priority="35">
      <formula>OR($C9="fagdag",)</formula>
    </cfRule>
    <cfRule type="expression" dxfId="800" priority="36">
      <formula>OR($C9="emnedag",)</formula>
    </cfRule>
  </conditionalFormatting>
  <conditionalFormatting sqref="K9:K38">
    <cfRule type="expression" dxfId="799" priority="37">
      <formula>OR($C9="Pæd.dag",)</formula>
    </cfRule>
  </conditionalFormatting>
  <conditionalFormatting sqref="K9:L38">
    <cfRule type="expression" dxfId="798" priority="38">
      <formula>OR($C9="Lejrskole",)</formula>
    </cfRule>
    <cfRule type="expression" dxfId="797" priority="39">
      <formula>OR($C9="Ekskursion",)</formula>
    </cfRule>
  </conditionalFormatting>
  <conditionalFormatting sqref="V9:V38">
    <cfRule type="expression" dxfId="796" priority="34">
      <formula>OR($S9="X",)</formula>
    </cfRule>
  </conditionalFormatting>
  <conditionalFormatting sqref="X9:X38">
    <cfRule type="expression" dxfId="795" priority="33">
      <formula>OR($U9="X",)</formula>
    </cfRule>
  </conditionalFormatting>
  <conditionalFormatting sqref="R9:R38">
    <cfRule type="expression" dxfId="794" priority="66">
      <formula>OR($H9&gt;"0",)</formula>
    </cfRule>
  </conditionalFormatting>
  <conditionalFormatting sqref="A9:H31 A33:H38 A32:E32 H32">
    <cfRule type="expression" dxfId="793" priority="1">
      <formula>OR($C9="Orlov")</formula>
    </cfRule>
    <cfRule type="expression" dxfId="792" priority="40">
      <formula>OR($C9="Skema 1")</formula>
    </cfRule>
    <cfRule type="expression" dxfId="791" priority="41">
      <formula>OR($C9="skema 2")</formula>
    </cfRule>
    <cfRule type="expression" dxfId="790" priority="42">
      <formula>OR($C9="Skema 3")</formula>
    </cfRule>
    <cfRule type="expression" dxfId="789" priority="43">
      <formula>OR($C9="Skema 4")</formula>
    </cfRule>
    <cfRule type="expression" dxfId="788" priority="44">
      <formula>OR($C9="Ikke relevant")</formula>
    </cfRule>
    <cfRule type="expression" dxfId="787" priority="45">
      <formula>OR($C9="pæd.dag")</formula>
    </cfRule>
    <cfRule type="expression" dxfId="786" priority="46">
      <formula>OR($C9="nul-dag")</formula>
    </cfRule>
    <cfRule type="expression" dxfId="785" priority="47">
      <formula>OR($C9="SH-dag")</formula>
    </cfRule>
    <cfRule type="expression" dxfId="784" priority="48">
      <formula>OR($C9="ekskursion")</formula>
    </cfRule>
    <cfRule type="expression" dxfId="783" priority="49">
      <formula>OR($C9="lejrskole")</formula>
    </cfRule>
    <cfRule type="expression" dxfId="782" priority="50">
      <formula>OR($C9="emnedag")</formula>
    </cfRule>
    <cfRule type="expression" dxfId="781" priority="51">
      <formula>OR($C9="fagdag")</formula>
    </cfRule>
    <cfRule type="expression" dxfId="780" priority="52">
      <formula>OR($C9="feriedag")</formula>
    </cfRule>
    <cfRule type="expression" dxfId="779" priority="53">
      <formula>OR($C9="weekend")</formula>
    </cfRule>
    <cfRule type="expression" dxfId="778" priority="54" stopIfTrue="1">
      <formula>OR($C9="skoledag")</formula>
    </cfRule>
  </conditionalFormatting>
  <conditionalFormatting sqref="W9:W38">
    <cfRule type="expression" dxfId="777" priority="2">
      <formula>OR($T9="X",)</formula>
    </cfRule>
  </conditionalFormatting>
  <dataValidations count="3">
    <dataValidation type="list" allowBlank="1" showInputMessage="1" showErrorMessage="1" sqref="S9:U38"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1:I12 I18:I19 I25:I26 I32:I33"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August!$A$79:$A$93</xm:f>
          </x14:formula1>
          <xm:sqref>C9:C38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HC90"/>
  <sheetViews>
    <sheetView topLeftCell="A2"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771"/>
      <c r="Y1" s="453"/>
      <c r="Z1" s="113"/>
      <c r="AB1" s="113"/>
      <c r="AC1" s="113"/>
      <c r="AH1" s="113"/>
      <c r="AI1" s="113"/>
      <c r="CX1" s="455"/>
      <c r="CZ1"/>
    </row>
    <row r="2" spans="1:211" ht="20">
      <c r="A2" s="155">
        <v>10</v>
      </c>
      <c r="B2" s="1180"/>
      <c r="C2" s="1180"/>
      <c r="D2" s="1180"/>
      <c r="E2" s="1180"/>
      <c r="F2" s="113"/>
      <c r="G2" s="113"/>
      <c r="H2" s="505"/>
      <c r="I2" s="504"/>
      <c r="J2" s="423"/>
      <c r="K2" s="423"/>
      <c r="L2" s="423"/>
      <c r="M2" s="423"/>
      <c r="N2" s="423"/>
      <c r="O2" s="423"/>
      <c r="P2" s="113"/>
      <c r="Q2" s="113"/>
      <c r="R2" s="113"/>
      <c r="S2" s="113"/>
      <c r="T2" s="113"/>
      <c r="U2" s="113"/>
      <c r="V2" s="113"/>
      <c r="W2" s="299" t="s">
        <v>31</v>
      </c>
      <c r="X2" s="684" t="s">
        <v>31</v>
      </c>
      <c r="Y2" s="453"/>
      <c r="Z2" s="113"/>
      <c r="AB2" s="113"/>
      <c r="AC2" s="113"/>
      <c r="AH2" s="113"/>
      <c r="AI2" s="113"/>
      <c r="CX2" s="455"/>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892"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Oktober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360</v>
      </c>
      <c r="T5" s="1066"/>
      <c r="U5" s="1066"/>
      <c r="V5" s="1066"/>
      <c r="W5" s="1066"/>
      <c r="X5" s="1067"/>
      <c r="Y5" s="453"/>
      <c r="Z5" s="113"/>
      <c r="AB5" s="113"/>
      <c r="AC5" s="113"/>
      <c r="AH5" s="113"/>
      <c r="AI5" s="113"/>
      <c r="CX5" s="455"/>
      <c r="CZ5"/>
    </row>
    <row r="6" spans="1:211" ht="47" customHeight="1">
      <c r="A6" s="570">
        <v>2022</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085"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53" customHeight="1">
      <c r="A7" s="1078" t="s">
        <v>280</v>
      </c>
      <c r="B7" s="1079"/>
      <c r="C7" s="1079"/>
      <c r="D7" s="1080"/>
      <c r="E7" s="1095"/>
      <c r="F7" s="1096"/>
      <c r="G7" s="1097"/>
      <c r="H7" s="1087" t="s">
        <v>395</v>
      </c>
      <c r="I7" s="1077"/>
      <c r="J7" s="1459"/>
      <c r="K7" s="568" t="s">
        <v>356</v>
      </c>
      <c r="L7" s="568" t="s">
        <v>357</v>
      </c>
      <c r="M7" s="885" t="s">
        <v>624</v>
      </c>
      <c r="N7" s="1059"/>
      <c r="O7" s="1059"/>
      <c r="P7" s="1059"/>
      <c r="Q7" s="1059"/>
      <c r="R7" s="1086"/>
      <c r="S7" s="569" t="s">
        <v>635</v>
      </c>
      <c r="T7" s="567" t="s">
        <v>362</v>
      </c>
      <c r="U7" s="567" t="s">
        <v>487</v>
      </c>
      <c r="V7" s="766" t="s">
        <v>540</v>
      </c>
      <c r="W7" s="766" t="s">
        <v>539</v>
      </c>
      <c r="X7" s="767" t="s">
        <v>484</v>
      </c>
      <c r="Y7" s="385" t="s">
        <v>328</v>
      </c>
      <c r="Z7" s="385"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068" t="s">
        <v>469</v>
      </c>
      <c r="W8" s="1069"/>
      <c r="X8" s="1070"/>
      <c r="Y8" s="385"/>
      <c r="Z8" s="385"/>
      <c r="AA8" s="597"/>
      <c r="BB8" s="420"/>
      <c r="CA8" s="180"/>
      <c r="CB8" s="430"/>
      <c r="CC8" s="597"/>
      <c r="CX8" s="455"/>
      <c r="DA8" s="455"/>
      <c r="DB8" s="455"/>
      <c r="DC8" s="455"/>
      <c r="DD8" s="455"/>
      <c r="DE8" s="455"/>
      <c r="DF8" s="455"/>
      <c r="DG8" s="455"/>
    </row>
    <row r="9" spans="1:211">
      <c r="A9" s="443">
        <f>IF(ISNUMBER(A7),A7+1,1)</f>
        <v>1</v>
      </c>
      <c r="B9" s="218" t="str">
        <f t="shared" ref="B9:B39" si="0">CHOOSE(MOD(WEEKDAY(DATE(A$6,A$2,A9)),7)+1,"lø","sø","ma","ti","on","to","fr",)</f>
        <v>lø</v>
      </c>
      <c r="C9" s="219" t="s">
        <v>138</v>
      </c>
      <c r="D9" s="220" t="str">
        <f t="shared" ref="D9:D39" si="1">IF(B9="ma",(DATE(A$6,A$2,A9)-DATE(A$6,1,1)+7)/7,"")</f>
        <v/>
      </c>
      <c r="E9" s="906"/>
      <c r="F9" s="907"/>
      <c r="G9" s="908"/>
      <c r="H9" s="526"/>
      <c r="I9" s="726"/>
      <c r="J9" s="726"/>
      <c r="K9" s="669"/>
      <c r="L9" s="669"/>
      <c r="M9" s="669"/>
      <c r="N9" s="557">
        <f>BA9</f>
        <v>0</v>
      </c>
      <c r="O9" s="557">
        <f>CA9</f>
        <v>0</v>
      </c>
      <c r="P9" s="557">
        <f>IF(Stamoplysninger!$H$29="JA",Oktober!DG9,CX9)</f>
        <v>0</v>
      </c>
      <c r="Q9" s="557">
        <f>IF(OR(C9="Lejrskole",C9="Ekskursion"),0,N9-O9-P9)</f>
        <v>0</v>
      </c>
      <c r="R9" s="558"/>
      <c r="S9" s="564"/>
      <c r="T9" s="565"/>
      <c r="U9" s="565"/>
      <c r="V9" s="559"/>
      <c r="W9" s="763"/>
      <c r="X9" s="560"/>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s="383" t="str">
        <f>IF(AND(C9="Skema 1",B9="ma"),Arbejdstidsoversigt!$E$44,"")</f>
        <v/>
      </c>
      <c r="AH9" s="383" t="str">
        <f>IF(AND(C9="Skema 1",B9="ti"),Arbejdstidsoversigt!$E$45,"")</f>
        <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0</v>
      </c>
      <c r="BB9" s="421">
        <f t="shared" ref="BB9:BB39" si="8">SUM(AG9:AK9)*24</f>
        <v>0</v>
      </c>
      <c r="BC9" s="1">
        <f>IF($C$9="Lejrskole",$L$9,0)</f>
        <v>0</v>
      </c>
      <c r="BD9" s="1">
        <f t="shared" ref="BD9:BD39" si="9">IF(C9="Ekskursion",L9,0)</f>
        <v>0</v>
      </c>
      <c r="BE9" s="1">
        <f t="shared" ref="BE9:BE39" si="10">IF(C9="fagdag",L9,0)</f>
        <v>0</v>
      </c>
      <c r="BF9" s="1">
        <f t="shared" ref="BF9:BF39" si="11">IF(C9="emnedag",L9,0)</f>
        <v>0</v>
      </c>
      <c r="BG9" s="382" t="str">
        <f>IF(AND($C$9="Skema 1",$B$9="ma"),Skemaoplysninger!E28,"")</f>
        <v/>
      </c>
      <c r="BH9" s="382" t="str">
        <f>IF(AND(C9="Skema 1",B9="ti"),Skemaoplysninger!$F$28,"")</f>
        <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0</v>
      </c>
      <c r="CB9" s="1">
        <f t="shared" ref="CB9:CB39" si="12">IF(C9="fagdag",M9,0)</f>
        <v>0</v>
      </c>
      <c r="CC9" s="1">
        <f t="shared" ref="CC9:CC39" si="13">IF(C9="emnedag",M9,0)</f>
        <v>0</v>
      </c>
      <c r="CD9" s="382" t="str">
        <f>IF(AND(C9="Skema 1",B9="ma"),Skemaoplysninger!$E$37,"")</f>
        <v/>
      </c>
      <c r="CE9" s="382" t="str">
        <f>IF(AND(C9="Skema 1",B9="ti"),Skemaoplysninger!$F$37,"")</f>
        <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0</v>
      </c>
      <c r="CY9" s="457">
        <f>IF(C9="Skema 1",Stamoplysninger!$H$30/200,0)</f>
        <v>0</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0</v>
      </c>
    </row>
    <row r="10" spans="1:211">
      <c r="A10" s="443">
        <f t="shared" ref="A10:A38" si="14">IF(ISNUMBER(A9),A9+1,1)</f>
        <v>2</v>
      </c>
      <c r="B10" s="218" t="str">
        <f t="shared" si="0"/>
        <v>sø</v>
      </c>
      <c r="C10" s="219" t="s">
        <v>138</v>
      </c>
      <c r="D10" s="220" t="str">
        <f t="shared" si="1"/>
        <v/>
      </c>
      <c r="E10" s="906"/>
      <c r="F10" s="907"/>
      <c r="G10" s="908"/>
      <c r="H10" s="526"/>
      <c r="I10" s="726"/>
      <c r="J10" s="726"/>
      <c r="K10" s="669"/>
      <c r="L10" s="669"/>
      <c r="M10" s="669"/>
      <c r="N10" s="557">
        <f t="shared" ref="N10:N39" si="15">BA10</f>
        <v>0</v>
      </c>
      <c r="O10" s="557">
        <f t="shared" ref="O10:O39" si="16">CA10</f>
        <v>0</v>
      </c>
      <c r="P10" s="557">
        <f>IF(Stamoplysninger!$H$29="JA",Oktober!DG10,CX10)</f>
        <v>0</v>
      </c>
      <c r="Q10" s="557">
        <f t="shared" ref="Q10:Q39" si="17">IF(OR(C10="Lejrskole",C10="Ekskursion"),0,N10-O10-P10)</f>
        <v>0</v>
      </c>
      <c r="R10" s="558"/>
      <c r="S10" s="564"/>
      <c r="T10" s="565"/>
      <c r="U10" s="565"/>
      <c r="V10" s="559"/>
      <c r="W10" s="763"/>
      <c r="X10" s="560"/>
      <c r="Y10">
        <f t="shared" ref="Y10:Y39" si="18">IF(S10="x",V10-N11,0)</f>
        <v>0</v>
      </c>
      <c r="Z10">
        <f t="shared" si="2"/>
        <v>0</v>
      </c>
      <c r="AA10" s="1">
        <f t="shared" si="3"/>
        <v>0</v>
      </c>
      <c r="AB10" s="1">
        <f t="shared" si="4"/>
        <v>0</v>
      </c>
      <c r="AC10" s="1">
        <f t="shared" si="5"/>
        <v>0</v>
      </c>
      <c r="AD10" s="1">
        <f t="shared" si="6"/>
        <v>0</v>
      </c>
      <c r="AE10" s="1">
        <f t="shared" si="7"/>
        <v>0</v>
      </c>
      <c r="AF10" s="1">
        <f>IF(C10="Orlov",7.4*Stamoplysninger!$E$15,0)</f>
        <v>0</v>
      </c>
      <c r="AG10" s="383" t="str">
        <f>IF(AND(C10="Skema 1",B10="ma"),Arbejdstidsoversigt!$E$44,"")</f>
        <v/>
      </c>
      <c r="AH10" s="383" t="str">
        <f>IF(AND(C10="Skema 1",B10="ti"),Arbejdstidsoversigt!$E$45,"")</f>
        <v/>
      </c>
      <c r="AI10" s="383" t="str">
        <f>IF(AND(C10="Skema 1",B10="on"),Arbejdstidsoversigt!$E$46,"")</f>
        <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9" si="19">SUM(AA10:AZ10)</f>
        <v>0</v>
      </c>
      <c r="BB10" s="421">
        <f t="shared" si="8"/>
        <v>0</v>
      </c>
      <c r="BC10" s="1">
        <f t="shared" ref="BC10:BC39" si="20">IF(C10="Lejrskole",L10,0)</f>
        <v>0</v>
      </c>
      <c r="BD10" s="1">
        <f t="shared" si="9"/>
        <v>0</v>
      </c>
      <c r="BE10" s="1">
        <f t="shared" si="10"/>
        <v>0</v>
      </c>
      <c r="BF10" s="1">
        <f t="shared" si="11"/>
        <v>0</v>
      </c>
      <c r="BG10" s="382" t="str">
        <f>IF(AND(C10="Skema 1",B10="ma"),Skemaoplysninger!$E$28,"")</f>
        <v/>
      </c>
      <c r="BH10" s="382" t="str">
        <f>IF(AND(C10="Skema 1",B10="ti"),Skemaoplysninger!$F$28,"")</f>
        <v/>
      </c>
      <c r="BI10" s="382" t="str">
        <f>IF(AND(C10="Skema 1",B10="on"),Skemaoplysninger!$G$28,"")</f>
        <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9" si="21">SUM(BG10:BZ10)*24+SUM(BC10:BF10)</f>
        <v>0</v>
      </c>
      <c r="CB10" s="1">
        <f t="shared" si="12"/>
        <v>0</v>
      </c>
      <c r="CC10" s="1">
        <f t="shared" si="13"/>
        <v>0</v>
      </c>
      <c r="CD10" s="382" t="str">
        <f>IF(AND(C10="Skema 1",B10="ma"),Skemaoplysninger!$E$37,"")</f>
        <v/>
      </c>
      <c r="CE10" s="382" t="str">
        <f>IF(AND(C10="Skema 1",B10="ti"),Skemaoplysninger!$F$37,"")</f>
        <v/>
      </c>
      <c r="CF10" s="382" t="str">
        <f>IF(AND(C10="Skema 1",B10="on"),Skemaoplysninger!$G$37,"")</f>
        <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v>
      </c>
      <c r="CY10" s="457">
        <f>IF(C10="Skema 1",Stamoplysninger!$H$30/200,0)</f>
        <v>0</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9" si="22">SUM(CY10:DF10)</f>
        <v>0</v>
      </c>
    </row>
    <row r="11" spans="1:211">
      <c r="A11" s="443">
        <f t="shared" si="14"/>
        <v>3</v>
      </c>
      <c r="B11" s="218" t="str">
        <f t="shared" si="0"/>
        <v>ma</v>
      </c>
      <c r="C11" s="219" t="s">
        <v>241</v>
      </c>
      <c r="D11" s="220">
        <f t="shared" si="1"/>
        <v>40.285714285714285</v>
      </c>
      <c r="E11" s="906"/>
      <c r="F11" s="907"/>
      <c r="G11" s="908"/>
      <c r="H11" s="526"/>
      <c r="I11" s="855"/>
      <c r="J11" s="726"/>
      <c r="K11" s="669"/>
      <c r="L11" s="669"/>
      <c r="M11" s="669"/>
      <c r="N11" s="557">
        <f t="shared" si="15"/>
        <v>8</v>
      </c>
      <c r="O11" s="557">
        <f t="shared" si="16"/>
        <v>3.75</v>
      </c>
      <c r="P11" s="557">
        <f>IF(Stamoplysninger!$H$29="JA",Oktober!DG11,CX11)</f>
        <v>0.91666666666666674</v>
      </c>
      <c r="Q11" s="557">
        <f t="shared" si="17"/>
        <v>3.333333333333333</v>
      </c>
      <c r="R11" s="558"/>
      <c r="S11" s="564"/>
      <c r="T11" s="565"/>
      <c r="U11" s="565"/>
      <c r="V11" s="559"/>
      <c r="W11" s="763"/>
      <c r="X11" s="560"/>
      <c r="Y11">
        <f t="shared" si="18"/>
        <v>0</v>
      </c>
      <c r="Z11">
        <f t="shared" si="2"/>
        <v>0</v>
      </c>
      <c r="AA11" s="1">
        <f t="shared" si="3"/>
        <v>0</v>
      </c>
      <c r="AB11" s="1">
        <f t="shared" si="4"/>
        <v>0</v>
      </c>
      <c r="AC11" s="1">
        <f t="shared" si="5"/>
        <v>0</v>
      </c>
      <c r="AD11" s="1">
        <f t="shared" si="6"/>
        <v>0</v>
      </c>
      <c r="AE11" s="1">
        <f t="shared" si="7"/>
        <v>0</v>
      </c>
      <c r="AF11" s="1">
        <f>IF(C11="Orlov",7.4*Stamoplysninger!$E$15,0)</f>
        <v>0</v>
      </c>
      <c r="AG11" s="383">
        <f>IF(AND(C11="Skema 1",B11="ma"),Arbejdstidsoversigt!$E$44,"")</f>
        <v>8</v>
      </c>
      <c r="AH11" s="383" t="str">
        <f>IF(AND(C11="Skema 1",B11="ti"),Arbejdstidsoversigt!$E$45,"")</f>
        <v/>
      </c>
      <c r="AI11" s="383" t="str">
        <f>IF(AND(C11="Skema 1",B11="on"),Arbejdstidsoversigt!$E$46,"")</f>
        <v/>
      </c>
      <c r="AJ11" s="383" t="str">
        <f>IF(AND(C11="Skema 1",B11="to"),Arbejdstidsoversigt!$E$47,"")</f>
        <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8</v>
      </c>
      <c r="BB11" s="421">
        <f t="shared" si="8"/>
        <v>192</v>
      </c>
      <c r="BC11" s="1">
        <f t="shared" si="20"/>
        <v>0</v>
      </c>
      <c r="BD11" s="1">
        <f t="shared" si="9"/>
        <v>0</v>
      </c>
      <c r="BE11" s="1">
        <f t="shared" si="10"/>
        <v>0</v>
      </c>
      <c r="BF11" s="1">
        <f t="shared" si="11"/>
        <v>0</v>
      </c>
      <c r="BG11" s="382">
        <f>IF(AND(C11="Skema 1",B11="ma"),Skemaoplysninger!$E$28,"")</f>
        <v>0.15625</v>
      </c>
      <c r="BH11" s="382" t="str">
        <f>IF(AND(C11="Skema 1",B11="ti"),Skemaoplysninger!$F$28,"")</f>
        <v/>
      </c>
      <c r="BI11" s="382" t="str">
        <f>IF(AND(C11="Skema 1",B11="on"),Skemaoplysninger!$G$28,"")</f>
        <v/>
      </c>
      <c r="BJ11" s="382" t="str">
        <f>IF(AND(C11="Skema 1",B11="to"),Skemaoplysninger!$H$28,"")</f>
        <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3.75</v>
      </c>
      <c r="CB11" s="1">
        <f t="shared" si="12"/>
        <v>0</v>
      </c>
      <c r="CC11" s="1">
        <f t="shared" si="13"/>
        <v>0</v>
      </c>
      <c r="CD11" s="382">
        <f>IF(AND(C11="Skema 1",B11="ma"),Skemaoplysninger!$E$37,"")</f>
        <v>0.91666666666666674</v>
      </c>
      <c r="CE11" s="382" t="str">
        <f>IF(AND(C11="Skema 1",B11="ti"),Skemaoplysninger!$F$37,"")</f>
        <v/>
      </c>
      <c r="CF11" s="382" t="str">
        <f>IF(AND(C11="Skema 1",B11="on"),Skemaoplysninger!$G$37,"")</f>
        <v/>
      </c>
      <c r="CG11" s="382" t="str">
        <f>IF(AND(C11="Skema 1",B11="to"),Skemaoplysninger!$H$37,"")</f>
        <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0.91666666666666674</v>
      </c>
      <c r="CY11" s="457">
        <f>IF(C11="Skema 1",Stamoplysninger!$H$30/200,0)</f>
        <v>1</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1</v>
      </c>
    </row>
    <row r="12" spans="1:211">
      <c r="A12" s="443">
        <f t="shared" si="14"/>
        <v>4</v>
      </c>
      <c r="B12" s="218" t="str">
        <f t="shared" si="0"/>
        <v>ti</v>
      </c>
      <c r="C12" s="219" t="s">
        <v>241</v>
      </c>
      <c r="D12" s="220" t="str">
        <f t="shared" si="1"/>
        <v/>
      </c>
      <c r="E12" s="906"/>
      <c r="F12" s="907"/>
      <c r="G12" s="908"/>
      <c r="H12" s="526"/>
      <c r="I12" s="855"/>
      <c r="J12" s="726"/>
      <c r="K12" s="669"/>
      <c r="L12" s="669"/>
      <c r="M12" s="669"/>
      <c r="N12" s="557">
        <f t="shared" si="15"/>
        <v>8</v>
      </c>
      <c r="O12" s="557">
        <f t="shared" si="16"/>
        <v>5.25</v>
      </c>
      <c r="P12" s="557">
        <f>IF(Stamoplysninger!$H$29="JA",Oktober!DG12,CX12)</f>
        <v>1.0833333333333335</v>
      </c>
      <c r="Q12" s="557">
        <f t="shared" si="17"/>
        <v>1.6666666666666665</v>
      </c>
      <c r="R12" s="558"/>
      <c r="S12" s="564"/>
      <c r="T12" s="565"/>
      <c r="U12" s="565"/>
      <c r="V12" s="559"/>
      <c r="W12" s="763"/>
      <c r="X12" s="560"/>
      <c r="Y12">
        <f t="shared" si="18"/>
        <v>0</v>
      </c>
      <c r="Z12">
        <f t="shared" si="2"/>
        <v>0</v>
      </c>
      <c r="AA12" s="1">
        <f t="shared" si="3"/>
        <v>0</v>
      </c>
      <c r="AB12" s="1">
        <f t="shared" si="4"/>
        <v>0</v>
      </c>
      <c r="AC12" s="1">
        <f t="shared" si="5"/>
        <v>0</v>
      </c>
      <c r="AD12" s="1">
        <f t="shared" si="6"/>
        <v>0</v>
      </c>
      <c r="AE12" s="1">
        <f t="shared" si="7"/>
        <v>0</v>
      </c>
      <c r="AF12" s="1">
        <f>IF(C12="Orlov",7.4*Stamoplysninger!$E$15,0)</f>
        <v>0</v>
      </c>
      <c r="AG12" s="383" t="str">
        <f>IF(AND(C12="Skema 1",B12="ma"),Arbejdstidsoversigt!$E$44,"")</f>
        <v/>
      </c>
      <c r="AH12" s="383">
        <f>IF(AND(C12="Skema 1",B12="ti"),Arbejdstidsoversigt!$E$45,"")</f>
        <v>8</v>
      </c>
      <c r="AI12" s="383" t="str">
        <f>IF(AND(C12="Skema 1",B12="on"),Arbejdstidsoversigt!$E$46,"")</f>
        <v/>
      </c>
      <c r="AJ12" s="383" t="str">
        <f>IF(AND(C12="Skema 1",B12="to"),Arbejdstidsoversigt!$E$47,"")</f>
        <v/>
      </c>
      <c r="AK12" s="383" t="str">
        <f>IF(AND(C12="Skema 1",B12="fr"),Arbejdstidsoversigt!$E$48,"")</f>
        <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8</v>
      </c>
      <c r="BB12" s="421">
        <f t="shared" si="8"/>
        <v>192</v>
      </c>
      <c r="BC12" s="1">
        <f t="shared" si="20"/>
        <v>0</v>
      </c>
      <c r="BD12" s="1">
        <f t="shared" si="9"/>
        <v>0</v>
      </c>
      <c r="BE12" s="1">
        <f t="shared" si="10"/>
        <v>0</v>
      </c>
      <c r="BF12" s="1">
        <f t="shared" si="11"/>
        <v>0</v>
      </c>
      <c r="BG12" s="382" t="str">
        <f>IF(AND(C12="Skema 1",B12="ma"),Skemaoplysninger!$E$28,"")</f>
        <v/>
      </c>
      <c r="BH12" s="382">
        <f>IF(AND(C12="Skema 1",B12="ti"),Skemaoplysninger!$F$28,"")</f>
        <v>0.21875</v>
      </c>
      <c r="BI12" s="382" t="str">
        <f>IF(AND(C12="Skema 1",B12="on"),Skemaoplysninger!$G$28,"")</f>
        <v/>
      </c>
      <c r="BJ12" s="382" t="str">
        <f>IF(AND(C12="Skema 1",B12="to"),Skemaoplysninger!$H$28,"")</f>
        <v/>
      </c>
      <c r="BK12" s="382" t="str">
        <f>IF(AND(C12="Skema 1",B12="fr"),Skemaoplysninger!$I$28,"")</f>
        <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5.25</v>
      </c>
      <c r="CB12" s="1">
        <f t="shared" si="12"/>
        <v>0</v>
      </c>
      <c r="CC12" s="1">
        <f t="shared" si="13"/>
        <v>0</v>
      </c>
      <c r="CD12" s="382" t="str">
        <f>IF(AND(C12="Skema 1",B12="ma"),Skemaoplysninger!$E$37,"")</f>
        <v/>
      </c>
      <c r="CE12" s="382">
        <f>IF(AND(C12="Skema 1",B12="ti"),Skemaoplysninger!$F$37,"")</f>
        <v>1.0833333333333335</v>
      </c>
      <c r="CF12" s="382" t="str">
        <f>IF(AND(C12="Skema 1",B12="on"),Skemaoplysninger!$G$37,"")</f>
        <v/>
      </c>
      <c r="CG12" s="382" t="str">
        <f>IF(AND(C12="Skema 1",B12="to"),Skemaoplysninger!$H$37,"")</f>
        <v/>
      </c>
      <c r="CH12" s="382" t="str">
        <f>IF(AND(C12="Skema 1",B12="fr"),Skemaoplysninger!$I$37,"")</f>
        <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1.0833333333333335</v>
      </c>
      <c r="CY12" s="457">
        <f>IF(C12="Skema 1",Stamoplysninger!$H$30/200,0)</f>
        <v>1</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1</v>
      </c>
    </row>
    <row r="13" spans="1:211">
      <c r="A13" s="443">
        <f t="shared" si="14"/>
        <v>5</v>
      </c>
      <c r="B13" s="218" t="str">
        <f t="shared" si="0"/>
        <v>on</v>
      </c>
      <c r="C13" s="219" t="s">
        <v>241</v>
      </c>
      <c r="D13" s="220" t="str">
        <f t="shared" si="1"/>
        <v/>
      </c>
      <c r="E13" s="906"/>
      <c r="F13" s="907"/>
      <c r="G13" s="908"/>
      <c r="H13" s="526"/>
      <c r="I13" s="855"/>
      <c r="J13" s="726"/>
      <c r="K13" s="669"/>
      <c r="L13" s="669"/>
      <c r="M13" s="669"/>
      <c r="N13" s="557">
        <f t="shared" si="15"/>
        <v>8</v>
      </c>
      <c r="O13" s="557">
        <f t="shared" si="16"/>
        <v>3.75</v>
      </c>
      <c r="P13" s="557">
        <f>IF(Stamoplysninger!$H$29="JA",Oktober!DG13,CX13)</f>
        <v>0.91666666666666674</v>
      </c>
      <c r="Q13" s="557">
        <f t="shared" si="17"/>
        <v>3.333333333333333</v>
      </c>
      <c r="R13" s="558"/>
      <c r="S13" s="564"/>
      <c r="T13" s="565"/>
      <c r="U13" s="565"/>
      <c r="V13" s="559"/>
      <c r="W13" s="763"/>
      <c r="X13" s="560"/>
      <c r="Y13">
        <f t="shared" si="18"/>
        <v>0</v>
      </c>
      <c r="Z13">
        <f t="shared" si="2"/>
        <v>0</v>
      </c>
      <c r="AA13" s="1">
        <f t="shared" si="3"/>
        <v>0</v>
      </c>
      <c r="AB13" s="1">
        <f t="shared" si="4"/>
        <v>0</v>
      </c>
      <c r="AC13" s="1">
        <f t="shared" si="5"/>
        <v>0</v>
      </c>
      <c r="AD13" s="1">
        <f t="shared" si="6"/>
        <v>0</v>
      </c>
      <c r="AE13" s="1">
        <f t="shared" si="7"/>
        <v>0</v>
      </c>
      <c r="AF13" s="1">
        <f>IF(C13="Orlov",7.4*Stamoplysninger!$E$15,0)</f>
        <v>0</v>
      </c>
      <c r="AG13" s="383" t="str">
        <f>IF(AND(C13="Skema 1",B13="ma"),Arbejdstidsoversigt!$E$44,"")</f>
        <v/>
      </c>
      <c r="AH13" s="383" t="str">
        <f>IF(AND(C13="Skema 1",B13="ti"),Arbejdstidsoversigt!$E$45,"")</f>
        <v/>
      </c>
      <c r="AI13" s="383">
        <f>IF(AND(C13="Skema 1",B13="on"),Arbejdstidsoversigt!$E$46,"")</f>
        <v>8</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8</v>
      </c>
      <c r="BB13" s="421">
        <f t="shared" si="8"/>
        <v>192</v>
      </c>
      <c r="BC13" s="1">
        <f t="shared" si="20"/>
        <v>0</v>
      </c>
      <c r="BD13" s="1">
        <f t="shared" si="9"/>
        <v>0</v>
      </c>
      <c r="BE13" s="1">
        <f t="shared" si="10"/>
        <v>0</v>
      </c>
      <c r="BF13" s="1">
        <f t="shared" si="11"/>
        <v>0</v>
      </c>
      <c r="BG13" s="382" t="str">
        <f>IF(AND(C13="Skema 1",B13="ma"),Skemaoplysninger!$E$28,"")</f>
        <v/>
      </c>
      <c r="BH13" s="382" t="str">
        <f>IF(AND(C13="Skema 1",B13="ti"),Skemaoplysninger!$F$28,"")</f>
        <v/>
      </c>
      <c r="BI13" s="382">
        <f>IF(AND(C13="Skema 1",B13="on"),Skemaoplysninger!$G$28,"")</f>
        <v>0.15625</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3.75</v>
      </c>
      <c r="CB13" s="1">
        <f t="shared" si="12"/>
        <v>0</v>
      </c>
      <c r="CC13" s="1">
        <f t="shared" si="13"/>
        <v>0</v>
      </c>
      <c r="CD13" s="382" t="str">
        <f>IF(AND(C13="Skema 1",B13="ma"),Skemaoplysninger!$E$37,"")</f>
        <v/>
      </c>
      <c r="CE13" s="382" t="str">
        <f>IF(AND(C13="Skema 1",B13="ti"),Skemaoplysninger!$F$37,"")</f>
        <v/>
      </c>
      <c r="CF13" s="382">
        <f>IF(AND(C13="Skema 1",B13="on"),Skemaoplysninger!$G$37,"")</f>
        <v>0.91666666666666674</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0.91666666666666674</v>
      </c>
      <c r="CY13" s="457">
        <f>IF(C13="Skema 1",Stamoplysninger!$H$30/200,0)</f>
        <v>1</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1</v>
      </c>
    </row>
    <row r="14" spans="1:211" ht="16" customHeight="1">
      <c r="A14" s="443">
        <f t="shared" si="14"/>
        <v>6</v>
      </c>
      <c r="B14" s="218" t="str">
        <f t="shared" si="0"/>
        <v>to</v>
      </c>
      <c r="C14" s="219" t="s">
        <v>241</v>
      </c>
      <c r="D14" s="220" t="str">
        <f t="shared" si="1"/>
        <v/>
      </c>
      <c r="E14" s="906"/>
      <c r="F14" s="907"/>
      <c r="G14" s="908"/>
      <c r="H14" s="526"/>
      <c r="I14" s="855"/>
      <c r="J14" s="726"/>
      <c r="K14" s="669"/>
      <c r="L14" s="669"/>
      <c r="M14" s="669"/>
      <c r="N14" s="557">
        <f t="shared" si="15"/>
        <v>8</v>
      </c>
      <c r="O14" s="557">
        <f t="shared" si="16"/>
        <v>3.75</v>
      </c>
      <c r="P14" s="557">
        <f>IF(Stamoplysninger!$H$29="JA",Oktober!DG14,CX14)</f>
        <v>0.91666666666666674</v>
      </c>
      <c r="Q14" s="557">
        <f t="shared" si="17"/>
        <v>3.333333333333333</v>
      </c>
      <c r="R14" s="558"/>
      <c r="S14" s="564"/>
      <c r="T14" s="565"/>
      <c r="U14" s="565"/>
      <c r="V14" s="559"/>
      <c r="W14" s="763"/>
      <c r="X14" s="560"/>
      <c r="Y14">
        <f t="shared" si="18"/>
        <v>0</v>
      </c>
      <c r="Z14">
        <f t="shared" si="2"/>
        <v>0</v>
      </c>
      <c r="AA14" s="1">
        <f t="shared" si="3"/>
        <v>0</v>
      </c>
      <c r="AB14" s="1">
        <f t="shared" si="4"/>
        <v>0</v>
      </c>
      <c r="AC14" s="1">
        <f t="shared" si="5"/>
        <v>0</v>
      </c>
      <c r="AD14" s="1">
        <f t="shared" si="6"/>
        <v>0</v>
      </c>
      <c r="AE14" s="1">
        <f t="shared" si="7"/>
        <v>0</v>
      </c>
      <c r="AF14" s="1">
        <f>IF(C14="Orlov",7.4*Stamoplysninger!$E$15,0)</f>
        <v>0</v>
      </c>
      <c r="AG14" s="383" t="str">
        <f>IF(AND(C14="Skema 1",B14="ma"),Arbejdstidsoversigt!$E$44,"")</f>
        <v/>
      </c>
      <c r="AH14" s="383" t="str">
        <f>IF(AND(C14="Skema 1",B14="ti"),Arbejdstidsoversigt!$E$45,"")</f>
        <v/>
      </c>
      <c r="AI14" s="383" t="str">
        <f>IF(AND(C14="Skema 1",B14="on"),Arbejdstidsoversigt!$E$46,"")</f>
        <v/>
      </c>
      <c r="AJ14" s="383">
        <f>IF(AND(C14="Skema 1",B14="to"),Arbejdstidsoversigt!$E$47,"")</f>
        <v>8</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8</v>
      </c>
      <c r="BB14" s="421">
        <f t="shared" si="8"/>
        <v>192</v>
      </c>
      <c r="BC14" s="1">
        <f t="shared" si="20"/>
        <v>0</v>
      </c>
      <c r="BD14" s="1">
        <f t="shared" si="9"/>
        <v>0</v>
      </c>
      <c r="BE14" s="1">
        <f t="shared" si="10"/>
        <v>0</v>
      </c>
      <c r="BF14" s="1">
        <f t="shared" si="11"/>
        <v>0</v>
      </c>
      <c r="BG14" s="382" t="str">
        <f>IF(AND(C14="Skema 1",B14="ma"),Skemaoplysninger!$E$28,"")</f>
        <v/>
      </c>
      <c r="BH14" s="382" t="str">
        <f>IF(AND(C14="Skema 1",B14="ti"),Skemaoplysninger!$F$28,"")</f>
        <v/>
      </c>
      <c r="BI14" s="382" t="str">
        <f>IF(AND(C14="Skema 1",B14="on"),Skemaoplysninger!$G$28,"")</f>
        <v/>
      </c>
      <c r="BJ14" s="382">
        <f>IF(AND(C14="Skema 1",B14="to"),Skemaoplysninger!$H$28,"")</f>
        <v>0.15625</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3.75</v>
      </c>
      <c r="CB14" s="1">
        <f t="shared" si="12"/>
        <v>0</v>
      </c>
      <c r="CC14" s="1">
        <f t="shared" si="13"/>
        <v>0</v>
      </c>
      <c r="CD14" s="382" t="str">
        <f>IF(AND(C14="Skema 1",B14="ma"),Skemaoplysninger!$E$37,"")</f>
        <v/>
      </c>
      <c r="CE14" s="382" t="str">
        <f>IF(AND(C14="Skema 1",B14="ti"),Skemaoplysninger!$F$37,"")</f>
        <v/>
      </c>
      <c r="CF14" s="382" t="str">
        <f>IF(AND(C14="Skema 1",B14="on"),Skemaoplysninger!$G$37,"")</f>
        <v/>
      </c>
      <c r="CG14" s="382">
        <f>IF(AND(C14="Skema 1",B14="to"),Skemaoplysninger!$H$37,"")</f>
        <v>0.91666666666666674</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0.91666666666666674</v>
      </c>
      <c r="CY14" s="457">
        <f>IF(C14="Skema 1",Stamoplysninger!$H$30/200,0)</f>
        <v>1</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1</v>
      </c>
    </row>
    <row r="15" spans="1:211" ht="16" customHeight="1">
      <c r="A15" s="443">
        <f t="shared" si="14"/>
        <v>7</v>
      </c>
      <c r="B15" s="218" t="str">
        <f t="shared" si="0"/>
        <v>fr</v>
      </c>
      <c r="C15" s="219" t="s">
        <v>241</v>
      </c>
      <c r="D15" s="220" t="str">
        <f t="shared" si="1"/>
        <v/>
      </c>
      <c r="E15" s="906"/>
      <c r="F15" s="907"/>
      <c r="G15" s="908"/>
      <c r="H15" s="526"/>
      <c r="I15" s="855"/>
      <c r="J15" s="726"/>
      <c r="K15" s="669"/>
      <c r="L15" s="669"/>
      <c r="M15" s="669"/>
      <c r="N15" s="557">
        <f t="shared" si="15"/>
        <v>7</v>
      </c>
      <c r="O15" s="557">
        <f t="shared" si="16"/>
        <v>2.25</v>
      </c>
      <c r="P15" s="557">
        <f>IF(Stamoplysninger!$H$29="JA",Oktober!DG15,CX15)</f>
        <v>0.33333333333333331</v>
      </c>
      <c r="Q15" s="557">
        <f t="shared" si="17"/>
        <v>4.416666666666667</v>
      </c>
      <c r="R15" s="558"/>
      <c r="S15" s="564"/>
      <c r="T15" s="565"/>
      <c r="U15" s="565"/>
      <c r="V15" s="559"/>
      <c r="W15" s="763"/>
      <c r="X15" s="560"/>
      <c r="Y15">
        <f t="shared" si="18"/>
        <v>0</v>
      </c>
      <c r="Z15">
        <f t="shared" si="2"/>
        <v>0</v>
      </c>
      <c r="AA15" s="1">
        <f t="shared" si="3"/>
        <v>0</v>
      </c>
      <c r="AB15" s="1">
        <f t="shared" si="4"/>
        <v>0</v>
      </c>
      <c r="AC15" s="1">
        <f t="shared" si="5"/>
        <v>0</v>
      </c>
      <c r="AD15" s="1">
        <f t="shared" si="6"/>
        <v>0</v>
      </c>
      <c r="AE15" s="1">
        <f t="shared" si="7"/>
        <v>0</v>
      </c>
      <c r="AF15" s="1">
        <f>IF(C15="Orlov",7.4*Stamoplysninger!$E$15,0)</f>
        <v>0</v>
      </c>
      <c r="AG15" s="383" t="str">
        <f>IF(AND(C15="Skema 1",B15="ma"),Arbejdstidsoversigt!$E$44,"")</f>
        <v/>
      </c>
      <c r="AH15" s="383" t="str">
        <f>IF(AND(C15="Skema 1",B15="ti"),Arbejdstidsoversigt!$E$45,"")</f>
        <v/>
      </c>
      <c r="AI15" s="383" t="str">
        <f>IF(AND(C15="Skema 1",B15="on"),Arbejdstidsoversigt!$E$46,"")</f>
        <v/>
      </c>
      <c r="AJ15" s="383" t="str">
        <f>IF(AND(C15="Skema 1",B15="to"),Arbejdstidsoversigt!$E$47,"")</f>
        <v/>
      </c>
      <c r="AK15" s="383">
        <f>IF(AND(C15="Skema 1",B15="fr"),Arbejdstidsoversigt!$E$48,"")</f>
        <v>7</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7</v>
      </c>
      <c r="BB15" s="421">
        <f t="shared" si="8"/>
        <v>168</v>
      </c>
      <c r="BC15" s="1">
        <f t="shared" si="20"/>
        <v>0</v>
      </c>
      <c r="BD15" s="1">
        <f t="shared" si="9"/>
        <v>0</v>
      </c>
      <c r="BE15" s="1">
        <f t="shared" si="10"/>
        <v>0</v>
      </c>
      <c r="BF15" s="1">
        <f t="shared" si="11"/>
        <v>0</v>
      </c>
      <c r="BG15" s="382" t="str">
        <f>IF(AND(C15="Skema 1",B15="ma"),Skemaoplysninger!$E$28,"")</f>
        <v/>
      </c>
      <c r="BH15" s="382" t="str">
        <f>IF(AND(C15="Skema 1",B15="ti"),Skemaoplysninger!$F$28,"")</f>
        <v/>
      </c>
      <c r="BI15" s="382" t="str">
        <f>IF(AND(C15="Skema 1",B15="on"),Skemaoplysninger!$G$28,"")</f>
        <v/>
      </c>
      <c r="BJ15" s="382" t="str">
        <f>IF(AND(C15="Skema 1",B15="to"),Skemaoplysninger!$H$28,"")</f>
        <v/>
      </c>
      <c r="BK15" s="382">
        <f>IF(AND(C15="Skema 1",B15="fr"),Skemaoplysninger!$I$28,"")</f>
        <v>9.375E-2</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2.25</v>
      </c>
      <c r="CB15" s="1">
        <f t="shared" si="12"/>
        <v>0</v>
      </c>
      <c r="CC15" s="1">
        <f t="shared" si="13"/>
        <v>0</v>
      </c>
      <c r="CD15" s="382" t="str">
        <f>IF(AND(C15="Skema 1",B15="ma"),Skemaoplysninger!$E$37,"")</f>
        <v/>
      </c>
      <c r="CE15" s="382" t="str">
        <f>IF(AND(C15="Skema 1",B15="ti"),Skemaoplysninger!$F$37,"")</f>
        <v/>
      </c>
      <c r="CF15" s="382" t="str">
        <f>IF(AND(C15="Skema 1",B15="on"),Skemaoplysninger!$G$37,"")</f>
        <v/>
      </c>
      <c r="CG15" s="382" t="str">
        <f>IF(AND(C15="Skema 1",B15="to"),Skemaoplysninger!$H$37,"")</f>
        <v/>
      </c>
      <c r="CH15" s="382">
        <f>IF(AND(C15="Skema 1",B15="fr"),Skemaoplysninger!$I$37,"")</f>
        <v>0.33333333333333331</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0.33333333333333331</v>
      </c>
      <c r="CY15" s="457">
        <f>IF(C15="Skema 1",Stamoplysninger!$H$30/200,0)</f>
        <v>1</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1</v>
      </c>
    </row>
    <row r="16" spans="1:211">
      <c r="A16" s="443">
        <f t="shared" si="14"/>
        <v>8</v>
      </c>
      <c r="B16" s="218" t="str">
        <f t="shared" si="0"/>
        <v>lø</v>
      </c>
      <c r="C16" s="219" t="s">
        <v>138</v>
      </c>
      <c r="D16" s="220" t="str">
        <f t="shared" si="1"/>
        <v/>
      </c>
      <c r="E16" s="906"/>
      <c r="F16" s="907"/>
      <c r="G16" s="908"/>
      <c r="H16" s="526"/>
      <c r="I16" s="726"/>
      <c r="J16" s="726"/>
      <c r="K16" s="669"/>
      <c r="L16" s="669"/>
      <c r="M16" s="669"/>
      <c r="N16" s="557">
        <f t="shared" si="15"/>
        <v>0</v>
      </c>
      <c r="O16" s="557">
        <f t="shared" si="16"/>
        <v>0</v>
      </c>
      <c r="P16" s="557">
        <f>IF(Stamoplysninger!$H$29="JA",Oktober!DG16,CX16)</f>
        <v>0</v>
      </c>
      <c r="Q16" s="557">
        <f t="shared" si="17"/>
        <v>0</v>
      </c>
      <c r="R16" s="558"/>
      <c r="S16" s="564"/>
      <c r="T16" s="565"/>
      <c r="U16" s="565"/>
      <c r="V16" s="559"/>
      <c r="W16" s="763"/>
      <c r="X16" s="560"/>
      <c r="Y16">
        <f t="shared" si="18"/>
        <v>0</v>
      </c>
      <c r="Z16">
        <f t="shared" si="2"/>
        <v>0</v>
      </c>
      <c r="AA16" s="1">
        <f t="shared" si="3"/>
        <v>0</v>
      </c>
      <c r="AB16" s="1">
        <f t="shared" si="4"/>
        <v>0</v>
      </c>
      <c r="AC16" s="1">
        <f t="shared" si="5"/>
        <v>0</v>
      </c>
      <c r="AD16" s="1">
        <f t="shared" si="6"/>
        <v>0</v>
      </c>
      <c r="AE16" s="1">
        <f t="shared" si="7"/>
        <v>0</v>
      </c>
      <c r="AF16" s="1">
        <f>IF(C16="Orlov",7.4*Stamoplysninger!$E$15,0)</f>
        <v>0</v>
      </c>
      <c r="AG16" s="383" t="str">
        <f>IF(AND(C16="Skema 1",B16="ma"),Arbejdstidsoversigt!$E$44,"")</f>
        <v/>
      </c>
      <c r="AH16" s="383" t="str">
        <f>IF(AND(C16="Skema 1",B16="ti"),Arbejdstidsoversigt!$E$45,"")</f>
        <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0</v>
      </c>
      <c r="BB16" s="421">
        <f t="shared" si="8"/>
        <v>0</v>
      </c>
      <c r="BC16" s="1">
        <f t="shared" si="20"/>
        <v>0</v>
      </c>
      <c r="BD16" s="1">
        <f t="shared" si="9"/>
        <v>0</v>
      </c>
      <c r="BE16" s="1">
        <f t="shared" si="10"/>
        <v>0</v>
      </c>
      <c r="BF16" s="1">
        <f t="shared" si="11"/>
        <v>0</v>
      </c>
      <c r="BG16" s="382" t="str">
        <f>IF(AND(C16="Skema 1",B16="ma"),Skemaoplysninger!$E$28,"")</f>
        <v/>
      </c>
      <c r="BH16" s="382" t="str">
        <f>IF(AND(C16="Skema 1",B16="ti"),Skemaoplysninger!$F$28,"")</f>
        <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0</v>
      </c>
      <c r="CB16" s="1">
        <f t="shared" si="12"/>
        <v>0</v>
      </c>
      <c r="CC16" s="1">
        <f t="shared" si="13"/>
        <v>0</v>
      </c>
      <c r="CD16" s="382" t="str">
        <f>IF(AND(C16="Skema 1",B16="ma"),Skemaoplysninger!$E$37,"")</f>
        <v/>
      </c>
      <c r="CE16" s="382" t="str">
        <f>IF(AND(C16="Skema 1",B16="ti"),Skemaoplysninger!$F$37,"")</f>
        <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0</v>
      </c>
      <c r="CY16" s="457">
        <f>IF(C16="Skema 1",Stamoplysninger!$H$30/200,0)</f>
        <v>0</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0</v>
      </c>
    </row>
    <row r="17" spans="1:111">
      <c r="A17" s="443">
        <f t="shared" si="14"/>
        <v>9</v>
      </c>
      <c r="B17" s="218" t="str">
        <f t="shared" si="0"/>
        <v>sø</v>
      </c>
      <c r="C17" s="219" t="s">
        <v>138</v>
      </c>
      <c r="D17" s="220" t="str">
        <f t="shared" si="1"/>
        <v/>
      </c>
      <c r="E17" s="906"/>
      <c r="F17" s="907"/>
      <c r="G17" s="908"/>
      <c r="H17" s="526"/>
      <c r="I17" s="726"/>
      <c r="J17" s="726"/>
      <c r="K17" s="669"/>
      <c r="L17" s="669"/>
      <c r="M17" s="669"/>
      <c r="N17" s="557">
        <f t="shared" si="15"/>
        <v>0</v>
      </c>
      <c r="O17" s="557">
        <f t="shared" si="16"/>
        <v>0</v>
      </c>
      <c r="P17" s="557">
        <f>IF(Stamoplysninger!$H$29="JA",Oktober!DG17,CX17)</f>
        <v>0</v>
      </c>
      <c r="Q17" s="557">
        <f t="shared" si="17"/>
        <v>0</v>
      </c>
      <c r="R17" s="558"/>
      <c r="S17" s="564"/>
      <c r="T17" s="565"/>
      <c r="U17" s="565"/>
      <c r="V17" s="559"/>
      <c r="W17" s="763"/>
      <c r="X17" s="560"/>
      <c r="Y17">
        <f t="shared" si="18"/>
        <v>0</v>
      </c>
      <c r="Z17">
        <f t="shared" si="2"/>
        <v>0</v>
      </c>
      <c r="AA17" s="1">
        <f t="shared" si="3"/>
        <v>0</v>
      </c>
      <c r="AB17" s="1">
        <f t="shared" si="4"/>
        <v>0</v>
      </c>
      <c r="AC17" s="1">
        <f t="shared" si="5"/>
        <v>0</v>
      </c>
      <c r="AD17" s="1">
        <f t="shared" si="6"/>
        <v>0</v>
      </c>
      <c r="AE17" s="1">
        <f t="shared" si="7"/>
        <v>0</v>
      </c>
      <c r="AF17" s="1">
        <f>IF(C17="Orlov",7.4*Stamoplysninger!$E$15,0)</f>
        <v>0</v>
      </c>
      <c r="AG17" s="383" t="str">
        <f>IF(AND(C17="Skema 1",B17="ma"),Arbejdstidsoversigt!$E$44,"")</f>
        <v/>
      </c>
      <c r="AH17" s="383" t="str">
        <f>IF(AND(C17="Skema 1",B17="ti"),Arbejdstidsoversigt!$E$45,"")</f>
        <v/>
      </c>
      <c r="AI17" s="383" t="str">
        <f>IF(AND(C17="Skema 1",B17="on"),Arbejdstidsoversigt!$E$46,"")</f>
        <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0</v>
      </c>
      <c r="BB17" s="421">
        <f t="shared" si="8"/>
        <v>0</v>
      </c>
      <c r="BC17" s="1">
        <f t="shared" si="20"/>
        <v>0</v>
      </c>
      <c r="BD17" s="1">
        <f t="shared" si="9"/>
        <v>0</v>
      </c>
      <c r="BE17" s="1">
        <f t="shared" si="10"/>
        <v>0</v>
      </c>
      <c r="BF17" s="1">
        <f t="shared" si="11"/>
        <v>0</v>
      </c>
      <c r="BG17" s="382" t="str">
        <f>IF(AND(C17="Skema 1",B17="ma"),Skemaoplysninger!$E$28,"")</f>
        <v/>
      </c>
      <c r="BH17" s="382" t="str">
        <f>IF(AND(C17="Skema 1",B17="ti"),Skemaoplysninger!$F$28,"")</f>
        <v/>
      </c>
      <c r="BI17" s="382" t="str">
        <f>IF(AND(C17="Skema 1",B17="on"),Skemaoplysninger!$G$28,"")</f>
        <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0</v>
      </c>
      <c r="CB17" s="1">
        <f t="shared" si="12"/>
        <v>0</v>
      </c>
      <c r="CC17" s="1">
        <f t="shared" si="13"/>
        <v>0</v>
      </c>
      <c r="CD17" s="382" t="str">
        <f>IF(AND(C17="Skema 1",B17="ma"),Skemaoplysninger!$E$37,"")</f>
        <v/>
      </c>
      <c r="CE17" s="382" t="str">
        <f>IF(AND(C17="Skema 1",B17="ti"),Skemaoplysninger!$F$37,"")</f>
        <v/>
      </c>
      <c r="CF17" s="382" t="str">
        <f>IF(AND(C17="Skema 1",B17="on"),Skemaoplysninger!$G$37,"")</f>
        <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v>
      </c>
      <c r="CY17" s="457">
        <f>IF(C17="Skema 1",Stamoplysninger!$H$30/200,0)</f>
        <v>0</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0</v>
      </c>
    </row>
    <row r="18" spans="1:111">
      <c r="A18" s="443">
        <f t="shared" si="14"/>
        <v>10</v>
      </c>
      <c r="B18" s="218" t="str">
        <f t="shared" si="0"/>
        <v>ma</v>
      </c>
      <c r="C18" s="219" t="s">
        <v>155</v>
      </c>
      <c r="D18" s="220">
        <f t="shared" si="1"/>
        <v>41.285714285714285</v>
      </c>
      <c r="E18" s="906" t="s">
        <v>593</v>
      </c>
      <c r="F18" s="907"/>
      <c r="G18" s="908"/>
      <c r="H18" s="526"/>
      <c r="I18" s="855"/>
      <c r="J18" s="726"/>
      <c r="K18" s="669">
        <v>8</v>
      </c>
      <c r="L18" s="669">
        <v>4.5</v>
      </c>
      <c r="M18" s="669">
        <v>1</v>
      </c>
      <c r="N18" s="557">
        <f t="shared" si="15"/>
        <v>8</v>
      </c>
      <c r="O18" s="557">
        <f t="shared" si="16"/>
        <v>4.5</v>
      </c>
      <c r="P18" s="557">
        <f>IF(Stamoplysninger!$H$29="JA",Oktober!DG18,CX18)</f>
        <v>1</v>
      </c>
      <c r="Q18" s="557">
        <f t="shared" si="17"/>
        <v>2.5</v>
      </c>
      <c r="R18" s="558"/>
      <c r="S18" s="564"/>
      <c r="T18" s="565"/>
      <c r="U18" s="565"/>
      <c r="V18" s="559"/>
      <c r="W18" s="763"/>
      <c r="X18" s="560"/>
      <c r="Y18">
        <f t="shared" si="18"/>
        <v>0</v>
      </c>
      <c r="Z18">
        <f t="shared" si="2"/>
        <v>0</v>
      </c>
      <c r="AA18" s="1">
        <f t="shared" si="3"/>
        <v>0</v>
      </c>
      <c r="AB18" s="1">
        <f t="shared" si="4"/>
        <v>8</v>
      </c>
      <c r="AC18" s="1">
        <f t="shared" si="5"/>
        <v>0</v>
      </c>
      <c r="AD18" s="1">
        <f t="shared" si="6"/>
        <v>0</v>
      </c>
      <c r="AE18" s="1">
        <f t="shared" si="7"/>
        <v>0</v>
      </c>
      <c r="AF18" s="1">
        <f>IF(C18="Orlov",7.4*Stamoplysninger!$E$15,0)</f>
        <v>0</v>
      </c>
      <c r="AG18" s="383" t="str">
        <f>IF(AND(C18="Skema 1",B18="ma"),Arbejdstidsoversigt!$E$44,"")</f>
        <v/>
      </c>
      <c r="AH18" s="383" t="str">
        <f>IF(AND(C18="Skema 1",B18="ti"),Arbejdstidsoversigt!$E$45,"")</f>
        <v/>
      </c>
      <c r="AI18" s="383" t="str">
        <f>IF(AND(C18="Skema 1",B18="on"),Arbejdstidsoversigt!$E$46,"")</f>
        <v/>
      </c>
      <c r="AJ18" s="383" t="str">
        <f>IF(AND(C18="Skema 1",B18="to"),Arbejdstidsoversigt!$E$47,"")</f>
        <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8</v>
      </c>
      <c r="BB18" s="421">
        <f t="shared" si="8"/>
        <v>0</v>
      </c>
      <c r="BC18" s="1">
        <f t="shared" si="20"/>
        <v>0</v>
      </c>
      <c r="BD18" s="1">
        <f t="shared" si="9"/>
        <v>0</v>
      </c>
      <c r="BE18" s="1">
        <f t="shared" si="10"/>
        <v>4.5</v>
      </c>
      <c r="BF18" s="1">
        <f t="shared" si="11"/>
        <v>0</v>
      </c>
      <c r="BG18" s="382" t="str">
        <f>IF(AND(C18="Skema 1",B18="ma"),Skemaoplysninger!$E$28,"")</f>
        <v/>
      </c>
      <c r="BH18" s="382" t="str">
        <f>IF(AND(C18="Skema 1",B18="ti"),Skemaoplysninger!$F$28,"")</f>
        <v/>
      </c>
      <c r="BI18" s="382" t="str">
        <f>IF(AND(C18="Skema 1",B18="on"),Skemaoplysninger!$G$28,"")</f>
        <v/>
      </c>
      <c r="BJ18" s="382" t="str">
        <f>IF(AND(C18="Skema 1",B18="to"),Skemaoplysninger!$H$28,"")</f>
        <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4.5</v>
      </c>
      <c r="CB18" s="1">
        <f t="shared" si="12"/>
        <v>1</v>
      </c>
      <c r="CC18" s="1">
        <f t="shared" si="13"/>
        <v>0</v>
      </c>
      <c r="CD18" s="382" t="str">
        <f>IF(AND(C18="Skema 1",B18="ma"),Skemaoplysninger!$E$37,"")</f>
        <v/>
      </c>
      <c r="CE18" s="382" t="str">
        <f>IF(AND(C18="Skema 1",B18="ti"),Skemaoplysninger!$F$37,"")</f>
        <v/>
      </c>
      <c r="CF18" s="382" t="str">
        <f>IF(AND(C18="Skema 1",B18="on"),Skemaoplysninger!$G$37,"")</f>
        <v/>
      </c>
      <c r="CG18" s="382" t="str">
        <f>IF(AND(C18="Skema 1",B18="to"),Skemaoplysninger!$H$37,"")</f>
        <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1</v>
      </c>
      <c r="CY18" s="457">
        <f>IF(C18="Skema 1",Stamoplysninger!$H$30/200,0)</f>
        <v>0</v>
      </c>
      <c r="CZ18" s="457">
        <f>IF(C18="Skema 2",Stamoplysninger!$H$30/200,0)</f>
        <v>0</v>
      </c>
      <c r="DA18" s="457">
        <f>IF(C18="Skema 3",Stamoplysninger!$H$30/200,0)</f>
        <v>0</v>
      </c>
      <c r="DB18" s="457">
        <f>IF(C18="Skema 4",Stamoplysninger!$H$30/200,0)</f>
        <v>0</v>
      </c>
      <c r="DC18" s="457">
        <f>IF(C18="fagdag",Stamoplysninger!$H$30/200,0)</f>
        <v>1</v>
      </c>
      <c r="DD18" s="457">
        <f>IF(C18="emnedag",Stamoplysninger!$H$30/200,0)</f>
        <v>0</v>
      </c>
      <c r="DE18" s="457">
        <f>IF(C18="lejrskole",Stamoplysninger!$H$30/200,0)</f>
        <v>0</v>
      </c>
      <c r="DF18" s="457">
        <f>IF(C18="ekskursion",Stamoplysninger!$H$30/200,0)</f>
        <v>0</v>
      </c>
      <c r="DG18" s="457">
        <f t="shared" si="22"/>
        <v>1</v>
      </c>
    </row>
    <row r="19" spans="1:111">
      <c r="A19" s="443">
        <f t="shared" si="14"/>
        <v>11</v>
      </c>
      <c r="B19" s="218" t="str">
        <f t="shared" si="0"/>
        <v>ti</v>
      </c>
      <c r="C19" s="219" t="s">
        <v>155</v>
      </c>
      <c r="D19" s="220" t="str">
        <f t="shared" si="1"/>
        <v/>
      </c>
      <c r="E19" s="906"/>
      <c r="F19" s="907"/>
      <c r="G19" s="908"/>
      <c r="H19" s="526"/>
      <c r="I19" s="855"/>
      <c r="J19" s="726"/>
      <c r="K19" s="669">
        <v>8</v>
      </c>
      <c r="L19" s="669">
        <v>4.5</v>
      </c>
      <c r="M19" s="669">
        <v>1</v>
      </c>
      <c r="N19" s="557">
        <f t="shared" si="15"/>
        <v>8</v>
      </c>
      <c r="O19" s="557">
        <f t="shared" si="16"/>
        <v>4.5</v>
      </c>
      <c r="P19" s="557">
        <f>IF(Stamoplysninger!$H$29="JA",Oktober!DG19,CX19)</f>
        <v>1</v>
      </c>
      <c r="Q19" s="557">
        <f t="shared" si="17"/>
        <v>2.5</v>
      </c>
      <c r="R19" s="558"/>
      <c r="S19" s="564"/>
      <c r="T19" s="565"/>
      <c r="U19" s="565"/>
      <c r="V19" s="559"/>
      <c r="W19" s="763"/>
      <c r="X19" s="560"/>
      <c r="Y19">
        <f t="shared" si="18"/>
        <v>0</v>
      </c>
      <c r="Z19">
        <f t="shared" si="2"/>
        <v>0</v>
      </c>
      <c r="AA19" s="1">
        <f t="shared" si="3"/>
        <v>0</v>
      </c>
      <c r="AB19" s="1">
        <f t="shared" si="4"/>
        <v>8</v>
      </c>
      <c r="AC19" s="1">
        <f t="shared" si="5"/>
        <v>0</v>
      </c>
      <c r="AD19" s="1">
        <f t="shared" si="6"/>
        <v>0</v>
      </c>
      <c r="AE19" s="1">
        <f t="shared" si="7"/>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t="str">
        <f>IF(AND(C19="Skema 1",B19="fr"),Arbejdstidsoversigt!$E$48,"")</f>
        <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8</v>
      </c>
      <c r="BB19" s="421">
        <f t="shared" si="8"/>
        <v>0</v>
      </c>
      <c r="BC19" s="1">
        <f t="shared" si="20"/>
        <v>0</v>
      </c>
      <c r="BD19" s="1">
        <f t="shared" si="9"/>
        <v>0</v>
      </c>
      <c r="BE19" s="1">
        <f t="shared" si="10"/>
        <v>4.5</v>
      </c>
      <c r="BF19" s="1">
        <f t="shared" si="11"/>
        <v>0</v>
      </c>
      <c r="BG19" s="382" t="str">
        <f>IF(AND(C19="Skema 1",B19="ma"),Skemaoplysninger!$E$28,"")</f>
        <v/>
      </c>
      <c r="BH19" s="382" t="str">
        <f>IF(AND(C19="Skema 1",B19="ti"),Skemaoplysninger!$F$28,"")</f>
        <v/>
      </c>
      <c r="BI19" s="382" t="str">
        <f>IF(AND(C19="Skema 1",B19="on"),Skemaoplysninger!$G$28,"")</f>
        <v/>
      </c>
      <c r="BJ19" s="382" t="str">
        <f>IF(AND(C19="Skema 1",B19="to"),Skemaoplysninger!$H$28,"")</f>
        <v/>
      </c>
      <c r="BK19" s="382" t="str">
        <f>IF(AND(C19="Skema 1",B19="fr"),Skemaoplysninger!$I$28,"")</f>
        <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4.5</v>
      </c>
      <c r="CB19" s="1">
        <f t="shared" si="12"/>
        <v>1</v>
      </c>
      <c r="CC19" s="1">
        <f t="shared" si="13"/>
        <v>0</v>
      </c>
      <c r="CD19" s="382" t="str">
        <f>IF(AND(C19="Skema 1",B19="ma"),Skemaoplysninger!$E$37,"")</f>
        <v/>
      </c>
      <c r="CE19" s="382" t="str">
        <f>IF(AND(C19="Skema 1",B19="ti"),Skemaoplysninger!$F$37,"")</f>
        <v/>
      </c>
      <c r="CF19" s="382" t="str">
        <f>IF(AND(C19="Skema 1",B19="on"),Skemaoplysninger!$G$37,"")</f>
        <v/>
      </c>
      <c r="CG19" s="382" t="str">
        <f>IF(AND(C19="Skema 1",B19="to"),Skemaoplysninger!$H$37,"")</f>
        <v/>
      </c>
      <c r="CH19" s="382" t="str">
        <f>IF(AND(C19="Skema 1",B19="fr"),Skemaoplysninger!$I$37,"")</f>
        <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1</v>
      </c>
      <c r="CY19" s="457">
        <f>IF(C19="Skema 1",Stamoplysninger!$H$30/200,0)</f>
        <v>0</v>
      </c>
      <c r="CZ19" s="457">
        <f>IF(C19="Skema 2",Stamoplysninger!$H$30/200,0)</f>
        <v>0</v>
      </c>
      <c r="DA19" s="457">
        <f>IF(C19="Skema 3",Stamoplysninger!$H$30/200,0)</f>
        <v>0</v>
      </c>
      <c r="DB19" s="457">
        <f>IF(C19="Skema 4",Stamoplysninger!$H$30/200,0)</f>
        <v>0</v>
      </c>
      <c r="DC19" s="457">
        <f>IF(C19="fagdag",Stamoplysninger!$H$30/200,0)</f>
        <v>1</v>
      </c>
      <c r="DD19" s="457">
        <f>IF(C19="emnedag",Stamoplysninger!$H$30/200,0)</f>
        <v>0</v>
      </c>
      <c r="DE19" s="457">
        <f>IF(C19="lejrskole",Stamoplysninger!$H$30/200,0)</f>
        <v>0</v>
      </c>
      <c r="DF19" s="457">
        <f>IF(C19="ekskursion",Stamoplysninger!$H$30/200,0)</f>
        <v>0</v>
      </c>
      <c r="DG19" s="457">
        <f t="shared" si="22"/>
        <v>1</v>
      </c>
    </row>
    <row r="20" spans="1:111">
      <c r="A20" s="443">
        <f>IF(ISNUMBER(A19),A19+1,1)</f>
        <v>12</v>
      </c>
      <c r="B20" s="218" t="str">
        <f t="shared" si="0"/>
        <v>on</v>
      </c>
      <c r="C20" s="219" t="s">
        <v>155</v>
      </c>
      <c r="D20" s="220" t="str">
        <f t="shared" si="1"/>
        <v/>
      </c>
      <c r="E20" s="906"/>
      <c r="F20" s="907"/>
      <c r="G20" s="908"/>
      <c r="H20" s="526"/>
      <c r="I20" s="855"/>
      <c r="J20" s="726"/>
      <c r="K20" s="669">
        <v>8</v>
      </c>
      <c r="L20" s="669">
        <v>4.5</v>
      </c>
      <c r="M20" s="669">
        <v>1</v>
      </c>
      <c r="N20" s="557">
        <f t="shared" si="15"/>
        <v>8</v>
      </c>
      <c r="O20" s="557">
        <f t="shared" si="16"/>
        <v>4.5</v>
      </c>
      <c r="P20" s="557">
        <f>IF(Stamoplysninger!$H$29="JA",Oktober!DG20,CX20)</f>
        <v>1</v>
      </c>
      <c r="Q20" s="557">
        <f t="shared" si="17"/>
        <v>2.5</v>
      </c>
      <c r="R20" s="558"/>
      <c r="S20" s="564"/>
      <c r="T20" s="565"/>
      <c r="U20" s="565"/>
      <c r="V20" s="559"/>
      <c r="W20" s="763"/>
      <c r="X20" s="560"/>
      <c r="Y20">
        <f t="shared" si="18"/>
        <v>0</v>
      </c>
      <c r="Z20">
        <f t="shared" si="2"/>
        <v>0</v>
      </c>
      <c r="AA20" s="1">
        <f t="shared" si="3"/>
        <v>0</v>
      </c>
      <c r="AB20" s="1">
        <f t="shared" si="4"/>
        <v>8</v>
      </c>
      <c r="AC20" s="1">
        <f t="shared" si="5"/>
        <v>0</v>
      </c>
      <c r="AD20" s="1">
        <f t="shared" si="6"/>
        <v>0</v>
      </c>
      <c r="AE20" s="1">
        <f t="shared" si="7"/>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8</v>
      </c>
      <c r="BB20" s="421">
        <f t="shared" si="8"/>
        <v>0</v>
      </c>
      <c r="BC20" s="1">
        <f t="shared" si="20"/>
        <v>0</v>
      </c>
      <c r="BD20" s="1">
        <f t="shared" si="9"/>
        <v>0</v>
      </c>
      <c r="BE20" s="1">
        <f t="shared" si="10"/>
        <v>4.5</v>
      </c>
      <c r="BF20" s="1">
        <f t="shared" si="11"/>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4.5</v>
      </c>
      <c r="CB20" s="1">
        <f t="shared" si="12"/>
        <v>1</v>
      </c>
      <c r="CC20" s="1">
        <f t="shared" si="13"/>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1</v>
      </c>
      <c r="CY20" s="457">
        <f>IF(C20="Skema 1",Stamoplysninger!$H$30/200,0)</f>
        <v>0</v>
      </c>
      <c r="CZ20" s="457">
        <f>IF(C20="Skema 2",Stamoplysninger!$H$30/200,0)</f>
        <v>0</v>
      </c>
      <c r="DA20" s="457">
        <f>IF(C20="Skema 3",Stamoplysninger!$H$30/200,0)</f>
        <v>0</v>
      </c>
      <c r="DB20" s="457">
        <f>IF(C20="Skema 4",Stamoplysninger!$H$30/200,0)</f>
        <v>0</v>
      </c>
      <c r="DC20" s="457">
        <f>IF(C20="fagdag",Stamoplysninger!$H$30/200,0)</f>
        <v>1</v>
      </c>
      <c r="DD20" s="457">
        <f>IF(C20="emnedag",Stamoplysninger!$H$30/200,0)</f>
        <v>0</v>
      </c>
      <c r="DE20" s="457">
        <f>IF(C20="lejrskole",Stamoplysninger!$H$30/200,0)</f>
        <v>0</v>
      </c>
      <c r="DF20" s="457">
        <f>IF(C20="ekskursion",Stamoplysninger!$H$30/200,0)</f>
        <v>0</v>
      </c>
      <c r="DG20" s="457">
        <f t="shared" si="22"/>
        <v>1</v>
      </c>
    </row>
    <row r="21" spans="1:111">
      <c r="A21" s="443">
        <f>IF(ISNUMBER(A20),A20+1,1)</f>
        <v>13</v>
      </c>
      <c r="B21" s="218" t="str">
        <f t="shared" si="0"/>
        <v>to</v>
      </c>
      <c r="C21" s="219" t="s">
        <v>155</v>
      </c>
      <c r="D21" s="220" t="str">
        <f t="shared" si="1"/>
        <v/>
      </c>
      <c r="E21" s="909"/>
      <c r="F21" s="910"/>
      <c r="G21" s="911"/>
      <c r="H21" s="525"/>
      <c r="I21" s="855"/>
      <c r="J21" s="726"/>
      <c r="K21" s="669">
        <v>8</v>
      </c>
      <c r="L21" s="669">
        <v>4.5</v>
      </c>
      <c r="M21" s="669">
        <v>1</v>
      </c>
      <c r="N21" s="557">
        <f t="shared" si="15"/>
        <v>8</v>
      </c>
      <c r="O21" s="557">
        <f t="shared" si="16"/>
        <v>4.5</v>
      </c>
      <c r="P21" s="557">
        <f>IF(Stamoplysninger!$H$29="JA",Oktober!DG21,CX21)</f>
        <v>1</v>
      </c>
      <c r="Q21" s="557">
        <f t="shared" si="17"/>
        <v>2.5</v>
      </c>
      <c r="R21" s="558"/>
      <c r="S21" s="564"/>
      <c r="T21" s="565"/>
      <c r="U21" s="565"/>
      <c r="V21" s="559"/>
      <c r="W21" s="763"/>
      <c r="X21" s="560"/>
      <c r="Y21">
        <f t="shared" si="18"/>
        <v>0</v>
      </c>
      <c r="Z21">
        <f t="shared" si="2"/>
        <v>0</v>
      </c>
      <c r="AA21" s="1">
        <f t="shared" si="3"/>
        <v>0</v>
      </c>
      <c r="AB21" s="1">
        <f t="shared" si="4"/>
        <v>8</v>
      </c>
      <c r="AC21" s="1">
        <f t="shared" si="5"/>
        <v>0</v>
      </c>
      <c r="AD21" s="1">
        <f t="shared" si="6"/>
        <v>0</v>
      </c>
      <c r="AE21" s="1">
        <f t="shared" si="7"/>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8</v>
      </c>
      <c r="BB21" s="421">
        <f t="shared" si="8"/>
        <v>0</v>
      </c>
      <c r="BC21" s="1">
        <f t="shared" si="20"/>
        <v>0</v>
      </c>
      <c r="BD21" s="1">
        <f t="shared" si="9"/>
        <v>0</v>
      </c>
      <c r="BE21" s="1">
        <f t="shared" si="10"/>
        <v>4.5</v>
      </c>
      <c r="BF21" s="1">
        <f t="shared" si="11"/>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4.5</v>
      </c>
      <c r="CB21" s="1">
        <f t="shared" si="12"/>
        <v>1</v>
      </c>
      <c r="CC21" s="1">
        <f t="shared" si="13"/>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1</v>
      </c>
      <c r="CY21" s="457">
        <f>IF(C21="Skema 1",Stamoplysninger!$H$30/200,0)</f>
        <v>0</v>
      </c>
      <c r="CZ21" s="457">
        <f>IF(C21="Skema 2",Stamoplysninger!$H$30/200,0)</f>
        <v>0</v>
      </c>
      <c r="DA21" s="457">
        <f>IF(C21="Skema 3",Stamoplysninger!$H$30/200,0)</f>
        <v>0</v>
      </c>
      <c r="DB21" s="457">
        <f>IF(C21="Skema 4",Stamoplysninger!$H$30/200,0)</f>
        <v>0</v>
      </c>
      <c r="DC21" s="457">
        <f>IF(C21="fagdag",Stamoplysninger!$H$30/200,0)</f>
        <v>1</v>
      </c>
      <c r="DD21" s="457">
        <f>IF(C21="emnedag",Stamoplysninger!$H$30/200,0)</f>
        <v>0</v>
      </c>
      <c r="DE21" s="457">
        <f>IF(C21="lejrskole",Stamoplysninger!$H$30/200,0)</f>
        <v>0</v>
      </c>
      <c r="DF21" s="457">
        <f>IF(C21="ekskursion",Stamoplysninger!$H$30/200,0)</f>
        <v>0</v>
      </c>
      <c r="DG21" s="457">
        <f t="shared" si="22"/>
        <v>1</v>
      </c>
    </row>
    <row r="22" spans="1:111">
      <c r="A22" s="443">
        <f t="shared" si="14"/>
        <v>14</v>
      </c>
      <c r="B22" s="218" t="str">
        <f t="shared" si="0"/>
        <v>fr</v>
      </c>
      <c r="C22" s="219" t="s">
        <v>155</v>
      </c>
      <c r="D22" s="220" t="str">
        <f t="shared" si="1"/>
        <v/>
      </c>
      <c r="E22" s="909"/>
      <c r="F22" s="910"/>
      <c r="G22" s="911"/>
      <c r="H22" s="525"/>
      <c r="I22" s="855"/>
      <c r="J22" s="726"/>
      <c r="K22" s="669">
        <v>6</v>
      </c>
      <c r="L22" s="669">
        <v>3</v>
      </c>
      <c r="M22" s="669">
        <v>0.75</v>
      </c>
      <c r="N22" s="557">
        <f t="shared" si="15"/>
        <v>6</v>
      </c>
      <c r="O22" s="557">
        <f t="shared" si="16"/>
        <v>3</v>
      </c>
      <c r="P22" s="557">
        <f>IF(Stamoplysninger!$H$29="JA",Oktober!DG22,CX22)</f>
        <v>0.75</v>
      </c>
      <c r="Q22" s="557">
        <f t="shared" si="17"/>
        <v>2.25</v>
      </c>
      <c r="R22" s="558"/>
      <c r="S22" s="564"/>
      <c r="T22" s="565"/>
      <c r="U22" s="565"/>
      <c r="V22" s="559"/>
      <c r="W22" s="763"/>
      <c r="X22" s="560"/>
      <c r="Y22">
        <f t="shared" si="18"/>
        <v>0</v>
      </c>
      <c r="Z22">
        <f t="shared" si="2"/>
        <v>0</v>
      </c>
      <c r="AA22" s="1">
        <f t="shared" si="3"/>
        <v>0</v>
      </c>
      <c r="AB22" s="1">
        <f t="shared" si="4"/>
        <v>6</v>
      </c>
      <c r="AC22" s="1">
        <f t="shared" si="5"/>
        <v>0</v>
      </c>
      <c r="AD22" s="1">
        <f t="shared" si="6"/>
        <v>0</v>
      </c>
      <c r="AE22" s="1">
        <f t="shared" si="7"/>
        <v>0</v>
      </c>
      <c r="AF22" s="1">
        <f>IF(C22="Orlov",7.4*Stamoplysninger!$E$15,0)</f>
        <v>0</v>
      </c>
      <c r="AG22" s="383" t="str">
        <f>IF(AND(C22="Skema 1",B22="ma"),Arbejdstidsoversigt!$E$44,"")</f>
        <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6</v>
      </c>
      <c r="BB22" s="421">
        <f t="shared" si="8"/>
        <v>0</v>
      </c>
      <c r="BC22" s="1">
        <f t="shared" si="20"/>
        <v>0</v>
      </c>
      <c r="BD22" s="1">
        <f t="shared" si="9"/>
        <v>0</v>
      </c>
      <c r="BE22" s="1">
        <f t="shared" si="10"/>
        <v>3</v>
      </c>
      <c r="BF22" s="1">
        <f t="shared" si="11"/>
        <v>0</v>
      </c>
      <c r="BG22" s="382" t="str">
        <f>IF(AND(C22="Skema 1",B22="ma"),Skemaoplysninger!$E$28,"")</f>
        <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v>
      </c>
      <c r="CB22" s="1">
        <f t="shared" si="12"/>
        <v>0.75</v>
      </c>
      <c r="CC22" s="1">
        <f t="shared" si="13"/>
        <v>0</v>
      </c>
      <c r="CD22" s="382" t="str">
        <f>IF(AND(C22="Skema 1",B22="ma"),Skemaoplysninger!$E$37,"")</f>
        <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0.75</v>
      </c>
      <c r="CY22" s="457">
        <f>IF(C22="Skema 1",Stamoplysninger!$H$30/200,0)</f>
        <v>0</v>
      </c>
      <c r="CZ22" s="457">
        <f>IF(C22="Skema 2",Stamoplysninger!$H$30/200,0)</f>
        <v>0</v>
      </c>
      <c r="DA22" s="457">
        <f>IF(C22="Skema 3",Stamoplysninger!$H$30/200,0)</f>
        <v>0</v>
      </c>
      <c r="DB22" s="457">
        <f>IF(C22="Skema 4",Stamoplysninger!$H$30/200,0)</f>
        <v>0</v>
      </c>
      <c r="DC22" s="457">
        <f>IF(C22="fagdag",Stamoplysninger!$H$30/200,0)</f>
        <v>1</v>
      </c>
      <c r="DD22" s="457">
        <f>IF(C22="emnedag",Stamoplysninger!$H$30/200,0)</f>
        <v>0</v>
      </c>
      <c r="DE22" s="457">
        <f>IF(C22="lejrskole",Stamoplysninger!$H$30/200,0)</f>
        <v>0</v>
      </c>
      <c r="DF22" s="457">
        <f>IF(C22="ekskursion",Stamoplysninger!$H$30/200,0)</f>
        <v>0</v>
      </c>
      <c r="DG22" s="457">
        <f t="shared" si="22"/>
        <v>1</v>
      </c>
    </row>
    <row r="23" spans="1:111">
      <c r="A23" s="443">
        <f t="shared" si="14"/>
        <v>15</v>
      </c>
      <c r="B23" s="218" t="str">
        <f t="shared" si="0"/>
        <v>lø</v>
      </c>
      <c r="C23" s="219" t="s">
        <v>138</v>
      </c>
      <c r="D23" s="220" t="str">
        <f t="shared" si="1"/>
        <v/>
      </c>
      <c r="E23" s="909"/>
      <c r="F23" s="910"/>
      <c r="G23" s="911"/>
      <c r="H23" s="525"/>
      <c r="I23" s="726"/>
      <c r="J23" s="726"/>
      <c r="K23" s="669"/>
      <c r="L23" s="669"/>
      <c r="M23" s="669"/>
      <c r="N23" s="557">
        <f t="shared" si="15"/>
        <v>0</v>
      </c>
      <c r="O23" s="557">
        <f t="shared" si="16"/>
        <v>0</v>
      </c>
      <c r="P23" s="557">
        <f>IF(Stamoplysninger!$H$29="JA",Oktober!DG23,CX23)</f>
        <v>0</v>
      </c>
      <c r="Q23" s="557">
        <f t="shared" si="17"/>
        <v>0</v>
      </c>
      <c r="R23" s="558"/>
      <c r="S23" s="564"/>
      <c r="T23" s="565"/>
      <c r="U23" s="565"/>
      <c r="V23" s="559"/>
      <c r="W23" s="763"/>
      <c r="X23" s="560"/>
      <c r="Y23">
        <f t="shared" si="18"/>
        <v>0</v>
      </c>
      <c r="Z23">
        <f t="shared" si="2"/>
        <v>0</v>
      </c>
      <c r="AA23" s="1">
        <f t="shared" si="3"/>
        <v>0</v>
      </c>
      <c r="AB23" s="1">
        <f t="shared" si="4"/>
        <v>0</v>
      </c>
      <c r="AC23" s="1">
        <f t="shared" si="5"/>
        <v>0</v>
      </c>
      <c r="AD23" s="1">
        <f t="shared" si="6"/>
        <v>0</v>
      </c>
      <c r="AE23" s="1">
        <f t="shared" si="7"/>
        <v>0</v>
      </c>
      <c r="AF23" s="1">
        <f>IF(C23="Orlov",7.4*Stamoplysninger!$E$15,0)</f>
        <v>0</v>
      </c>
      <c r="AG23" s="383" t="str">
        <f>IF(AND(C23="Skema 1",B23="ma"),Arbejdstidsoversigt!$E$44,"")</f>
        <v/>
      </c>
      <c r="AH23" s="383" t="str">
        <f>IF(AND(C23="Skema 1",B23="ti"),Arbejdstidsoversigt!$E$45,"")</f>
        <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0</v>
      </c>
      <c r="BB23" s="421">
        <f t="shared" si="8"/>
        <v>0</v>
      </c>
      <c r="BC23" s="1">
        <f t="shared" si="20"/>
        <v>0</v>
      </c>
      <c r="BD23" s="1">
        <f t="shared" si="9"/>
        <v>0</v>
      </c>
      <c r="BE23" s="1">
        <f t="shared" si="10"/>
        <v>0</v>
      </c>
      <c r="BF23" s="1">
        <f t="shared" si="11"/>
        <v>0</v>
      </c>
      <c r="BG23" s="382" t="str">
        <f>IF(AND(C23="Skema 1",B23="ma"),Skemaoplysninger!$E$28,"")</f>
        <v/>
      </c>
      <c r="BH23" s="382" t="str">
        <f>IF(AND(C23="Skema 1",B23="ti"),Skemaoplysninger!$F$28,"")</f>
        <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0</v>
      </c>
      <c r="CB23" s="1">
        <f t="shared" si="12"/>
        <v>0</v>
      </c>
      <c r="CC23" s="1">
        <f t="shared" si="13"/>
        <v>0</v>
      </c>
      <c r="CD23" s="382" t="str">
        <f>IF(AND(C23="Skema 1",B23="ma"),Skemaoplysninger!$E$37,"")</f>
        <v/>
      </c>
      <c r="CE23" s="382" t="str">
        <f>IF(AND(C23="Skema 1",B23="ti"),Skemaoplysninger!$F$37,"")</f>
        <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0</v>
      </c>
      <c r="CY23" s="457">
        <f>IF(C23="Skema 1",Stamoplysninger!$H$30/200,0)</f>
        <v>0</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0</v>
      </c>
    </row>
    <row r="24" spans="1:111">
      <c r="A24" s="443">
        <f>IF(ISNUMBER(A23),A23+1,1)</f>
        <v>16</v>
      </c>
      <c r="B24" s="218" t="str">
        <f t="shared" si="0"/>
        <v>sø</v>
      </c>
      <c r="C24" s="219" t="s">
        <v>138</v>
      </c>
      <c r="D24" s="220" t="str">
        <f t="shared" si="1"/>
        <v/>
      </c>
      <c r="E24" s="906"/>
      <c r="F24" s="907"/>
      <c r="G24" s="908"/>
      <c r="H24" s="526"/>
      <c r="I24" s="726"/>
      <c r="J24" s="726"/>
      <c r="K24" s="669"/>
      <c r="L24" s="669"/>
      <c r="M24" s="669"/>
      <c r="N24" s="557">
        <f t="shared" si="15"/>
        <v>0</v>
      </c>
      <c r="O24" s="557">
        <f t="shared" si="16"/>
        <v>0</v>
      </c>
      <c r="P24" s="557">
        <f>IF(Stamoplysninger!$H$29="JA",Oktober!DG24,CX24)</f>
        <v>0</v>
      </c>
      <c r="Q24" s="557">
        <f t="shared" si="17"/>
        <v>0</v>
      </c>
      <c r="R24" s="558"/>
      <c r="S24" s="564"/>
      <c r="T24" s="565"/>
      <c r="U24" s="565"/>
      <c r="V24" s="559"/>
      <c r="W24" s="763"/>
      <c r="X24" s="560"/>
      <c r="Y24">
        <f t="shared" si="18"/>
        <v>0</v>
      </c>
      <c r="Z24">
        <f t="shared" si="2"/>
        <v>0</v>
      </c>
      <c r="AA24" s="1">
        <f t="shared" si="3"/>
        <v>0</v>
      </c>
      <c r="AB24" s="1">
        <f t="shared" si="4"/>
        <v>0</v>
      </c>
      <c r="AC24" s="1">
        <f t="shared" si="5"/>
        <v>0</v>
      </c>
      <c r="AD24" s="1">
        <f t="shared" si="6"/>
        <v>0</v>
      </c>
      <c r="AE24" s="1">
        <f t="shared" si="7"/>
        <v>0</v>
      </c>
      <c r="AF24" s="1">
        <f>IF(C24="Orlov",7.4*Stamoplysninger!$E$15,0)</f>
        <v>0</v>
      </c>
      <c r="AG24" s="383" t="str">
        <f>IF(AND(C24="Skema 1",B24="ma"),Arbejdstidsoversigt!$E$44,"")</f>
        <v/>
      </c>
      <c r="AH24" s="383" t="str">
        <f>IF(AND(C24="Skema 1",B24="ti"),Arbejdstidsoversigt!$E$45,"")</f>
        <v/>
      </c>
      <c r="AI24" s="383" t="str">
        <f>IF(AND(C24="Skema 1",B24="on"),Arbejdstidsoversigt!$E$46,"")</f>
        <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0</v>
      </c>
      <c r="BB24" s="421">
        <f t="shared" si="8"/>
        <v>0</v>
      </c>
      <c r="BC24" s="1">
        <f t="shared" si="20"/>
        <v>0</v>
      </c>
      <c r="BD24" s="1">
        <f t="shared" si="9"/>
        <v>0</v>
      </c>
      <c r="BE24" s="1">
        <f t="shared" si="10"/>
        <v>0</v>
      </c>
      <c r="BF24" s="1">
        <f t="shared" si="11"/>
        <v>0</v>
      </c>
      <c r="BG24" s="382" t="str">
        <f>IF(AND(C24="Skema 1",B24="ma"),Skemaoplysninger!$E$28,"")</f>
        <v/>
      </c>
      <c r="BH24" s="382" t="str">
        <f>IF(AND(C24="Skema 1",B24="ti"),Skemaoplysninger!$F$28,"")</f>
        <v/>
      </c>
      <c r="BI24" s="382" t="str">
        <f>IF(AND(C24="Skema 1",B24="on"),Skemaoplysninger!$G$28,"")</f>
        <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0</v>
      </c>
      <c r="CB24" s="1">
        <f t="shared" si="12"/>
        <v>0</v>
      </c>
      <c r="CC24" s="1">
        <f t="shared" si="13"/>
        <v>0</v>
      </c>
      <c r="CD24" s="382" t="str">
        <f>IF(AND(C24="Skema 1",B24="ma"),Skemaoplysninger!$E$37,"")</f>
        <v/>
      </c>
      <c r="CE24" s="382" t="str">
        <f>IF(AND(C24="Skema 1",B24="ti"),Skemaoplysninger!$F$37,"")</f>
        <v/>
      </c>
      <c r="CF24" s="382" t="str">
        <f>IF(AND(C24="Skema 1",B24="on"),Skemaoplysninger!$G$37,"")</f>
        <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v>
      </c>
      <c r="CY24" s="457">
        <f>IF(C24="Skema 1",Stamoplysninger!$H$30/200,0)</f>
        <v>0</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0</v>
      </c>
    </row>
    <row r="25" spans="1:111">
      <c r="A25" s="443">
        <f t="shared" si="14"/>
        <v>17</v>
      </c>
      <c r="B25" s="218" t="str">
        <f t="shared" si="0"/>
        <v>ma</v>
      </c>
      <c r="C25" s="219" t="s">
        <v>245</v>
      </c>
      <c r="D25" s="220">
        <f t="shared" si="1"/>
        <v>42.285714285714285</v>
      </c>
      <c r="E25" s="906" t="s">
        <v>162</v>
      </c>
      <c r="F25" s="907"/>
      <c r="G25" s="908"/>
      <c r="H25" s="526"/>
      <c r="I25" s="855"/>
      <c r="J25" s="726"/>
      <c r="K25" s="669"/>
      <c r="L25" s="669"/>
      <c r="M25" s="669"/>
      <c r="N25" s="557">
        <f t="shared" si="15"/>
        <v>0</v>
      </c>
      <c r="O25" s="557">
        <f t="shared" si="16"/>
        <v>0</v>
      </c>
      <c r="P25" s="557">
        <f>IF(Stamoplysninger!$H$29="JA",Oktober!DG25,CX25)</f>
        <v>0</v>
      </c>
      <c r="Q25" s="557">
        <f t="shared" si="17"/>
        <v>0</v>
      </c>
      <c r="R25" s="558"/>
      <c r="S25" s="564"/>
      <c r="T25" s="565"/>
      <c r="U25" s="565"/>
      <c r="V25" s="559"/>
      <c r="W25" s="763"/>
      <c r="X25" s="560"/>
      <c r="Y25">
        <f t="shared" si="18"/>
        <v>0</v>
      </c>
      <c r="Z25">
        <f t="shared" si="2"/>
        <v>0</v>
      </c>
      <c r="AA25" s="1">
        <f t="shared" si="3"/>
        <v>0</v>
      </c>
      <c r="AB25" s="1">
        <f t="shared" si="4"/>
        <v>0</v>
      </c>
      <c r="AC25" s="1">
        <f t="shared" si="5"/>
        <v>0</v>
      </c>
      <c r="AD25" s="1">
        <f t="shared" si="6"/>
        <v>0</v>
      </c>
      <c r="AE25" s="1">
        <f t="shared" si="7"/>
        <v>0</v>
      </c>
      <c r="AF25" s="1">
        <f>IF(C25="Orlov",7.4*Stamoplysninger!$E$15,0)</f>
        <v>0</v>
      </c>
      <c r="AG25" s="383" t="str">
        <f>IF(AND(C25="Skema 1",B25="ma"),Arbejdstidsoversigt!$E$44,"")</f>
        <v/>
      </c>
      <c r="AH25" s="383" t="str">
        <f>IF(AND(C25="Skema 1",B25="ti"),Arbejdstidsoversigt!$E$45,"")</f>
        <v/>
      </c>
      <c r="AI25" s="383" t="str">
        <f>IF(AND(C25="Skema 1",B25="on"),Arbejdstidsoversigt!$E$46,"")</f>
        <v/>
      </c>
      <c r="AJ25" s="383" t="str">
        <f>IF(AND(C25="Skema 1",B25="to"),Arbejdstidsoversigt!$E$47,"")</f>
        <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0</v>
      </c>
      <c r="BB25" s="421">
        <f t="shared" si="8"/>
        <v>0</v>
      </c>
      <c r="BC25" s="1">
        <f t="shared" si="20"/>
        <v>0</v>
      </c>
      <c r="BD25" s="1">
        <f t="shared" si="9"/>
        <v>0</v>
      </c>
      <c r="BE25" s="1">
        <f t="shared" si="10"/>
        <v>0</v>
      </c>
      <c r="BF25" s="1">
        <f t="shared" si="11"/>
        <v>0</v>
      </c>
      <c r="BG25" s="382" t="str">
        <f>IF(AND(C25="Skema 1",B25="ma"),Skemaoplysninger!$E$28,"")</f>
        <v/>
      </c>
      <c r="BH25" s="382" t="str">
        <f>IF(AND(C25="Skema 1",B25="ti"),Skemaoplysninger!$F$28,"")</f>
        <v/>
      </c>
      <c r="BI25" s="382" t="str">
        <f>IF(AND(C25="Skema 1",B25="on"),Skemaoplysninger!$G$28,"")</f>
        <v/>
      </c>
      <c r="BJ25" s="382" t="str">
        <f>IF(AND(C25="Skema 1",B25="to"),Skemaoplysninger!$H$28,"")</f>
        <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0</v>
      </c>
      <c r="CB25" s="1">
        <f t="shared" si="12"/>
        <v>0</v>
      </c>
      <c r="CC25" s="1">
        <f t="shared" si="13"/>
        <v>0</v>
      </c>
      <c r="CD25" s="382" t="str">
        <f>IF(AND(C25="Skema 1",B25="ma"),Skemaoplysninger!$E$37,"")</f>
        <v/>
      </c>
      <c r="CE25" s="382" t="str">
        <f>IF(AND(C25="Skema 1",B25="ti"),Skemaoplysninger!$F$37,"")</f>
        <v/>
      </c>
      <c r="CF25" s="382" t="str">
        <f>IF(AND(C25="Skema 1",B25="on"),Skemaoplysninger!$G$37,"")</f>
        <v/>
      </c>
      <c r="CG25" s="382" t="str">
        <f>IF(AND(C25="Skema 1",B25="to"),Skemaoplysninger!$H$37,"")</f>
        <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v>
      </c>
      <c r="CY25" s="457">
        <f>IF(C25="Skema 1",Stamoplysninger!$H$30/200,0)</f>
        <v>0</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0</v>
      </c>
    </row>
    <row r="26" spans="1:111">
      <c r="A26" s="443">
        <f t="shared" si="14"/>
        <v>18</v>
      </c>
      <c r="B26" s="218" t="str">
        <f t="shared" si="0"/>
        <v>ti</v>
      </c>
      <c r="C26" s="219" t="s">
        <v>245</v>
      </c>
      <c r="D26" s="220" t="str">
        <f t="shared" si="1"/>
        <v/>
      </c>
      <c r="E26" s="906" t="s">
        <v>162</v>
      </c>
      <c r="F26" s="907"/>
      <c r="G26" s="908"/>
      <c r="H26" s="526"/>
      <c r="I26" s="855"/>
      <c r="J26" s="726"/>
      <c r="K26" s="669"/>
      <c r="L26" s="669"/>
      <c r="M26" s="669"/>
      <c r="N26" s="557">
        <f t="shared" si="15"/>
        <v>0</v>
      </c>
      <c r="O26" s="557">
        <f t="shared" si="16"/>
        <v>0</v>
      </c>
      <c r="P26" s="557">
        <f>IF(Stamoplysninger!$H$29="JA",Oktober!DG26,CX26)</f>
        <v>0</v>
      </c>
      <c r="Q26" s="557">
        <f t="shared" si="17"/>
        <v>0</v>
      </c>
      <c r="R26" s="558"/>
      <c r="S26" s="564"/>
      <c r="T26" s="565"/>
      <c r="U26" s="565"/>
      <c r="V26" s="559"/>
      <c r="W26" s="763"/>
      <c r="X26" s="560"/>
      <c r="Y26">
        <f t="shared" si="18"/>
        <v>0</v>
      </c>
      <c r="Z26">
        <f t="shared" si="2"/>
        <v>0</v>
      </c>
      <c r="AA26" s="1">
        <f t="shared" si="3"/>
        <v>0</v>
      </c>
      <c r="AB26" s="1">
        <f t="shared" si="4"/>
        <v>0</v>
      </c>
      <c r="AC26" s="1">
        <f t="shared" si="5"/>
        <v>0</v>
      </c>
      <c r="AD26" s="1">
        <f t="shared" si="6"/>
        <v>0</v>
      </c>
      <c r="AE26" s="1">
        <f t="shared" si="7"/>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t="str">
        <f>IF(AND(C26="Skema 1",B26="fr"),Arbejdstidsoversigt!$E$48,"")</f>
        <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0</v>
      </c>
      <c r="BB26" s="421">
        <f t="shared" si="8"/>
        <v>0</v>
      </c>
      <c r="BC26" s="1">
        <f t="shared" si="20"/>
        <v>0</v>
      </c>
      <c r="BD26" s="1">
        <f t="shared" si="9"/>
        <v>0</v>
      </c>
      <c r="BE26" s="1">
        <f t="shared" si="10"/>
        <v>0</v>
      </c>
      <c r="BF26" s="1">
        <f t="shared" si="11"/>
        <v>0</v>
      </c>
      <c r="BG26" s="382" t="str">
        <f>IF(AND(C26="Skema 1",B26="ma"),Skemaoplysninger!$E$28,"")</f>
        <v/>
      </c>
      <c r="BH26" s="382" t="str">
        <f>IF(AND(C26="Skema 1",B26="ti"),Skemaoplysninger!$F$28,"")</f>
        <v/>
      </c>
      <c r="BI26" s="382" t="str">
        <f>IF(AND(C26="Skema 1",B26="on"),Skemaoplysninger!$G$28,"")</f>
        <v/>
      </c>
      <c r="BJ26" s="382" t="str">
        <f>IF(AND(C26="Skema 1",B26="to"),Skemaoplysninger!$H$28,"")</f>
        <v/>
      </c>
      <c r="BK26" s="382" t="str">
        <f>IF(AND(C26="Skema 1",B26="fr"),Skemaoplysninger!$I$28,"")</f>
        <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0</v>
      </c>
      <c r="CB26" s="1">
        <f t="shared" si="12"/>
        <v>0</v>
      </c>
      <c r="CC26" s="1">
        <f t="shared" si="13"/>
        <v>0</v>
      </c>
      <c r="CD26" s="382" t="str">
        <f>IF(AND(C26="Skema 1",B26="ma"),Skemaoplysninger!$E$37,"")</f>
        <v/>
      </c>
      <c r="CE26" s="382" t="str">
        <f>IF(AND(C26="Skema 1",B26="ti"),Skemaoplysninger!$F$37,"")</f>
        <v/>
      </c>
      <c r="CF26" s="382" t="str">
        <f>IF(AND(C26="Skema 1",B26="on"),Skemaoplysninger!$G$37,"")</f>
        <v/>
      </c>
      <c r="CG26" s="382" t="str">
        <f>IF(AND(C26="Skema 1",B26="to"),Skemaoplysninger!$H$37,"")</f>
        <v/>
      </c>
      <c r="CH26" s="382" t="str">
        <f>IF(AND(C26="Skema 1",B26="fr"),Skemaoplysninger!$I$37,"")</f>
        <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v>
      </c>
      <c r="CY26" s="457">
        <f>IF(C26="Skema 1",Stamoplysninger!$H$30/200,0)</f>
        <v>0</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0</v>
      </c>
    </row>
    <row r="27" spans="1:111">
      <c r="A27" s="443">
        <f t="shared" si="14"/>
        <v>19</v>
      </c>
      <c r="B27" s="218" t="str">
        <f t="shared" si="0"/>
        <v>on</v>
      </c>
      <c r="C27" s="219" t="s">
        <v>245</v>
      </c>
      <c r="D27" s="220" t="str">
        <f t="shared" si="1"/>
        <v/>
      </c>
      <c r="E27" s="906" t="s">
        <v>162</v>
      </c>
      <c r="F27" s="907"/>
      <c r="G27" s="908"/>
      <c r="H27" s="526"/>
      <c r="I27" s="855"/>
      <c r="J27" s="726"/>
      <c r="K27" s="669"/>
      <c r="L27" s="669"/>
      <c r="M27" s="669"/>
      <c r="N27" s="557">
        <f t="shared" si="15"/>
        <v>0</v>
      </c>
      <c r="O27" s="557">
        <f t="shared" si="16"/>
        <v>0</v>
      </c>
      <c r="P27" s="557">
        <f>IF(Stamoplysninger!$H$29="JA",Oktober!DG27,CX27)</f>
        <v>0</v>
      </c>
      <c r="Q27" s="557">
        <f t="shared" si="17"/>
        <v>0</v>
      </c>
      <c r="R27" s="558"/>
      <c r="S27" s="564"/>
      <c r="T27" s="565"/>
      <c r="U27" s="565"/>
      <c r="V27" s="559"/>
      <c r="W27" s="763"/>
      <c r="X27" s="560"/>
      <c r="Y27">
        <f t="shared" si="18"/>
        <v>0</v>
      </c>
      <c r="Z27">
        <f t="shared" si="2"/>
        <v>0</v>
      </c>
      <c r="AA27" s="1">
        <f t="shared" si="3"/>
        <v>0</v>
      </c>
      <c r="AB27" s="1">
        <f t="shared" si="4"/>
        <v>0</v>
      </c>
      <c r="AC27" s="1">
        <f t="shared" si="5"/>
        <v>0</v>
      </c>
      <c r="AD27" s="1">
        <f t="shared" si="6"/>
        <v>0</v>
      </c>
      <c r="AE27" s="1">
        <f t="shared" si="7"/>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8"/>
        <v>0</v>
      </c>
      <c r="BC27" s="1">
        <f t="shared" si="20"/>
        <v>0</v>
      </c>
      <c r="BD27" s="1">
        <f t="shared" si="9"/>
        <v>0</v>
      </c>
      <c r="BE27" s="1">
        <f t="shared" si="10"/>
        <v>0</v>
      </c>
      <c r="BF27" s="1">
        <f t="shared" si="11"/>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2"/>
        <v>0</v>
      </c>
      <c r="CC27" s="1">
        <f t="shared" si="13"/>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4"/>
        <v>20</v>
      </c>
      <c r="B28" s="218" t="str">
        <f t="shared" si="0"/>
        <v>to</v>
      </c>
      <c r="C28" s="219" t="s">
        <v>245</v>
      </c>
      <c r="D28" s="220" t="str">
        <f t="shared" si="1"/>
        <v/>
      </c>
      <c r="E28" s="906" t="s">
        <v>162</v>
      </c>
      <c r="F28" s="907"/>
      <c r="G28" s="908"/>
      <c r="H28" s="526"/>
      <c r="I28" s="855"/>
      <c r="J28" s="726"/>
      <c r="K28" s="669"/>
      <c r="L28" s="669"/>
      <c r="M28" s="669"/>
      <c r="N28" s="557">
        <f t="shared" si="15"/>
        <v>0</v>
      </c>
      <c r="O28" s="557">
        <f t="shared" si="16"/>
        <v>0</v>
      </c>
      <c r="P28" s="557">
        <f>IF(Stamoplysninger!$H$29="JA",Oktober!DG28,CX28)</f>
        <v>0</v>
      </c>
      <c r="Q28" s="557">
        <f t="shared" si="17"/>
        <v>0</v>
      </c>
      <c r="R28" s="558"/>
      <c r="S28" s="564"/>
      <c r="T28" s="565"/>
      <c r="U28" s="565"/>
      <c r="V28" s="559"/>
      <c r="W28" s="763"/>
      <c r="X28" s="560"/>
      <c r="Y28">
        <f t="shared" si="18"/>
        <v>0</v>
      </c>
      <c r="Z28">
        <f t="shared" si="2"/>
        <v>0</v>
      </c>
      <c r="AA28" s="1">
        <f t="shared" si="3"/>
        <v>0</v>
      </c>
      <c r="AB28" s="1">
        <f t="shared" si="4"/>
        <v>0</v>
      </c>
      <c r="AC28" s="1">
        <f t="shared" si="5"/>
        <v>0</v>
      </c>
      <c r="AD28" s="1">
        <f t="shared" si="6"/>
        <v>0</v>
      </c>
      <c r="AE28" s="1">
        <f t="shared" si="7"/>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0</v>
      </c>
      <c r="BB28" s="421">
        <f t="shared" si="8"/>
        <v>0</v>
      </c>
      <c r="BC28" s="1">
        <f t="shared" si="20"/>
        <v>0</v>
      </c>
      <c r="BD28" s="1">
        <f t="shared" si="9"/>
        <v>0</v>
      </c>
      <c r="BE28" s="1">
        <f t="shared" si="10"/>
        <v>0</v>
      </c>
      <c r="BF28" s="1">
        <f t="shared" si="11"/>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0</v>
      </c>
      <c r="CB28" s="1">
        <f t="shared" si="12"/>
        <v>0</v>
      </c>
      <c r="CC28" s="1">
        <f t="shared" si="13"/>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v>
      </c>
      <c r="CY28" s="457">
        <f>IF(C28="Skema 1",Stamoplysninger!$H$30/200,0)</f>
        <v>0</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0</v>
      </c>
    </row>
    <row r="29" spans="1:111">
      <c r="A29" s="443">
        <f t="shared" si="14"/>
        <v>21</v>
      </c>
      <c r="B29" s="218" t="str">
        <f t="shared" si="0"/>
        <v>fr</v>
      </c>
      <c r="C29" s="219" t="s">
        <v>245</v>
      </c>
      <c r="D29" s="220" t="str">
        <f t="shared" si="1"/>
        <v/>
      </c>
      <c r="E29" s="906" t="s">
        <v>162</v>
      </c>
      <c r="F29" s="907"/>
      <c r="G29" s="908"/>
      <c r="H29" s="526"/>
      <c r="I29" s="855"/>
      <c r="J29" s="726"/>
      <c r="K29" s="669"/>
      <c r="L29" s="669"/>
      <c r="M29" s="669"/>
      <c r="N29" s="557">
        <f t="shared" si="15"/>
        <v>0</v>
      </c>
      <c r="O29" s="557">
        <f t="shared" si="16"/>
        <v>0</v>
      </c>
      <c r="P29" s="557">
        <f>IF(Stamoplysninger!$H$29="JA",Oktober!DG29,CX29)</f>
        <v>0</v>
      </c>
      <c r="Q29" s="557">
        <f t="shared" si="17"/>
        <v>0</v>
      </c>
      <c r="R29" s="558"/>
      <c r="S29" s="564"/>
      <c r="T29" s="565"/>
      <c r="U29" s="565"/>
      <c r="V29" s="559"/>
      <c r="W29" s="763"/>
      <c r="X29" s="560"/>
      <c r="Y29">
        <f t="shared" si="18"/>
        <v>0</v>
      </c>
      <c r="Z29">
        <f t="shared" si="2"/>
        <v>0</v>
      </c>
      <c r="AA29" s="1">
        <f t="shared" si="3"/>
        <v>0</v>
      </c>
      <c r="AB29" s="1">
        <f t="shared" si="4"/>
        <v>0</v>
      </c>
      <c r="AC29" s="1">
        <f t="shared" si="5"/>
        <v>0</v>
      </c>
      <c r="AD29" s="1">
        <f t="shared" si="6"/>
        <v>0</v>
      </c>
      <c r="AE29" s="1">
        <f t="shared" si="7"/>
        <v>0</v>
      </c>
      <c r="AF29" s="1">
        <f>IF(C29="Orlov",7.4*Stamoplysninger!$E$15,0)</f>
        <v>0</v>
      </c>
      <c r="AG29" s="383" t="str">
        <f>IF(AND(C29="Skema 1",B29="ma"),Arbejdstidsoversigt!$E$44,"")</f>
        <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0</v>
      </c>
      <c r="BB29" s="421">
        <f t="shared" si="8"/>
        <v>0</v>
      </c>
      <c r="BC29" s="1">
        <f t="shared" si="20"/>
        <v>0</v>
      </c>
      <c r="BD29" s="1">
        <f t="shared" si="9"/>
        <v>0</v>
      </c>
      <c r="BE29" s="1">
        <f t="shared" si="10"/>
        <v>0</v>
      </c>
      <c r="BF29" s="1">
        <f t="shared" si="11"/>
        <v>0</v>
      </c>
      <c r="BG29" s="382" t="str">
        <f>IF(AND(C29="Skema 1",B29="ma"),Skemaoplysninger!$E$28,"")</f>
        <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0</v>
      </c>
      <c r="CB29" s="1">
        <f t="shared" si="12"/>
        <v>0</v>
      </c>
      <c r="CC29" s="1">
        <f t="shared" si="13"/>
        <v>0</v>
      </c>
      <c r="CD29" s="382" t="str">
        <f>IF(AND(C29="Skema 1",B29="ma"),Skemaoplysninger!$E$37,"")</f>
        <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v>
      </c>
      <c r="CY29" s="457">
        <f>IF(C29="Skema 1",Stamoplysninger!$H$30/200,0)</f>
        <v>0</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0</v>
      </c>
    </row>
    <row r="30" spans="1:111">
      <c r="A30" s="443">
        <f t="shared" si="14"/>
        <v>22</v>
      </c>
      <c r="B30" s="218" t="str">
        <f t="shared" si="0"/>
        <v>lø</v>
      </c>
      <c r="C30" s="219" t="s">
        <v>138</v>
      </c>
      <c r="D30" s="220" t="str">
        <f t="shared" si="1"/>
        <v/>
      </c>
      <c r="E30" s="906"/>
      <c r="F30" s="907"/>
      <c r="G30" s="908"/>
      <c r="H30" s="526"/>
      <c r="I30" s="726"/>
      <c r="J30" s="726"/>
      <c r="K30" s="669"/>
      <c r="L30" s="669"/>
      <c r="M30" s="669"/>
      <c r="N30" s="557">
        <f t="shared" si="15"/>
        <v>0</v>
      </c>
      <c r="O30" s="557">
        <f t="shared" si="16"/>
        <v>0</v>
      </c>
      <c r="P30" s="557">
        <f>IF(Stamoplysninger!$H$29="JA",Oktober!DG30,CX30)</f>
        <v>0</v>
      </c>
      <c r="Q30" s="557">
        <f t="shared" si="17"/>
        <v>0</v>
      </c>
      <c r="R30" s="558"/>
      <c r="S30" s="564"/>
      <c r="T30" s="565"/>
      <c r="U30" s="565"/>
      <c r="V30" s="559"/>
      <c r="W30" s="763"/>
      <c r="X30" s="560"/>
      <c r="Y30">
        <f t="shared" si="18"/>
        <v>0</v>
      </c>
      <c r="Z30">
        <f t="shared" si="2"/>
        <v>0</v>
      </c>
      <c r="AA30" s="1">
        <f t="shared" si="3"/>
        <v>0</v>
      </c>
      <c r="AB30" s="1">
        <f t="shared" si="4"/>
        <v>0</v>
      </c>
      <c r="AC30" s="1">
        <f t="shared" si="5"/>
        <v>0</v>
      </c>
      <c r="AD30" s="1">
        <f t="shared" si="6"/>
        <v>0</v>
      </c>
      <c r="AE30" s="1">
        <f t="shared" si="7"/>
        <v>0</v>
      </c>
      <c r="AF30" s="1">
        <f>IF(C30="Orlov",7.4*Stamoplysninger!$E$15,0)</f>
        <v>0</v>
      </c>
      <c r="AG30" s="383" t="str">
        <f>IF(AND(C30="Skema 1",B30="ma"),Arbejdstidsoversigt!$E$44,"")</f>
        <v/>
      </c>
      <c r="AH30" s="383" t="str">
        <f>IF(AND(C30="Skema 1",B30="ti"),Arbejdstidsoversigt!$E$45,"")</f>
        <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0</v>
      </c>
      <c r="BB30" s="421">
        <f t="shared" si="8"/>
        <v>0</v>
      </c>
      <c r="BC30" s="1">
        <f t="shared" si="20"/>
        <v>0</v>
      </c>
      <c r="BD30" s="1">
        <f t="shared" si="9"/>
        <v>0</v>
      </c>
      <c r="BE30" s="1">
        <f t="shared" si="10"/>
        <v>0</v>
      </c>
      <c r="BF30" s="1">
        <f t="shared" si="11"/>
        <v>0</v>
      </c>
      <c r="BG30" s="382" t="str">
        <f>IF(AND(C30="Skema 1",B30="ma"),Skemaoplysninger!$E$28,"")</f>
        <v/>
      </c>
      <c r="BH30" s="382" t="str">
        <f>IF(AND(C30="Skema 1",B30="ti"),Skemaoplysninger!$F$28,"")</f>
        <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0</v>
      </c>
      <c r="CB30" s="1">
        <f t="shared" si="12"/>
        <v>0</v>
      </c>
      <c r="CC30" s="1">
        <f t="shared" si="13"/>
        <v>0</v>
      </c>
      <c r="CD30" s="382" t="str">
        <f>IF(AND(C30="Skema 1",B30="ma"),Skemaoplysninger!$E$37,"")</f>
        <v/>
      </c>
      <c r="CE30" s="382" t="str">
        <f>IF(AND(C30="Skema 1",B30="ti"),Skemaoplysninger!$F$37,"")</f>
        <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0</v>
      </c>
      <c r="CY30" s="457">
        <f>IF(C30="Skema 1",Stamoplysninger!$H$30/200,0)</f>
        <v>0</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0</v>
      </c>
    </row>
    <row r="31" spans="1:111">
      <c r="A31" s="443">
        <f t="shared" si="14"/>
        <v>23</v>
      </c>
      <c r="B31" s="218" t="str">
        <f t="shared" si="0"/>
        <v>sø</v>
      </c>
      <c r="C31" s="219" t="s">
        <v>138</v>
      </c>
      <c r="D31" s="220" t="str">
        <f t="shared" si="1"/>
        <v/>
      </c>
      <c r="E31" s="906"/>
      <c r="F31" s="907"/>
      <c r="G31" s="908"/>
      <c r="H31" s="526"/>
      <c r="I31" s="726"/>
      <c r="J31" s="726"/>
      <c r="K31" s="669"/>
      <c r="L31" s="669"/>
      <c r="M31" s="669"/>
      <c r="N31" s="557">
        <f t="shared" si="15"/>
        <v>0</v>
      </c>
      <c r="O31" s="557">
        <f t="shared" si="16"/>
        <v>0</v>
      </c>
      <c r="P31" s="557">
        <f>IF(Stamoplysninger!$H$29="JA",Oktober!DG31,CX31)</f>
        <v>0</v>
      </c>
      <c r="Q31" s="557">
        <f t="shared" si="17"/>
        <v>0</v>
      </c>
      <c r="R31" s="558"/>
      <c r="S31" s="564"/>
      <c r="T31" s="565"/>
      <c r="U31" s="565"/>
      <c r="V31" s="559"/>
      <c r="W31" s="763"/>
      <c r="X31" s="560"/>
      <c r="Y31">
        <f t="shared" si="18"/>
        <v>0</v>
      </c>
      <c r="Z31">
        <f t="shared" si="2"/>
        <v>0</v>
      </c>
      <c r="AA31" s="1">
        <f t="shared" si="3"/>
        <v>0</v>
      </c>
      <c r="AB31" s="1">
        <f t="shared" si="4"/>
        <v>0</v>
      </c>
      <c r="AC31" s="1">
        <f t="shared" si="5"/>
        <v>0</v>
      </c>
      <c r="AD31" s="1">
        <f t="shared" si="6"/>
        <v>0</v>
      </c>
      <c r="AE31" s="1">
        <f t="shared" si="7"/>
        <v>0</v>
      </c>
      <c r="AF31" s="1">
        <f>IF(C31="Orlov",7.4*Stamoplysninger!$E$15,0)</f>
        <v>0</v>
      </c>
      <c r="AG31" s="383" t="str">
        <f>IF(AND(C31="Skema 1",B31="ma"),Arbejdstidsoversigt!$E$44,"")</f>
        <v/>
      </c>
      <c r="AH31" s="383" t="str">
        <f>IF(AND(C31="Skema 1",B31="ti"),Arbejdstidsoversigt!$E$45,"")</f>
        <v/>
      </c>
      <c r="AI31" s="383" t="str">
        <f>IF(AND(C31="Skema 1",B31="on"),Arbejdstidsoversigt!$E$46,"")</f>
        <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0</v>
      </c>
      <c r="BB31" s="421">
        <f t="shared" si="8"/>
        <v>0</v>
      </c>
      <c r="BC31" s="1">
        <f t="shared" si="20"/>
        <v>0</v>
      </c>
      <c r="BD31" s="1">
        <f t="shared" si="9"/>
        <v>0</v>
      </c>
      <c r="BE31" s="1">
        <f t="shared" si="10"/>
        <v>0</v>
      </c>
      <c r="BF31" s="1">
        <f t="shared" si="11"/>
        <v>0</v>
      </c>
      <c r="BG31" s="382" t="str">
        <f>IF(AND(C31="Skema 1",B31="ma"),Skemaoplysninger!$E$28,"")</f>
        <v/>
      </c>
      <c r="BH31" s="382" t="str">
        <f>IF(AND(C31="Skema 1",B31="ti"),Skemaoplysninger!$F$28,"")</f>
        <v/>
      </c>
      <c r="BI31" s="382" t="str">
        <f>IF(AND(C31="Skema 1",B31="on"),Skemaoplysninger!$G$28,"")</f>
        <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0</v>
      </c>
      <c r="CB31" s="1">
        <f t="shared" si="12"/>
        <v>0</v>
      </c>
      <c r="CC31" s="1">
        <f t="shared" si="13"/>
        <v>0</v>
      </c>
      <c r="CD31" s="382" t="str">
        <f>IF(AND(C31="Skema 1",B31="ma"),Skemaoplysninger!$E$37,"")</f>
        <v/>
      </c>
      <c r="CE31" s="382" t="str">
        <f>IF(AND(C31="Skema 1",B31="ti"),Skemaoplysninger!$F$37,"")</f>
        <v/>
      </c>
      <c r="CF31" s="382" t="str">
        <f>IF(AND(C31="Skema 1",B31="on"),Skemaoplysninger!$G$37,"")</f>
        <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v>
      </c>
      <c r="CY31" s="457">
        <f>IF(C31="Skema 1",Stamoplysninger!$H$30/200,0)</f>
        <v>0</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0</v>
      </c>
    </row>
    <row r="32" spans="1:111">
      <c r="A32" s="443">
        <f t="shared" si="14"/>
        <v>24</v>
      </c>
      <c r="B32" s="218" t="str">
        <f t="shared" si="0"/>
        <v>ma</v>
      </c>
      <c r="C32" s="219" t="s">
        <v>241</v>
      </c>
      <c r="D32" s="220">
        <f t="shared" si="1"/>
        <v>43.285714285714285</v>
      </c>
      <c r="E32" s="449"/>
      <c r="F32" s="450"/>
      <c r="G32" s="451"/>
      <c r="H32" s="526"/>
      <c r="I32" s="855"/>
      <c r="J32" s="726"/>
      <c r="K32" s="669"/>
      <c r="L32" s="669"/>
      <c r="M32" s="669"/>
      <c r="N32" s="557">
        <f t="shared" si="15"/>
        <v>8</v>
      </c>
      <c r="O32" s="557">
        <f t="shared" si="16"/>
        <v>3.75</v>
      </c>
      <c r="P32" s="557">
        <f>IF(Stamoplysninger!$H$29="JA",Oktober!DG32,CX32)</f>
        <v>0.91666666666666674</v>
      </c>
      <c r="Q32" s="557">
        <f t="shared" si="17"/>
        <v>3.333333333333333</v>
      </c>
      <c r="R32" s="558"/>
      <c r="S32" s="564"/>
      <c r="T32" s="565"/>
      <c r="U32" s="565"/>
      <c r="V32" s="559"/>
      <c r="W32" s="763"/>
      <c r="X32" s="560"/>
      <c r="Y32">
        <f t="shared" si="18"/>
        <v>0</v>
      </c>
      <c r="Z32">
        <f t="shared" si="2"/>
        <v>0</v>
      </c>
      <c r="AA32" s="1">
        <f t="shared" si="3"/>
        <v>0</v>
      </c>
      <c r="AB32" s="1">
        <f t="shared" si="4"/>
        <v>0</v>
      </c>
      <c r="AC32" s="1">
        <f t="shared" si="5"/>
        <v>0</v>
      </c>
      <c r="AD32" s="1">
        <f t="shared" si="6"/>
        <v>0</v>
      </c>
      <c r="AE32" s="1">
        <f t="shared" si="7"/>
        <v>0</v>
      </c>
      <c r="AF32" s="1">
        <f>IF(C32="Orlov",7.4*Stamoplysninger!$E$15,0)</f>
        <v>0</v>
      </c>
      <c r="AG32" s="383">
        <f>IF(AND(C32="Skema 1",B32="ma"),Arbejdstidsoversigt!$E$44,"")</f>
        <v>8</v>
      </c>
      <c r="AH32" s="383" t="str">
        <f>IF(AND(C32="Skema 1",B32="ti"),Arbejdstidsoversigt!$E$45,"")</f>
        <v/>
      </c>
      <c r="AI32" s="383" t="str">
        <f>IF(AND(C32="Skema 1",B32="on"),Arbejdstidsoversigt!$E$46,"")</f>
        <v/>
      </c>
      <c r="AJ32" s="383" t="str">
        <f>IF(AND(C32="Skema 1",B32="to"),Arbejdstidsoversigt!$E$47,"")</f>
        <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8</v>
      </c>
      <c r="BB32" s="421">
        <f t="shared" si="8"/>
        <v>192</v>
      </c>
      <c r="BC32" s="1">
        <f t="shared" si="20"/>
        <v>0</v>
      </c>
      <c r="BD32" s="1">
        <f t="shared" si="9"/>
        <v>0</v>
      </c>
      <c r="BE32" s="1">
        <f t="shared" si="10"/>
        <v>0</v>
      </c>
      <c r="BF32" s="1">
        <f t="shared" si="11"/>
        <v>0</v>
      </c>
      <c r="BG32" s="382">
        <f>IF(AND(C32="Skema 1",B32="ma"),Skemaoplysninger!$E$28,"")</f>
        <v>0.15625</v>
      </c>
      <c r="BH32" s="382" t="str">
        <f>IF(AND(C32="Skema 1",B32="ti"),Skemaoplysninger!$F$28,"")</f>
        <v/>
      </c>
      <c r="BI32" s="382" t="str">
        <f>IF(AND(C32="Skema 1",B32="on"),Skemaoplysninger!$G$28,"")</f>
        <v/>
      </c>
      <c r="BJ32" s="382" t="str">
        <f>IF(AND(C32="Skema 1",B32="to"),Skemaoplysninger!$H$28,"")</f>
        <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3.75</v>
      </c>
      <c r="CB32" s="1">
        <f t="shared" si="12"/>
        <v>0</v>
      </c>
      <c r="CC32" s="1">
        <f t="shared" si="13"/>
        <v>0</v>
      </c>
      <c r="CD32" s="382">
        <f>IF(AND(C32="Skema 1",B32="ma"),Skemaoplysninger!$E$37,"")</f>
        <v>0.91666666666666674</v>
      </c>
      <c r="CE32" s="382" t="str">
        <f>IF(AND(C32="Skema 1",B32="ti"),Skemaoplysninger!$F$37,"")</f>
        <v/>
      </c>
      <c r="CF32" s="382" t="str">
        <f>IF(AND(C32="Skema 1",B32="on"),Skemaoplysninger!$G$37,"")</f>
        <v/>
      </c>
      <c r="CG32" s="382" t="str">
        <f>IF(AND(C32="Skema 1",B32="to"),Skemaoplysninger!$H$37,"")</f>
        <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0.91666666666666674</v>
      </c>
      <c r="CY32" s="457">
        <f>IF(C32="Skema 1",Stamoplysninger!$H$30/200,0)</f>
        <v>1</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4"/>
        <v>25</v>
      </c>
      <c r="B33" s="218" t="str">
        <f t="shared" si="0"/>
        <v>ti</v>
      </c>
      <c r="C33" s="219" t="s">
        <v>155</v>
      </c>
      <c r="D33" s="220" t="str">
        <f t="shared" si="1"/>
        <v/>
      </c>
      <c r="E33" s="906" t="s">
        <v>8</v>
      </c>
      <c r="F33" s="907"/>
      <c r="G33" s="908"/>
      <c r="H33" s="526"/>
      <c r="I33" s="855"/>
      <c r="J33" s="726"/>
      <c r="K33" s="669">
        <v>8</v>
      </c>
      <c r="L33" s="669">
        <v>4.5</v>
      </c>
      <c r="M33" s="669">
        <v>1</v>
      </c>
      <c r="N33" s="557">
        <f t="shared" si="15"/>
        <v>8</v>
      </c>
      <c r="O33" s="557">
        <f t="shared" si="16"/>
        <v>4.5</v>
      </c>
      <c r="P33" s="557">
        <f>IF(Stamoplysninger!$H$29="JA",Oktober!DG33,CX33)</f>
        <v>1</v>
      </c>
      <c r="Q33" s="557">
        <f t="shared" si="17"/>
        <v>2.5</v>
      </c>
      <c r="R33" s="558"/>
      <c r="S33" s="564"/>
      <c r="T33" s="565"/>
      <c r="U33" s="565"/>
      <c r="V33" s="559"/>
      <c r="W33" s="763"/>
      <c r="X33" s="560"/>
      <c r="Y33">
        <f t="shared" si="18"/>
        <v>0</v>
      </c>
      <c r="Z33">
        <f t="shared" si="2"/>
        <v>0</v>
      </c>
      <c r="AA33" s="1">
        <f t="shared" si="3"/>
        <v>0</v>
      </c>
      <c r="AB33" s="1">
        <f t="shared" si="4"/>
        <v>8</v>
      </c>
      <c r="AC33" s="1">
        <f t="shared" si="5"/>
        <v>0</v>
      </c>
      <c r="AD33" s="1">
        <f t="shared" si="6"/>
        <v>0</v>
      </c>
      <c r="AE33" s="1">
        <f t="shared" si="7"/>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t="str">
        <f>IF(AND(C33="Skema 1",B33="fr"),Arbejdstidsoversigt!$E$48,"")</f>
        <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8</v>
      </c>
      <c r="BB33" s="421">
        <f t="shared" si="8"/>
        <v>0</v>
      </c>
      <c r="BC33" s="1">
        <f t="shared" si="20"/>
        <v>0</v>
      </c>
      <c r="BD33" s="1">
        <f t="shared" si="9"/>
        <v>0</v>
      </c>
      <c r="BE33" s="1">
        <f t="shared" si="10"/>
        <v>4.5</v>
      </c>
      <c r="BF33" s="1">
        <f t="shared" si="11"/>
        <v>0</v>
      </c>
      <c r="BG33" s="382" t="str">
        <f>IF(AND(C33="Skema 1",B33="ma"),Skemaoplysninger!$E$28,"")</f>
        <v/>
      </c>
      <c r="BH33" s="382" t="str">
        <f>IF(AND(C33="Skema 1",B33="ti"),Skemaoplysninger!$F$28,"")</f>
        <v/>
      </c>
      <c r="BI33" s="382" t="str">
        <f>IF(AND(C33="Skema 1",B33="on"),Skemaoplysninger!$G$28,"")</f>
        <v/>
      </c>
      <c r="BJ33" s="382" t="str">
        <f>IF(AND(C33="Skema 1",B33="to"),Skemaoplysninger!$H$28,"")</f>
        <v/>
      </c>
      <c r="BK33" s="382" t="str">
        <f>IF(AND(C33="Skema 1",B33="fr"),Skemaoplysninger!$I$28,"")</f>
        <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4.5</v>
      </c>
      <c r="CB33" s="1">
        <f t="shared" si="12"/>
        <v>1</v>
      </c>
      <c r="CC33" s="1">
        <f t="shared" si="13"/>
        <v>0</v>
      </c>
      <c r="CD33" s="382" t="str">
        <f>IF(AND(C33="Skema 1",B33="ma"),Skemaoplysninger!$E$37,"")</f>
        <v/>
      </c>
      <c r="CE33" s="382" t="str">
        <f>IF(AND(C33="Skema 1",B33="ti"),Skemaoplysninger!$F$37,"")</f>
        <v/>
      </c>
      <c r="CF33" s="382" t="str">
        <f>IF(AND(C33="Skema 1",B33="on"),Skemaoplysninger!$G$37,"")</f>
        <v/>
      </c>
      <c r="CG33" s="382" t="str">
        <f>IF(AND(C33="Skema 1",B33="to"),Skemaoplysninger!$H$37,"")</f>
        <v/>
      </c>
      <c r="CH33" s="382" t="str">
        <f>IF(AND(C33="Skema 1",B33="fr"),Skemaoplysninger!$I$37,"")</f>
        <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1</v>
      </c>
      <c r="CY33" s="457">
        <f>IF(C33="Skema 1",Stamoplysninger!$H$30/200,0)</f>
        <v>0</v>
      </c>
      <c r="CZ33" s="457">
        <f>IF(C33="Skema 2",Stamoplysninger!$H$30/200,0)</f>
        <v>0</v>
      </c>
      <c r="DA33" s="457">
        <f>IF(C33="Skema 3",Stamoplysninger!$H$30/200,0)</f>
        <v>0</v>
      </c>
      <c r="DB33" s="457">
        <f>IF(C33="Skema 4",Stamoplysninger!$H$30/200,0)</f>
        <v>0</v>
      </c>
      <c r="DC33" s="457">
        <f>IF(C33="fagdag",Stamoplysninger!$H$30/200,0)</f>
        <v>1</v>
      </c>
      <c r="DD33" s="457">
        <f>IF(C33="emnedag",Stamoplysninger!$H$30/200,0)</f>
        <v>0</v>
      </c>
      <c r="DE33" s="457">
        <f>IF(C33="lejrskole",Stamoplysninger!$H$30/200,0)</f>
        <v>0</v>
      </c>
      <c r="DF33" s="457">
        <f>IF(C33="ekskursion",Stamoplysninger!$H$30/200,0)</f>
        <v>0</v>
      </c>
      <c r="DG33" s="457">
        <f t="shared" si="22"/>
        <v>1</v>
      </c>
    </row>
    <row r="34" spans="1:111">
      <c r="A34" s="443">
        <f t="shared" si="14"/>
        <v>26</v>
      </c>
      <c r="B34" s="218" t="str">
        <f t="shared" si="0"/>
        <v>on</v>
      </c>
      <c r="C34" s="219" t="s">
        <v>241</v>
      </c>
      <c r="D34" s="220" t="str">
        <f t="shared" si="1"/>
        <v/>
      </c>
      <c r="E34" s="906"/>
      <c r="F34" s="907"/>
      <c r="G34" s="908"/>
      <c r="H34" s="526"/>
      <c r="I34" s="855"/>
      <c r="J34" s="726"/>
      <c r="K34" s="669"/>
      <c r="L34" s="669"/>
      <c r="M34" s="669"/>
      <c r="N34" s="557">
        <f t="shared" si="15"/>
        <v>8</v>
      </c>
      <c r="O34" s="557">
        <f t="shared" si="16"/>
        <v>3.75</v>
      </c>
      <c r="P34" s="557">
        <f>IF(Stamoplysninger!$H$29="JA",Oktober!DG34,CX34)</f>
        <v>0.91666666666666674</v>
      </c>
      <c r="Q34" s="557">
        <f t="shared" si="17"/>
        <v>3.333333333333333</v>
      </c>
      <c r="R34" s="558"/>
      <c r="S34" s="564"/>
      <c r="T34" s="565"/>
      <c r="U34" s="565"/>
      <c r="V34" s="559"/>
      <c r="W34" s="763"/>
      <c r="X34" s="560"/>
      <c r="Y34">
        <f t="shared" si="18"/>
        <v>0</v>
      </c>
      <c r="Z34">
        <f t="shared" si="2"/>
        <v>0</v>
      </c>
      <c r="AA34" s="1">
        <f t="shared" si="3"/>
        <v>0</v>
      </c>
      <c r="AB34" s="1">
        <f t="shared" si="4"/>
        <v>0</v>
      </c>
      <c r="AC34" s="1">
        <f t="shared" si="5"/>
        <v>0</v>
      </c>
      <c r="AD34" s="1">
        <f t="shared" si="6"/>
        <v>0</v>
      </c>
      <c r="AE34" s="1">
        <f t="shared" si="7"/>
        <v>0</v>
      </c>
      <c r="AF34" s="1">
        <f>IF(C34="Orlov",7.4*Stamoplysninger!$E$15,0)</f>
        <v>0</v>
      </c>
      <c r="AG34" s="383" t="str">
        <f>IF(AND(C34="Skema 1",B34="ma"),Arbejdstidsoversigt!$E$44,"")</f>
        <v/>
      </c>
      <c r="AH34" s="383" t="str">
        <f>IF(AND(C34="Skema 1",B34="ti"),Arbejdstidsoversigt!$E$45,"")</f>
        <v/>
      </c>
      <c r="AI34" s="383">
        <f>IF(AND(C34="Skema 1",B34="on"),Arbejdstidsoversigt!$E$46,"")</f>
        <v>8</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8</v>
      </c>
      <c r="BB34" s="421">
        <f t="shared" si="8"/>
        <v>192</v>
      </c>
      <c r="BC34" s="1">
        <f t="shared" si="20"/>
        <v>0</v>
      </c>
      <c r="BD34" s="1">
        <f t="shared" si="9"/>
        <v>0</v>
      </c>
      <c r="BE34" s="1">
        <f t="shared" si="10"/>
        <v>0</v>
      </c>
      <c r="BF34" s="1">
        <f t="shared" si="11"/>
        <v>0</v>
      </c>
      <c r="BG34" s="382" t="str">
        <f>IF(AND(C34="Skema 1",B34="ma"),Skemaoplysninger!$E$28,"")</f>
        <v/>
      </c>
      <c r="BH34" s="382" t="str">
        <f>IF(AND(C34="Skema 1",B34="ti"),Skemaoplysninger!$F$28,"")</f>
        <v/>
      </c>
      <c r="BI34" s="382">
        <f>IF(AND(C34="Skema 1",B34="on"),Skemaoplysninger!$G$28,"")</f>
        <v>0.15625</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3.75</v>
      </c>
      <c r="CB34" s="1">
        <f t="shared" si="12"/>
        <v>0</v>
      </c>
      <c r="CC34" s="1">
        <f t="shared" si="13"/>
        <v>0</v>
      </c>
      <c r="CD34" s="382" t="str">
        <f>IF(AND(C34="Skema 1",B34="ma"),Skemaoplysninger!$E$37,"")</f>
        <v/>
      </c>
      <c r="CE34" s="382" t="str">
        <f>IF(AND(C34="Skema 1",B34="ti"),Skemaoplysninger!$F$37,"")</f>
        <v/>
      </c>
      <c r="CF34" s="382">
        <f>IF(AND(C34="Skema 1",B34="on"),Skemaoplysninger!$G$37,"")</f>
        <v>0.91666666666666674</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0.91666666666666674</v>
      </c>
      <c r="CY34" s="457">
        <f>IF(C34="Skema 1",Stamoplysninger!$H$30/200,0)</f>
        <v>1</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1</v>
      </c>
    </row>
    <row r="35" spans="1:111">
      <c r="A35" s="443">
        <f t="shared" si="14"/>
        <v>27</v>
      </c>
      <c r="B35" s="218" t="str">
        <f t="shared" si="0"/>
        <v>to</v>
      </c>
      <c r="C35" s="219" t="s">
        <v>241</v>
      </c>
      <c r="D35" s="220" t="str">
        <f t="shared" si="1"/>
        <v/>
      </c>
      <c r="E35" s="906"/>
      <c r="F35" s="907"/>
      <c r="G35" s="908"/>
      <c r="H35" s="526"/>
      <c r="I35" s="855"/>
      <c r="J35" s="726"/>
      <c r="K35" s="669"/>
      <c r="L35" s="669"/>
      <c r="M35" s="669"/>
      <c r="N35" s="557">
        <f t="shared" si="15"/>
        <v>8</v>
      </c>
      <c r="O35" s="557">
        <f t="shared" si="16"/>
        <v>3.75</v>
      </c>
      <c r="P35" s="557">
        <f>IF(Stamoplysninger!$H$29="JA",Oktober!DG35,CX35)</f>
        <v>0.91666666666666674</v>
      </c>
      <c r="Q35" s="557">
        <f t="shared" si="17"/>
        <v>3.333333333333333</v>
      </c>
      <c r="R35" s="558"/>
      <c r="S35" s="564"/>
      <c r="T35" s="565"/>
      <c r="U35" s="565"/>
      <c r="V35" s="559"/>
      <c r="W35" s="763"/>
      <c r="X35" s="560"/>
      <c r="Y35">
        <f t="shared" si="18"/>
        <v>0</v>
      </c>
      <c r="Z35">
        <f t="shared" si="2"/>
        <v>0</v>
      </c>
      <c r="AA35" s="1">
        <f t="shared" si="3"/>
        <v>0</v>
      </c>
      <c r="AB35" s="1">
        <f t="shared" si="4"/>
        <v>0</v>
      </c>
      <c r="AC35" s="1">
        <f t="shared" si="5"/>
        <v>0</v>
      </c>
      <c r="AD35" s="1">
        <f t="shared" si="6"/>
        <v>0</v>
      </c>
      <c r="AE35" s="1">
        <f t="shared" si="7"/>
        <v>0</v>
      </c>
      <c r="AF35" s="1">
        <f>IF(C35="Orlov",7.4*Stamoplysninger!$E$15,0)</f>
        <v>0</v>
      </c>
      <c r="AG35" s="383" t="str">
        <f>IF(AND(C35="Skema 1",B35="ma"),Arbejdstidsoversigt!$E$44,"")</f>
        <v/>
      </c>
      <c r="AH35" s="383" t="str">
        <f>IF(AND(C35="Skema 1",B35="ti"),Arbejdstidsoversigt!$E$45,"")</f>
        <v/>
      </c>
      <c r="AI35" s="383" t="str">
        <f>IF(AND(C35="Skema 1",B35="on"),Arbejdstidsoversigt!$E$46,"")</f>
        <v/>
      </c>
      <c r="AJ35" s="383">
        <f>IF(AND(C35="Skema 1",B35="to"),Arbejdstidsoversigt!$E$47,"")</f>
        <v>8</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8</v>
      </c>
      <c r="BB35" s="421">
        <f t="shared" si="8"/>
        <v>192</v>
      </c>
      <c r="BC35" s="1">
        <f t="shared" si="20"/>
        <v>0</v>
      </c>
      <c r="BD35" s="1">
        <f t="shared" si="9"/>
        <v>0</v>
      </c>
      <c r="BE35" s="1">
        <f t="shared" si="10"/>
        <v>0</v>
      </c>
      <c r="BF35" s="1">
        <f t="shared" si="11"/>
        <v>0</v>
      </c>
      <c r="BG35" s="382" t="str">
        <f>IF(AND(C35="Skema 1",B35="ma"),Skemaoplysninger!$E$28,"")</f>
        <v/>
      </c>
      <c r="BH35" s="382" t="str">
        <f>IF(AND(C35="Skema 1",B35="ti"),Skemaoplysninger!$F$28,"")</f>
        <v/>
      </c>
      <c r="BI35" s="382" t="str">
        <f>IF(AND(C35="Skema 1",B35="on"),Skemaoplysninger!$G$28,"")</f>
        <v/>
      </c>
      <c r="BJ35" s="382">
        <f>IF(AND(C35="Skema 1",B35="to"),Skemaoplysninger!$H$28,"")</f>
        <v>0.15625</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3.75</v>
      </c>
      <c r="CB35" s="1">
        <f t="shared" si="12"/>
        <v>0</v>
      </c>
      <c r="CC35" s="1">
        <f t="shared" si="13"/>
        <v>0</v>
      </c>
      <c r="CD35" s="382" t="str">
        <f>IF(AND(C35="Skema 1",B35="ma"),Skemaoplysninger!$E$37,"")</f>
        <v/>
      </c>
      <c r="CE35" s="382" t="str">
        <f>IF(AND(C35="Skema 1",B35="ti"),Skemaoplysninger!$F$37,"")</f>
        <v/>
      </c>
      <c r="CF35" s="382" t="str">
        <f>IF(AND(C35="Skema 1",B35="on"),Skemaoplysninger!$G$37,"")</f>
        <v/>
      </c>
      <c r="CG35" s="382">
        <f>IF(AND(C35="Skema 1",B35="to"),Skemaoplysninger!$H$37,"")</f>
        <v>0.91666666666666674</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0.91666666666666674</v>
      </c>
      <c r="CY35" s="457">
        <f>IF(C35="Skema 1",Stamoplysninger!$H$30/200,0)</f>
        <v>1</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1</v>
      </c>
    </row>
    <row r="36" spans="1:111">
      <c r="A36" s="443">
        <f t="shared" si="14"/>
        <v>28</v>
      </c>
      <c r="B36" s="218" t="str">
        <f t="shared" si="0"/>
        <v>fr</v>
      </c>
      <c r="C36" s="219" t="s">
        <v>241</v>
      </c>
      <c r="D36" s="220" t="str">
        <f t="shared" si="1"/>
        <v/>
      </c>
      <c r="E36" s="906"/>
      <c r="F36" s="907"/>
      <c r="G36" s="908"/>
      <c r="H36" s="526"/>
      <c r="I36" s="855"/>
      <c r="J36" s="726"/>
      <c r="K36" s="669"/>
      <c r="L36" s="669"/>
      <c r="M36" s="669"/>
      <c r="N36" s="557">
        <f t="shared" si="15"/>
        <v>7</v>
      </c>
      <c r="O36" s="557">
        <f t="shared" si="16"/>
        <v>2.25</v>
      </c>
      <c r="P36" s="557">
        <f>IF(Stamoplysninger!$H$29="JA",Oktober!DG36,CX36)</f>
        <v>0.33333333333333331</v>
      </c>
      <c r="Q36" s="557">
        <f t="shared" si="17"/>
        <v>4.416666666666667</v>
      </c>
      <c r="R36" s="558"/>
      <c r="S36" s="564"/>
      <c r="T36" s="565"/>
      <c r="U36" s="565"/>
      <c r="V36" s="559"/>
      <c r="W36" s="763"/>
      <c r="X36" s="560"/>
      <c r="Y36">
        <f t="shared" si="18"/>
        <v>0</v>
      </c>
      <c r="Z36">
        <f t="shared" si="2"/>
        <v>0</v>
      </c>
      <c r="AA36" s="1">
        <f t="shared" si="3"/>
        <v>0</v>
      </c>
      <c r="AB36" s="1">
        <f t="shared" si="4"/>
        <v>0</v>
      </c>
      <c r="AC36" s="1">
        <f t="shared" si="5"/>
        <v>0</v>
      </c>
      <c r="AD36" s="1">
        <f t="shared" si="6"/>
        <v>0</v>
      </c>
      <c r="AE36" s="1">
        <f t="shared" si="7"/>
        <v>0</v>
      </c>
      <c r="AF36" s="1">
        <f>IF(C36="Orlov",7.4*Stamoplysninger!$E$15,0)</f>
        <v>0</v>
      </c>
      <c r="AG36" s="383" t="str">
        <f>IF(AND(C36="Skema 1",B36="ma"),Arbejdstidsoversigt!$E$44,"")</f>
        <v/>
      </c>
      <c r="AH36" s="383" t="str">
        <f>IF(AND(C36="Skema 1",B36="ti"),Arbejdstidsoversigt!$E$45,"")</f>
        <v/>
      </c>
      <c r="AI36" s="383" t="str">
        <f>IF(AND(C36="Skema 1",B36="on"),Arbejdstidsoversigt!$E$46,"")</f>
        <v/>
      </c>
      <c r="AJ36" s="383" t="str">
        <f>IF(AND(C36="Skema 1",B36="to"),Arbejdstidsoversigt!$E$47,"")</f>
        <v/>
      </c>
      <c r="AK36" s="383">
        <f>IF(AND(C36="Skema 1",B36="fr"),Arbejdstidsoversigt!$E$48,"")</f>
        <v>7</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7</v>
      </c>
      <c r="BB36" s="421">
        <f t="shared" si="8"/>
        <v>168</v>
      </c>
      <c r="BC36" s="1">
        <f t="shared" si="20"/>
        <v>0</v>
      </c>
      <c r="BD36" s="1">
        <f t="shared" si="9"/>
        <v>0</v>
      </c>
      <c r="BE36" s="1">
        <f t="shared" si="10"/>
        <v>0</v>
      </c>
      <c r="BF36" s="1">
        <f t="shared" si="11"/>
        <v>0</v>
      </c>
      <c r="BG36" s="382" t="str">
        <f>IF(AND(C36="Skema 1",B36="ma"),Skemaoplysninger!$E$28,"")</f>
        <v/>
      </c>
      <c r="BH36" s="382" t="str">
        <f>IF(AND(C36="Skema 1",B36="ti"),Skemaoplysninger!$F$28,"")</f>
        <v/>
      </c>
      <c r="BI36" s="382" t="str">
        <f>IF(AND(C36="Skema 1",B36="on"),Skemaoplysninger!$G$28,"")</f>
        <v/>
      </c>
      <c r="BJ36" s="382" t="str">
        <f>IF(AND(C36="Skema 1",B36="to"),Skemaoplysninger!$H$28,"")</f>
        <v/>
      </c>
      <c r="BK36" s="382">
        <f>IF(AND(C36="Skema 1",B36="fr"),Skemaoplysninger!$I$28,"")</f>
        <v>9.375E-2</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2.25</v>
      </c>
      <c r="CB36" s="1">
        <f t="shared" si="12"/>
        <v>0</v>
      </c>
      <c r="CC36" s="1">
        <f t="shared" si="13"/>
        <v>0</v>
      </c>
      <c r="CD36" s="382" t="str">
        <f>IF(AND(C36="Skema 1",B36="ma"),Skemaoplysninger!$E$37,"")</f>
        <v/>
      </c>
      <c r="CE36" s="382" t="str">
        <f>IF(AND(C36="Skema 1",B36="ti"),Skemaoplysninger!$F$37,"")</f>
        <v/>
      </c>
      <c r="CF36" s="382" t="str">
        <f>IF(AND(C36="Skema 1",B36="on"),Skemaoplysninger!$G$37,"")</f>
        <v/>
      </c>
      <c r="CG36" s="382" t="str">
        <f>IF(AND(C36="Skema 1",B36="to"),Skemaoplysninger!$H$37,"")</f>
        <v/>
      </c>
      <c r="CH36" s="382">
        <f>IF(AND(C36="Skema 1",B36="fr"),Skemaoplysninger!$I$37,"")</f>
        <v>0.33333333333333331</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0.33333333333333331</v>
      </c>
      <c r="CY36" s="457">
        <f>IF(C36="Skema 1",Stamoplysninger!$H$30/200,0)</f>
        <v>1</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1</v>
      </c>
    </row>
    <row r="37" spans="1:111">
      <c r="A37" s="443">
        <f>IF(ISNUMBER(A36),A36+1,1)</f>
        <v>29</v>
      </c>
      <c r="B37" s="218" t="str">
        <f t="shared" si="0"/>
        <v>lø</v>
      </c>
      <c r="C37" s="219" t="s">
        <v>138</v>
      </c>
      <c r="D37" s="220" t="str">
        <f t="shared" si="1"/>
        <v/>
      </c>
      <c r="E37" s="906"/>
      <c r="F37" s="907"/>
      <c r="G37" s="908"/>
      <c r="H37" s="526"/>
      <c r="I37" s="726"/>
      <c r="J37" s="726"/>
      <c r="K37" s="669"/>
      <c r="L37" s="669"/>
      <c r="M37" s="669"/>
      <c r="N37" s="557">
        <f t="shared" si="15"/>
        <v>0</v>
      </c>
      <c r="O37" s="557">
        <f t="shared" si="16"/>
        <v>0</v>
      </c>
      <c r="P37" s="557">
        <f>IF(Stamoplysninger!$H$29="JA",Oktober!DG37,CX37)</f>
        <v>0</v>
      </c>
      <c r="Q37" s="557">
        <f t="shared" si="17"/>
        <v>0</v>
      </c>
      <c r="R37" s="558"/>
      <c r="S37" s="564"/>
      <c r="T37" s="565"/>
      <c r="U37" s="565"/>
      <c r="V37" s="559"/>
      <c r="W37" s="763"/>
      <c r="X37" s="560"/>
      <c r="Y37">
        <f t="shared" si="18"/>
        <v>0</v>
      </c>
      <c r="Z37">
        <f t="shared" si="2"/>
        <v>0</v>
      </c>
      <c r="AA37" s="1">
        <f t="shared" si="3"/>
        <v>0</v>
      </c>
      <c r="AB37" s="1">
        <f t="shared" si="4"/>
        <v>0</v>
      </c>
      <c r="AC37" s="1">
        <f t="shared" si="5"/>
        <v>0</v>
      </c>
      <c r="AD37" s="1">
        <f t="shared" si="6"/>
        <v>0</v>
      </c>
      <c r="AE37" s="1">
        <f t="shared" si="7"/>
        <v>0</v>
      </c>
      <c r="AF37" s="1">
        <f>IF(C37="Orlov",7.4*Stamoplysninger!$E$15,0)</f>
        <v>0</v>
      </c>
      <c r="AG37" s="383" t="str">
        <f>IF(AND(C37="Skema 1",B37="ma"),Arbejdstidsoversigt!$E$44,"")</f>
        <v/>
      </c>
      <c r="AH37" s="383" t="str">
        <f>IF(AND(C37="Skema 1",B37="ti"),Arbejdstidsoversigt!$E$45,"")</f>
        <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0</v>
      </c>
      <c r="BB37" s="421">
        <f t="shared" si="8"/>
        <v>0</v>
      </c>
      <c r="BC37" s="1">
        <f t="shared" si="20"/>
        <v>0</v>
      </c>
      <c r="BD37" s="1">
        <f t="shared" si="9"/>
        <v>0</v>
      </c>
      <c r="BE37" s="1">
        <f t="shared" si="10"/>
        <v>0</v>
      </c>
      <c r="BF37" s="1">
        <f t="shared" si="11"/>
        <v>0</v>
      </c>
      <c r="BG37" s="382" t="str">
        <f>IF(AND(C37="Skema 1",B37="ma"),Skemaoplysninger!$E$28,"")</f>
        <v/>
      </c>
      <c r="BH37" s="382" t="str">
        <f>IF(AND(C37="Skema 1",B37="ti"),Skemaoplysninger!$F$28,"")</f>
        <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0</v>
      </c>
      <c r="CB37" s="1">
        <f t="shared" si="12"/>
        <v>0</v>
      </c>
      <c r="CC37" s="1">
        <f t="shared" si="13"/>
        <v>0</v>
      </c>
      <c r="CD37" s="382" t="str">
        <f>IF(AND(C37="Skema 1",B37="ma"),Skemaoplysninger!$E$37,"")</f>
        <v/>
      </c>
      <c r="CE37" s="382" t="str">
        <f>IF(AND(C37="Skema 1",B37="ti"),Skemaoplysninger!$F$37,"")</f>
        <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0</v>
      </c>
      <c r="CY37" s="457">
        <f>IF(C37="Skema 1",Stamoplysninger!$H$30/200,0)</f>
        <v>0</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0</v>
      </c>
    </row>
    <row r="38" spans="1:111">
      <c r="A38" s="443">
        <f t="shared" si="14"/>
        <v>30</v>
      </c>
      <c r="B38" s="218" t="str">
        <f t="shared" si="0"/>
        <v>sø</v>
      </c>
      <c r="C38" s="219" t="s">
        <v>138</v>
      </c>
      <c r="D38" s="220" t="str">
        <f t="shared" si="1"/>
        <v/>
      </c>
      <c r="E38" s="906"/>
      <c r="F38" s="907"/>
      <c r="G38" s="908"/>
      <c r="H38" s="526"/>
      <c r="I38" s="726"/>
      <c r="J38" s="726"/>
      <c r="K38" s="669"/>
      <c r="L38" s="669"/>
      <c r="M38" s="669"/>
      <c r="N38" s="557">
        <f t="shared" si="15"/>
        <v>0</v>
      </c>
      <c r="O38" s="557">
        <f t="shared" si="16"/>
        <v>0</v>
      </c>
      <c r="P38" s="557">
        <f>IF(Stamoplysninger!$H$29="JA",Oktober!DG38,CX38)</f>
        <v>0</v>
      </c>
      <c r="Q38" s="557">
        <f t="shared" si="17"/>
        <v>0</v>
      </c>
      <c r="R38" s="558"/>
      <c r="S38" s="564"/>
      <c r="T38" s="565"/>
      <c r="U38" s="762"/>
      <c r="V38" s="559"/>
      <c r="W38" s="763"/>
      <c r="X38" s="560"/>
      <c r="Y38">
        <f t="shared" si="18"/>
        <v>0</v>
      </c>
      <c r="Z38">
        <f t="shared" si="2"/>
        <v>0</v>
      </c>
      <c r="AA38" s="1">
        <f t="shared" si="3"/>
        <v>0</v>
      </c>
      <c r="AB38" s="1">
        <f t="shared" si="4"/>
        <v>0</v>
      </c>
      <c r="AC38" s="1">
        <f t="shared" si="5"/>
        <v>0</v>
      </c>
      <c r="AD38" s="1">
        <f t="shared" si="6"/>
        <v>0</v>
      </c>
      <c r="AE38" s="1">
        <f t="shared" si="7"/>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0</v>
      </c>
      <c r="BB38" s="421">
        <f t="shared" si="8"/>
        <v>0</v>
      </c>
      <c r="BC38" s="1">
        <f t="shared" si="20"/>
        <v>0</v>
      </c>
      <c r="BD38" s="1">
        <f t="shared" si="9"/>
        <v>0</v>
      </c>
      <c r="BE38" s="1">
        <f t="shared" si="10"/>
        <v>0</v>
      </c>
      <c r="BF38" s="1">
        <f t="shared" si="11"/>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0</v>
      </c>
      <c r="CB38" s="1">
        <f t="shared" si="12"/>
        <v>0</v>
      </c>
      <c r="CC38" s="1">
        <f t="shared" si="13"/>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0</v>
      </c>
      <c r="CY38" s="457">
        <f>IF(C38="Skema 1",Stamoplysninger!$H$30/200,0)</f>
        <v>0</v>
      </c>
      <c r="CZ38" s="457">
        <f>IF(C38="Skema 2",Stamoplysninger!$H$30/200,0)</f>
        <v>0</v>
      </c>
      <c r="DA38" s="457">
        <f>IF(C38="Skema 3",Stamoplysninger!$H$30/200,0)</f>
        <v>0</v>
      </c>
      <c r="DB38" s="457">
        <f>IF(C38="Skema 4",Stamoplysninger!$H$30/200,0)</f>
        <v>0</v>
      </c>
      <c r="DC38" s="457">
        <f>IF(C38="fagdag",Stamoplysninger!$H$30/200,0)</f>
        <v>0</v>
      </c>
      <c r="DD38" s="457">
        <f>IF(C38="emnedag",Stamoplysninger!$H$30/200,0)</f>
        <v>0</v>
      </c>
      <c r="DE38" s="457">
        <f>IF(C38="lejrskole",Stamoplysninger!$H$30/200,0)</f>
        <v>0</v>
      </c>
      <c r="DF38" s="457">
        <f>IF(C38="ekskursion",Stamoplysninger!$H$30/200,0)</f>
        <v>0</v>
      </c>
      <c r="DG38" s="457">
        <f t="shared" si="22"/>
        <v>0</v>
      </c>
    </row>
    <row r="39" spans="1:111">
      <c r="A39" s="443">
        <f>IF(ISNUMBER(A38),A38+1,1)</f>
        <v>31</v>
      </c>
      <c r="B39" s="218" t="str">
        <f t="shared" si="0"/>
        <v>ma</v>
      </c>
      <c r="C39" s="219" t="s">
        <v>241</v>
      </c>
      <c r="D39" s="220">
        <f t="shared" si="1"/>
        <v>44.285714285714285</v>
      </c>
      <c r="E39" s="909"/>
      <c r="F39" s="910"/>
      <c r="G39" s="911"/>
      <c r="H39" s="525"/>
      <c r="I39" s="855"/>
      <c r="J39" s="726"/>
      <c r="K39" s="669"/>
      <c r="L39" s="669"/>
      <c r="M39" s="669"/>
      <c r="N39" s="557">
        <f t="shared" si="15"/>
        <v>8</v>
      </c>
      <c r="O39" s="557">
        <f t="shared" si="16"/>
        <v>3.75</v>
      </c>
      <c r="P39" s="557">
        <f>IF(Stamoplysninger!$H$29="JA",Oktober!DG39,CX39)</f>
        <v>0.91666666666666674</v>
      </c>
      <c r="Q39" s="557">
        <f t="shared" si="17"/>
        <v>3.333333333333333</v>
      </c>
      <c r="R39" s="558"/>
      <c r="S39" s="564"/>
      <c r="T39" s="565"/>
      <c r="U39" s="387"/>
      <c r="V39" s="559"/>
      <c r="W39" s="763"/>
      <c r="X39" s="764"/>
      <c r="Y39">
        <f t="shared" si="18"/>
        <v>0</v>
      </c>
      <c r="Z39">
        <f t="shared" si="2"/>
        <v>0</v>
      </c>
      <c r="AA39" s="1">
        <f t="shared" si="3"/>
        <v>0</v>
      </c>
      <c r="AB39" s="1">
        <f t="shared" si="4"/>
        <v>0</v>
      </c>
      <c r="AC39" s="1">
        <f t="shared" si="5"/>
        <v>0</v>
      </c>
      <c r="AD39" s="1">
        <f t="shared" si="6"/>
        <v>0</v>
      </c>
      <c r="AE39" s="1">
        <f t="shared" si="7"/>
        <v>0</v>
      </c>
      <c r="AF39" s="1">
        <f>IF(C39="Orlov",7.4*Stamoplysninger!$E$15,0)</f>
        <v>0</v>
      </c>
      <c r="AG39" s="383">
        <f>IF(AND(C39="Skema 1",B39="ma"),Arbejdstidsoversigt!$E$44,"")</f>
        <v>8</v>
      </c>
      <c r="AH39" s="383" t="str">
        <f>IF(AND(C39="Skema 1",B39="ti"),Arbejdstidsoversigt!$E$45,"")</f>
        <v/>
      </c>
      <c r="AI39" s="383" t="str">
        <f>IF(AND(C39="Skema 1",B39="on"),Arbejdstidsoversigt!$E$46,"")</f>
        <v/>
      </c>
      <c r="AJ39" s="383" t="str">
        <f>IF(AND(C39="Skema 1",B39="to"),Arbejdstidsoversigt!$E$47,"")</f>
        <v/>
      </c>
      <c r="AK39" s="383" t="str">
        <f>IF(AND(C39="Skema 1",B39="fr"),Arbejdstidsoversigt!$E$48,"")</f>
        <v/>
      </c>
      <c r="AL39" s="383" t="str">
        <f>IF(AND(C39="Skema 2",B39="ma"),Arbejdstidsoversigt!$E$53,"")</f>
        <v/>
      </c>
      <c r="AM39" s="383" t="str">
        <f>IF(AND(C39="Skema 2",B39="ti"),Arbejdstidsoversigt!$E$54,"")</f>
        <v/>
      </c>
      <c r="AN39" s="383" t="str">
        <f>IF(AND(C39="Skema 2",B39="on"),Arbejdstidsoversigt!$E$55,"")</f>
        <v/>
      </c>
      <c r="AO39" s="383" t="str">
        <f>IF(AND(C39="Skema 2",B39="to"),Arbejdstidsoversigt!$E$56,"")</f>
        <v/>
      </c>
      <c r="AP39" s="383" t="str">
        <f>IF(AND(C39="Skema 2",B39="fr"),Arbejdstidsoversigt!$E$57,"")</f>
        <v/>
      </c>
      <c r="AQ39" s="383" t="str">
        <f>IF(AND(C39="Skema 3",B39="ma"),Arbejdstidsoversigt!$E$62,"")</f>
        <v/>
      </c>
      <c r="AR39" s="383" t="str">
        <f>IF(AND(C39="Skema 3",B39="ti"),Arbejdstidsoversigt!$E$63,"")</f>
        <v/>
      </c>
      <c r="AS39" s="383" t="str">
        <f>IF(AND(C39="Skema 3",B39="on"),Arbejdstidsoversigt!$E$64,"")</f>
        <v/>
      </c>
      <c r="AT39" s="383" t="str">
        <f>IF(AND(C39="Skema 3",B39="to"),Arbejdstidsoversigt!$E$65,"")</f>
        <v/>
      </c>
      <c r="AU39" s="383" t="str">
        <f>IF(AND(C39="Skema 3",B39="fr"),Arbejdstidsoversigt!$E$66,"")</f>
        <v/>
      </c>
      <c r="AV39" s="383" t="str">
        <f>IF(AND(C39="Skema 4",B39="ma"),Arbejdstidsoversigt!$E$71,"")</f>
        <v/>
      </c>
      <c r="AW39" s="383" t="str">
        <f>IF(AND(C39="Skema 4",B39="ti"),Arbejdstidsoversigt!$E$72,"")</f>
        <v/>
      </c>
      <c r="AX39" s="383" t="str">
        <f>IF(AND(C39="Skema 4",B39="on"),Arbejdstidsoversigt!$E$73,"")</f>
        <v/>
      </c>
      <c r="AY39" s="383" t="str">
        <f>IF(AND(C39="Skema 4",B39="to"),Arbejdstidsoversigt!$E$74,"")</f>
        <v/>
      </c>
      <c r="AZ39" s="383" t="str">
        <f>IF(AND(C39="Skema 4",B39="fr"),Arbejdstidsoversigt!$E$75,"")</f>
        <v/>
      </c>
      <c r="BA39" s="1">
        <f t="shared" si="19"/>
        <v>8</v>
      </c>
      <c r="BB39" s="421">
        <f t="shared" si="8"/>
        <v>192</v>
      </c>
      <c r="BC39" s="1">
        <f t="shared" si="20"/>
        <v>0</v>
      </c>
      <c r="BD39" s="1">
        <f t="shared" si="9"/>
        <v>0</v>
      </c>
      <c r="BE39" s="1">
        <f t="shared" si="10"/>
        <v>0</v>
      </c>
      <c r="BF39" s="1">
        <f t="shared" si="11"/>
        <v>0</v>
      </c>
      <c r="BG39" s="382">
        <f>IF(AND(C39="Skema 1",B39="ma"),Skemaoplysninger!$E$28,"")</f>
        <v>0.15625</v>
      </c>
      <c r="BH39" s="382" t="str">
        <f>IF(AND(C39="Skema 1",B39="ti"),Skemaoplysninger!$F$28,"")</f>
        <v/>
      </c>
      <c r="BI39" s="382" t="str">
        <f>IF(AND(C39="Skema 1",B39="on"),Skemaoplysninger!$G$28,"")</f>
        <v/>
      </c>
      <c r="BJ39" s="382" t="str">
        <f>IF(AND(C39="Skema 1",B39="to"),Skemaoplysninger!$H$28,"")</f>
        <v/>
      </c>
      <c r="BK39" s="382" t="str">
        <f>IF(AND(C39="Skema 1",B39="fr"),Skemaoplysninger!$I$28,"")</f>
        <v/>
      </c>
      <c r="BL39" s="382" t="str">
        <f>IF(AND(C39="Skema 2",B39="ma"),Skemaoplysninger!$O$28,"")</f>
        <v/>
      </c>
      <c r="BM39" s="382" t="str">
        <f>IF(AND(C39="Skema 2",B39="ti"),Skemaoplysninger!$P$28,"")</f>
        <v/>
      </c>
      <c r="BN39" s="382" t="str">
        <f>IF(AND(C39="Skema 2",B39="on"),Skemaoplysninger!$Q$28,"")</f>
        <v/>
      </c>
      <c r="BO39" s="382" t="str">
        <f>IF(AND(C39="Skema 2",B39="to"),Skemaoplysninger!$R$28,"")</f>
        <v/>
      </c>
      <c r="BP39" s="382" t="str">
        <f>IF(AND(C39="Skema 2",B39="fr"),Skemaoplysninger!$S$28,"")</f>
        <v/>
      </c>
      <c r="BQ39" s="382" t="str">
        <f>IF(AND(C39="Skema 3",B39="ma"),Skemaoplysninger!$Y$28,"")</f>
        <v/>
      </c>
      <c r="BR39" s="382" t="str">
        <f>IF(AND(C39="Skema 3",B39="ti"),Arbejdstidsoversigt!#REF!,"")</f>
        <v/>
      </c>
      <c r="BS39" s="382" t="str">
        <f>IF(AND(C39="Skema 3",B39="on"),Skemaoplysninger!$AA$28,"")</f>
        <v/>
      </c>
      <c r="BT39" s="382" t="str">
        <f>IF(AND(C39="Skema 3",B39="to"),Skemaoplysninger!$AB$28,"")</f>
        <v/>
      </c>
      <c r="BU39" s="382" t="str">
        <f>IF(AND(C39="Skema 3",B39="fr"),Skemaoplysninger!$AC$28,"")</f>
        <v/>
      </c>
      <c r="BV39" s="382" t="str">
        <f>IF(AND(C39="Skema 4",B39="ma"),Skemaoplysninger!$AI$28,"")</f>
        <v/>
      </c>
      <c r="BW39" s="382" t="str">
        <f>IF(AND(C39="Skema 4",B39="ti"),Skemaoplysninger!$AJ$28,"")</f>
        <v/>
      </c>
      <c r="BX39" s="382" t="str">
        <f>IF(AND(C39="Skema 4",B39="on"),Skemaoplysninger!$AK$28,"")</f>
        <v/>
      </c>
      <c r="BY39" s="382" t="str">
        <f>IF(AND(C39="Skema 4",B39="to"),Skemaoplysninger!$AL$28,"")</f>
        <v/>
      </c>
      <c r="BZ39" s="382" t="str">
        <f>IF(AND(C39="Skema 4",B39="fr"),Skemaoplysninger!$AM$28,"")</f>
        <v/>
      </c>
      <c r="CA39" s="1">
        <f t="shared" si="21"/>
        <v>3.75</v>
      </c>
      <c r="CB39" s="1">
        <f t="shared" si="12"/>
        <v>0</v>
      </c>
      <c r="CC39" s="1">
        <f t="shared" si="13"/>
        <v>0</v>
      </c>
      <c r="CD39" s="382">
        <f>IF(AND(C39="Skema 1",B39="ma"),Skemaoplysninger!$E$37,"")</f>
        <v>0.91666666666666674</v>
      </c>
      <c r="CE39" s="382" t="str">
        <f>IF(AND(C39="Skema 1",B39="ti"),Skemaoplysninger!$F$37,"")</f>
        <v/>
      </c>
      <c r="CF39" s="382" t="str">
        <f>IF(AND(C39="Skema 1",B39="on"),Skemaoplysninger!$G$37,"")</f>
        <v/>
      </c>
      <c r="CG39" s="382" t="str">
        <f>IF(AND(C39="Skema 1",B39="to"),Skemaoplysninger!$H$37,"")</f>
        <v/>
      </c>
      <c r="CH39" s="382" t="str">
        <f>IF(AND(C39="Skema 1",B39="fr"),Skemaoplysninger!$I$37,"")</f>
        <v/>
      </c>
      <c r="CI39" s="382" t="str">
        <f>IF(AND(C39="Skema 2",B39="ma"),Skemaoplysninger!$O$37,"")</f>
        <v/>
      </c>
      <c r="CJ39" s="382" t="str">
        <f>IF(AND(C39="Skema 2",B39="ti"),Skemaoplysninger!$P$37,"")</f>
        <v/>
      </c>
      <c r="CK39" s="382" t="str">
        <f>IF(AND(C39="Skema 2",B39="on"),Skemaoplysninger!$Q$37,"")</f>
        <v/>
      </c>
      <c r="CL39" s="382" t="str">
        <f>IF(AND(C39="Skema 2",B39="to"),Skemaoplysninger!$R$37,"")</f>
        <v/>
      </c>
      <c r="CM39" s="382" t="str">
        <f>IF(AND(C39="Skema 2",B39="fr"),Skemaoplysninger!$S$37,"")</f>
        <v/>
      </c>
      <c r="CN39" s="382" t="str">
        <f>IF(AND(C39="Skema 3",B39="ma"),Skemaoplysninger!$Y$37,"")</f>
        <v/>
      </c>
      <c r="CO39" s="382" t="str">
        <f>IF(AND(C39="Skema 3",B39="ti"),Skemaoplysninger!$Z$37,"")</f>
        <v/>
      </c>
      <c r="CP39" s="382" t="str">
        <f>IF(AND(C39="Skema 3",B39="on"),Skemaoplysninger!$AA$37,"")</f>
        <v/>
      </c>
      <c r="CQ39" s="382" t="str">
        <f>IF(AND(C39="Skema 3",B39="to"),Skemaoplysninger!$AB$37,"")</f>
        <v/>
      </c>
      <c r="CR39" s="382" t="str">
        <f>IF(AND(C39="Skema 3",B39="fr"),Skemaoplysninger!$AC$37,"")</f>
        <v/>
      </c>
      <c r="CS39" s="382" t="str">
        <f>IF(AND(C39="Skema 4",B39="ma"),Skemaoplysninger!$AI$37,"")</f>
        <v/>
      </c>
      <c r="CT39" s="382" t="str">
        <f>IF(AND(C39="Skema 4",B39="ti"),Skemaoplysninger!$AJ$37,"")</f>
        <v/>
      </c>
      <c r="CU39" s="382" t="str">
        <f>IF(AND(C39="Skema 4",B39="on"),Skemaoplysninger!$AK$37,"")</f>
        <v/>
      </c>
      <c r="CV39" s="382" t="str">
        <f>IF(AND(C39="Skema 4",B39="to"),Skemaoplysninger!$AL$37,"")</f>
        <v/>
      </c>
      <c r="CW39" s="382" t="str">
        <f>IF(AND(C39="Skema 4",B39="fr"),Skemaoplysninger!$AM$37,"")</f>
        <v/>
      </c>
      <c r="CX39" s="457">
        <f>IF(Stamoplysninger!$H$29="NEJ",SUM(CB39:CW39),0)</f>
        <v>0.91666666666666674</v>
      </c>
      <c r="CY39" s="457">
        <f>IF(C39="Skema 1",Stamoplysninger!$H$30/200,0)</f>
        <v>1</v>
      </c>
      <c r="CZ39" s="457">
        <f>IF(C39="Skema 2",Stamoplysninger!$H$30/200,0)</f>
        <v>0</v>
      </c>
      <c r="DA39" s="457">
        <f>IF(C39="Skema 3",Stamoplysninger!$H$30/200,0)</f>
        <v>0</v>
      </c>
      <c r="DB39" s="457">
        <f>IF(C39="Skema 4",Stamoplysninger!$H$30/200,0)</f>
        <v>0</v>
      </c>
      <c r="DC39" s="457">
        <f>IF(C39="fagdag",Stamoplysninger!$H$30/200,0)</f>
        <v>0</v>
      </c>
      <c r="DD39" s="457">
        <f>IF(C39="emnedag",Stamoplysninger!$H$30/200,0)</f>
        <v>0</v>
      </c>
      <c r="DE39" s="457">
        <f>IF(C39="lejrskole",Stamoplysninger!$H$30/200,0)</f>
        <v>0</v>
      </c>
      <c r="DF39" s="457">
        <f>IF(C39="ekskursion",Stamoplysninger!$H$30/200,0)</f>
        <v>0</v>
      </c>
      <c r="DG39" s="457">
        <f t="shared" si="22"/>
        <v>1</v>
      </c>
    </row>
    <row r="40" spans="1:111" s="586" customFormat="1" ht="17" thickBot="1">
      <c r="A40" s="1101" t="s">
        <v>308</v>
      </c>
      <c r="B40" s="1102"/>
      <c r="C40" s="1102"/>
      <c r="D40" s="1102"/>
      <c r="E40" s="1102"/>
      <c r="F40" s="1102"/>
      <c r="G40" s="1102"/>
      <c r="H40" s="1102"/>
      <c r="I40" s="1103"/>
      <c r="J40" s="552"/>
      <c r="K40" s="562"/>
      <c r="L40" s="562"/>
      <c r="M40" s="562"/>
      <c r="N40" s="562">
        <f t="shared" ref="N40:Q40" si="23">SUM(N9:N39)</f>
        <v>124</v>
      </c>
      <c r="O40" s="562">
        <f t="shared" si="23"/>
        <v>61.5</v>
      </c>
      <c r="P40" s="562">
        <f t="shared" si="23"/>
        <v>13.916666666666666</v>
      </c>
      <c r="Q40" s="562">
        <f t="shared" si="23"/>
        <v>48.583333333333336</v>
      </c>
      <c r="R40" s="584">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750"/>
      <c r="T40" s="751"/>
      <c r="U40" s="751"/>
      <c r="V40"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751">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384">
        <f>SUM(Y9:Y39)</f>
        <v>0</v>
      </c>
      <c r="Z40" s="706">
        <f>Z9+Z10+Z11+Z12+Z13+Z14+Z15+Z16+Z17+Z18+Z19+Z20+Z21+Z22+Z23+Z24+Z25+Z26+Z27+Z28+Z29+Z30+Z31+Z32+Z33+Z34+Z35+Z36+Z37+Z38+Z39</f>
        <v>0</v>
      </c>
      <c r="AA40" s="585">
        <f t="shared" ref="AA40:AF40" si="24">SUM(AA9:AA39)</f>
        <v>0</v>
      </c>
      <c r="AB40" s="585">
        <f t="shared" si="24"/>
        <v>46</v>
      </c>
      <c r="AC40" s="585">
        <f t="shared" si="24"/>
        <v>0</v>
      </c>
      <c r="AD40" s="585">
        <f t="shared" si="24"/>
        <v>0</v>
      </c>
      <c r="AE40" s="585">
        <f t="shared" si="24"/>
        <v>0</v>
      </c>
      <c r="AF40" s="585">
        <f t="shared" si="24"/>
        <v>0</v>
      </c>
      <c r="AQ40" s="587"/>
      <c r="AR40" s="587"/>
      <c r="AS40" s="587"/>
      <c r="AT40" s="587"/>
      <c r="AU40" s="587"/>
      <c r="AV40" s="587"/>
      <c r="AW40" s="587"/>
      <c r="AX40" s="587"/>
      <c r="AY40" s="587"/>
      <c r="AZ40" s="587"/>
      <c r="BA40" s="588">
        <f>SUM(BA9:BA39)</f>
        <v>124</v>
      </c>
      <c r="BB40" s="589"/>
      <c r="BC40" s="585">
        <f>SUM(BC9:BC39)</f>
        <v>0</v>
      </c>
      <c r="BD40" s="585">
        <f>SUM(BD9:BD39)</f>
        <v>0</v>
      </c>
      <c r="BE40" s="585">
        <f>SUM(BE9:BE39)</f>
        <v>25.5</v>
      </c>
      <c r="BF40" s="585">
        <f>SUM(BF9:BF39)</f>
        <v>0</v>
      </c>
      <c r="BQ40" s="587"/>
      <c r="BR40" s="587"/>
      <c r="BS40" s="587"/>
      <c r="BT40" s="587"/>
      <c r="BU40" s="587"/>
      <c r="BV40" s="587"/>
      <c r="BW40" s="587"/>
      <c r="BX40" s="587"/>
      <c r="BY40" s="587"/>
      <c r="BZ40" s="587"/>
      <c r="CA40" s="585">
        <f>SUM(CA9:CA39)</f>
        <v>61.5</v>
      </c>
      <c r="CB40" s="585">
        <f>SUM(CB9:CB39)</f>
        <v>5.75</v>
      </c>
      <c r="CC40" s="585">
        <f>SUM(CC9:CC39)</f>
        <v>0</v>
      </c>
      <c r="CN40" s="587"/>
      <c r="CO40" s="587"/>
      <c r="CP40" s="587"/>
      <c r="CQ40" s="587"/>
      <c r="CR40" s="587"/>
      <c r="CS40" s="587"/>
      <c r="CT40" s="587"/>
      <c r="CU40" s="587"/>
      <c r="CV40" s="587"/>
      <c r="CW40" s="587"/>
      <c r="CX40" s="590"/>
      <c r="CY40" s="590">
        <f>SUM(CY9:CY39)</f>
        <v>10</v>
      </c>
      <c r="CZ40" s="590">
        <f>SUM(CZ9:CZ39)</f>
        <v>0</v>
      </c>
      <c r="DA40" s="590">
        <f t="shared" ref="DA40:DG40" si="25">SUM(DA9:DA39)</f>
        <v>0</v>
      </c>
      <c r="DB40" s="590">
        <f t="shared" si="25"/>
        <v>0</v>
      </c>
      <c r="DC40" s="590">
        <f t="shared" si="25"/>
        <v>6</v>
      </c>
      <c r="DD40" s="590">
        <f t="shared" si="25"/>
        <v>0</v>
      </c>
      <c r="DE40" s="590">
        <f t="shared" si="25"/>
        <v>0</v>
      </c>
      <c r="DF40" s="590">
        <f t="shared" si="25"/>
        <v>0</v>
      </c>
      <c r="DG40" s="590">
        <f t="shared" si="25"/>
        <v>16</v>
      </c>
    </row>
    <row r="41" spans="1:111" s="435" customFormat="1" ht="26" thickBot="1">
      <c r="A41" s="444"/>
      <c r="B41" s="444"/>
      <c r="C41" s="444"/>
      <c r="D41" s="444"/>
      <c r="E41" s="444"/>
      <c r="F41" s="444"/>
      <c r="G41" s="444"/>
      <c r="H41" s="444"/>
      <c r="I41" s="444"/>
      <c r="J41" s="444"/>
      <c r="K41" s="437"/>
      <c r="L41" s="437"/>
      <c r="M41" s="437"/>
      <c r="N41" s="437"/>
      <c r="O41" s="437"/>
      <c r="P41" s="437"/>
      <c r="Q41" s="437"/>
      <c r="R41" s="437"/>
      <c r="S41" s="770"/>
      <c r="T41" s="770"/>
      <c r="U41" s="770"/>
      <c r="V41" s="770"/>
      <c r="W41" s="770"/>
      <c r="X41" s="770"/>
      <c r="Y41" s="446"/>
      <c r="Z41" s="445"/>
      <c r="AA41" s="445"/>
      <c r="AB41" s="446"/>
      <c r="AC41" s="446"/>
      <c r="AD41" s="446"/>
      <c r="AF41"/>
      <c r="AP41" s="447"/>
      <c r="AQ41" s="447"/>
      <c r="AR41" s="447"/>
      <c r="AS41" s="447"/>
      <c r="AT41" s="447"/>
      <c r="AU41" s="447"/>
      <c r="AV41" s="447"/>
      <c r="AW41" s="447"/>
      <c r="AX41" s="447"/>
      <c r="AY41" s="447"/>
      <c r="AZ41" s="447"/>
      <c r="BA41" s="446"/>
      <c r="BB41" s="446"/>
      <c r="BC41" s="446"/>
      <c r="BD41" s="446"/>
      <c r="BE41" s="448"/>
      <c r="BP41" s="447"/>
      <c r="BQ41" s="447"/>
      <c r="BR41" s="447"/>
      <c r="BS41" s="447"/>
      <c r="BT41" s="447"/>
      <c r="BU41" s="447"/>
      <c r="BV41" s="447"/>
      <c r="BW41" s="447"/>
      <c r="BX41" s="447"/>
      <c r="BY41" s="447"/>
      <c r="BZ41" s="446"/>
      <c r="CA41" s="446"/>
      <c r="CB41" s="448"/>
      <c r="CM41" s="447"/>
      <c r="CN41" s="447"/>
      <c r="CO41" s="447"/>
      <c r="CP41" s="447"/>
      <c r="CQ41" s="447"/>
      <c r="CR41" s="447"/>
      <c r="CS41" s="447"/>
      <c r="CT41" s="447"/>
      <c r="CU41" s="447"/>
      <c r="CV41" s="458"/>
      <c r="CW41" s="458"/>
    </row>
    <row r="42" spans="1:111" ht="70" customHeight="1">
      <c r="A42" s="1138" t="str">
        <f>"Arbejdstid for "&amp;A7&amp;" måned:"</f>
        <v>Arbejdstid for Oktober måned:</v>
      </c>
      <c r="B42" s="1139"/>
      <c r="C42" s="1139"/>
      <c r="D42" s="1139"/>
      <c r="E42" s="1139"/>
      <c r="F42" s="1139"/>
      <c r="G42" s="1139"/>
      <c r="H42" s="571" t="s">
        <v>303</v>
      </c>
      <c r="I42" s="1139" t="s">
        <v>264</v>
      </c>
      <c r="J42" s="1140"/>
      <c r="K42" s="1141"/>
      <c r="L42" s="472"/>
      <c r="M42" s="1164" t="str">
        <f>"Ulempetimer og weekendtimer i "&amp;A5&amp;""</f>
        <v>Ulempetimer og weekendtimer i Oktober måneds kalender for: Beate Simonsen. Måneden vedr. normperioden: 01.08.2022 - 31.07.2023.</v>
      </c>
      <c r="N42" s="1165"/>
      <c r="O42" s="1165"/>
      <c r="P42" s="1165"/>
      <c r="Q42" s="1165"/>
      <c r="R42" s="1165"/>
      <c r="S42" s="1165"/>
      <c r="T42" s="1165"/>
      <c r="U42" s="1165"/>
      <c r="V42" s="1165"/>
      <c r="W42" s="1165"/>
      <c r="X42" s="1166"/>
      <c r="Y42" s="437"/>
      <c r="Z42" s="437"/>
      <c r="AD42" s="124"/>
      <c r="AE42" s="124"/>
      <c r="AZ42" s="436"/>
      <c r="BM42" s="1"/>
      <c r="CJ42" s="1"/>
      <c r="CU42" s="455"/>
      <c r="CV42" s="455"/>
      <c r="CY42"/>
      <c r="CZ42"/>
    </row>
    <row r="43" spans="1:111">
      <c r="A43" s="1105" t="s">
        <v>302</v>
      </c>
      <c r="B43" s="1106"/>
      <c r="C43" s="1106"/>
      <c r="D43" s="1106"/>
      <c r="E43" s="1106"/>
      <c r="F43" s="1106"/>
      <c r="G43" s="1106"/>
      <c r="H43" s="466">
        <f>D67</f>
        <v>21</v>
      </c>
      <c r="I43" s="1107">
        <f>IF(Stamoplysninger!$E$12="Ja",1924/Arbejdstidsoversigt!$K$9*Stamoplysninger!$E$15*$H$43,H43*7.4*Stamoplysninger!$E$13)</f>
        <v>154.80459770114942</v>
      </c>
      <c r="J43" s="1108"/>
      <c r="K43" s="1109"/>
      <c r="L43" s="468"/>
      <c r="M43" s="1167" t="s">
        <v>368</v>
      </c>
      <c r="N43" s="1168"/>
      <c r="O43" s="1168"/>
      <c r="P43" s="1168"/>
      <c r="Q43" s="1168"/>
      <c r="R43" s="1168"/>
      <c r="S43" s="1168"/>
      <c r="T43" s="1168"/>
      <c r="U43" s="1168"/>
      <c r="V43" s="1169">
        <f>M62+S61+T61+M65+M69+M63+N62+N69</f>
        <v>0</v>
      </c>
      <c r="W43" s="1169"/>
      <c r="X43" s="1170"/>
      <c r="Y43" s="437"/>
      <c r="Z43" s="437"/>
      <c r="AD43" s="124"/>
      <c r="AE43" s="124"/>
      <c r="AZ43" s="436"/>
      <c r="BM43" s="1"/>
      <c r="CJ43" s="1"/>
      <c r="CU43" s="455"/>
      <c r="CV43" s="455"/>
      <c r="CY43"/>
      <c r="CZ43"/>
    </row>
    <row r="44" spans="1:111">
      <c r="A44" s="1105" t="str">
        <f>"Ferie "&amp;A7&amp;" måned"</f>
        <v>Ferie Oktober måned</v>
      </c>
      <c r="B44" s="1106"/>
      <c r="C44" s="1106"/>
      <c r="D44" s="1106"/>
      <c r="E44" s="1106"/>
      <c r="F44" s="1106"/>
      <c r="G44" s="1106"/>
      <c r="H44" s="467">
        <f>IF(D62&gt;0,$D$62,"0")</f>
        <v>5</v>
      </c>
      <c r="I44" s="1110">
        <f>H44*7.4*Stamoplysninger!$E$15</f>
        <v>37</v>
      </c>
      <c r="J44" s="1111"/>
      <c r="K44" s="1112"/>
      <c r="L44" s="468"/>
      <c r="M44" s="1171" t="s">
        <v>307</v>
      </c>
      <c r="N44" s="1172"/>
      <c r="O44" s="1172"/>
      <c r="P44" s="1172"/>
      <c r="Q44" s="1172"/>
      <c r="R44" s="1172"/>
      <c r="S44" s="1172"/>
      <c r="T44" s="1172"/>
      <c r="U44" s="1172"/>
      <c r="V44" s="1173">
        <f>M61+S60+T60+M64+M68+M60+N60+N68</f>
        <v>0</v>
      </c>
      <c r="W44" s="1173"/>
      <c r="X44" s="1174"/>
      <c r="Y44" s="437"/>
      <c r="Z44" s="437"/>
      <c r="AD44" s="124"/>
      <c r="AE44" s="124"/>
      <c r="AZ44" s="436"/>
      <c r="BM44" s="1"/>
      <c r="CJ44" s="1"/>
      <c r="CU44" s="455"/>
      <c r="CV44" s="455"/>
      <c r="CY44"/>
      <c r="CZ44"/>
    </row>
    <row r="45" spans="1:111">
      <c r="A45" s="1105" t="str">
        <f>"Søgnehelligdage i "&amp;A7&amp;" måned"</f>
        <v>Søgnehelligdage i Oktober måned</v>
      </c>
      <c r="B45" s="1106"/>
      <c r="C45" s="1106"/>
      <c r="D45" s="1106"/>
      <c r="E45" s="1106"/>
      <c r="F45" s="1106"/>
      <c r="G45" s="1106"/>
      <c r="H45" s="467">
        <f>IF(D61&gt;0,D61,0)</f>
        <v>0</v>
      </c>
      <c r="I45" s="1110">
        <f>H45*7.4*Stamoplysninger!$E$15</f>
        <v>0</v>
      </c>
      <c r="J45" s="1111"/>
      <c r="K45" s="1112"/>
      <c r="L45" s="469"/>
      <c r="M45" s="1175" t="s">
        <v>347</v>
      </c>
      <c r="N45" s="1176"/>
      <c r="O45" s="1176"/>
      <c r="P45" s="1176"/>
      <c r="Q45" s="1176"/>
      <c r="R45" s="1176"/>
      <c r="S45" s="1176"/>
      <c r="T45" s="1176"/>
      <c r="U45" s="1176"/>
      <c r="V45" s="1186">
        <f>September!V54</f>
        <v>0</v>
      </c>
      <c r="W45" s="1186"/>
      <c r="X45" s="1187"/>
      <c r="Y45" s="437"/>
      <c r="Z45" s="437"/>
      <c r="AD45" s="124"/>
      <c r="AE45" s="124"/>
      <c r="AZ45" s="436"/>
      <c r="BM45" s="1"/>
      <c r="CJ45" s="1"/>
      <c r="CU45" s="455"/>
      <c r="CV45" s="455"/>
      <c r="CY45"/>
      <c r="CZ45"/>
    </row>
    <row r="46" spans="1:111">
      <c r="A46" s="1105" t="str">
        <f>"Nettoarbejdstid ialt i "&amp;A7&amp;" måned"</f>
        <v>Nettoarbejdstid ialt i Oktober måned</v>
      </c>
      <c r="B46" s="1106"/>
      <c r="C46" s="1106"/>
      <c r="D46" s="1106"/>
      <c r="E46" s="1106"/>
      <c r="F46" s="1106"/>
      <c r="G46" s="1106"/>
      <c r="H46" s="470">
        <f>H43-H44-H45</f>
        <v>16</v>
      </c>
      <c r="I46" s="1110">
        <f>I43-I44-I45</f>
        <v>117.80459770114942</v>
      </c>
      <c r="J46" s="1111"/>
      <c r="K46" s="1112"/>
      <c r="L46" s="469"/>
      <c r="M46" s="1134" t="s">
        <v>354</v>
      </c>
      <c r="N46" s="1135"/>
      <c r="O46" s="1135"/>
      <c r="P46" s="1135"/>
      <c r="Q46" s="1135"/>
      <c r="R46" s="1135"/>
      <c r="S46" s="1135"/>
      <c r="T46" s="1135"/>
      <c r="U46" s="1135"/>
      <c r="V46" s="1136">
        <f>V44+V45</f>
        <v>0</v>
      </c>
      <c r="W46" s="1136"/>
      <c r="X46" s="1137"/>
      <c r="Y46" s="437"/>
      <c r="Z46" s="437"/>
      <c r="AD46" s="124"/>
      <c r="AE46" s="124"/>
      <c r="AZ46" s="436"/>
      <c r="BM46" s="1"/>
      <c r="CJ46" s="1"/>
      <c r="CU46" s="455"/>
      <c r="CV46" s="455"/>
      <c r="CY46"/>
      <c r="CZ46"/>
    </row>
    <row r="47" spans="1:111">
      <c r="A47" s="1113" t="str">
        <f>"Planlagt arbejdstid efter ovennstående "&amp;A7&amp;" måned kalender"</f>
        <v>Planlagt arbejdstid efter ovennstående Oktober måned kalender</v>
      </c>
      <c r="B47" s="1114"/>
      <c r="C47" s="1114"/>
      <c r="D47" s="1114"/>
      <c r="E47" s="1114"/>
      <c r="F47" s="1114"/>
      <c r="G47" s="1114"/>
      <c r="H47" s="866">
        <f>D53+D54+D55+D56+D57+D58+D59</f>
        <v>16</v>
      </c>
      <c r="I47" s="1115">
        <f>N40+R40-J56</f>
        <v>124</v>
      </c>
      <c r="J47" s="1116"/>
      <c r="K47" s="1117"/>
      <c r="L47" s="678"/>
      <c r="M47" s="1157" t="s">
        <v>345</v>
      </c>
      <c r="N47" s="1158"/>
      <c r="O47" s="1158"/>
      <c r="P47" s="1158"/>
      <c r="Q47" s="1158"/>
      <c r="R47" s="1158"/>
      <c r="S47" s="1158"/>
      <c r="T47" s="1158"/>
      <c r="U47" s="1158"/>
      <c r="V47" s="1158"/>
      <c r="W47" s="1158"/>
      <c r="X47" s="1159"/>
      <c r="Y47" s="437"/>
      <c r="Z47" s="437"/>
      <c r="AD47" s="124"/>
      <c r="AE47" s="124"/>
      <c r="AZ47" s="436"/>
      <c r="BM47" s="1"/>
      <c r="CJ47" s="1"/>
      <c r="CU47" s="455"/>
      <c r="CV47" s="455"/>
      <c r="CY47"/>
      <c r="CZ47"/>
    </row>
    <row r="48" spans="1:111">
      <c r="A48" s="1121" t="s">
        <v>574</v>
      </c>
      <c r="B48" s="1122"/>
      <c r="C48" s="1122"/>
      <c r="D48" s="1122"/>
      <c r="E48" s="1122"/>
      <c r="F48" s="1122"/>
      <c r="G48" s="1122"/>
      <c r="H48" s="1123"/>
      <c r="I48" s="1118">
        <f>(M60+M62+M70+M72+M66+M67+M71)*-1</f>
        <v>0</v>
      </c>
      <c r="J48" s="1119"/>
      <c r="K48" s="1120"/>
      <c r="L48" s="679"/>
      <c r="M48" s="1160" t="s">
        <v>633</v>
      </c>
      <c r="N48" s="1161"/>
      <c r="O48" s="1161"/>
      <c r="P48" s="1161"/>
      <c r="Q48" s="1161"/>
      <c r="R48" s="1161"/>
      <c r="S48" s="1161"/>
      <c r="T48" s="1161"/>
      <c r="U48" s="1161"/>
      <c r="V48" s="1162" t="s">
        <v>264</v>
      </c>
      <c r="W48" s="1162"/>
      <c r="X48" s="1163"/>
      <c r="Y48" s="437"/>
      <c r="Z48" s="437"/>
      <c r="AD48" s="124"/>
      <c r="AE48" s="124"/>
      <c r="AZ48" s="436"/>
      <c r="BM48" s="1"/>
      <c r="CJ48" s="1"/>
      <c r="CU48" s="455"/>
      <c r="CV48" s="455"/>
      <c r="CY48"/>
      <c r="CZ48"/>
    </row>
    <row r="49" spans="1:111">
      <c r="A49" s="1126" t="str">
        <f>"Arbejde særligt planlagt for "&amp;A7&amp;" måned efter fanen skemaoplysninger"</f>
        <v>Arbejde særligt planlagt for Oktober måned efter fanen skemaoplysninger</v>
      </c>
      <c r="B49" s="1127"/>
      <c r="C49" s="1127"/>
      <c r="D49" s="1127"/>
      <c r="E49" s="1127"/>
      <c r="F49" s="1127"/>
      <c r="G49" s="1127"/>
      <c r="H49" s="1128"/>
      <c r="I49" s="1116">
        <f>Skemaoplysninger!M67</f>
        <v>0</v>
      </c>
      <c r="J49" s="1124"/>
      <c r="K49" s="1125"/>
      <c r="L49" s="439"/>
      <c r="M49" s="1147"/>
      <c r="N49" s="1148"/>
      <c r="O49" s="1148"/>
      <c r="P49" s="1148"/>
      <c r="Q49" s="1148"/>
      <c r="R49" s="1148"/>
      <c r="S49" s="1148"/>
      <c r="T49" s="1148"/>
      <c r="U49" s="1148"/>
      <c r="V49" s="1149"/>
      <c r="W49" s="1149"/>
      <c r="X49" s="1150"/>
      <c r="Y49"/>
      <c r="Z49" s="437"/>
      <c r="AA49" s="437"/>
      <c r="AB49" s="436"/>
      <c r="AD49" s="436"/>
      <c r="AG49" s="124"/>
      <c r="AH49" s="124"/>
      <c r="BA49" s="437"/>
      <c r="BB49" s="436"/>
      <c r="BO49" s="1"/>
      <c r="CL49" s="1"/>
      <c r="CV49" s="455"/>
      <c r="CW49" s="455"/>
      <c r="CY49"/>
      <c r="CZ49"/>
    </row>
    <row r="50" spans="1:111">
      <c r="A50" s="1142" t="s">
        <v>573</v>
      </c>
      <c r="B50" s="1143"/>
      <c r="C50" s="1143"/>
      <c r="D50" s="1143"/>
      <c r="E50" s="1143"/>
      <c r="F50" s="1143"/>
      <c r="G50" s="1143"/>
      <c r="H50" s="1143"/>
      <c r="I50" s="1144">
        <f>V40+X40-N57</f>
        <v>0</v>
      </c>
      <c r="J50" s="1145"/>
      <c r="K50" s="1146"/>
      <c r="L50" s="439"/>
      <c r="M50" s="1147"/>
      <c r="N50" s="1148"/>
      <c r="O50" s="1148"/>
      <c r="P50" s="1148"/>
      <c r="Q50" s="1148"/>
      <c r="R50" s="1148"/>
      <c r="S50" s="1148"/>
      <c r="T50" s="1148"/>
      <c r="U50" s="1148"/>
      <c r="V50" s="1149"/>
      <c r="W50" s="1149"/>
      <c r="X50" s="1150"/>
      <c r="Y50"/>
      <c r="Z50" s="437"/>
      <c r="AA50" s="437"/>
      <c r="AE50" s="124"/>
      <c r="AF50" s="454"/>
      <c r="AG50" s="124"/>
      <c r="BA50" s="436"/>
      <c r="BN50" s="1"/>
      <c r="CK50" s="1"/>
      <c r="CV50" s="455"/>
      <c r="CW50" s="455"/>
      <c r="CY50"/>
      <c r="CZ50"/>
    </row>
    <row r="51" spans="1:111" ht="17" thickBot="1">
      <c r="A51" s="471" t="str">
        <f>"Faktisk arbejdstid ialt i "&amp;A7&amp;" måned"</f>
        <v>Faktisk arbejdstid ialt i Oktober måned</v>
      </c>
      <c r="B51" s="553"/>
      <c r="C51" s="554"/>
      <c r="D51" s="554"/>
      <c r="E51" s="554"/>
      <c r="F51" s="554"/>
      <c r="G51" s="554"/>
      <c r="H51" s="555"/>
      <c r="I51" s="1129">
        <f>I47+I50+I49+I48</f>
        <v>124</v>
      </c>
      <c r="J51" s="1130"/>
      <c r="K51" s="1131"/>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11">
      <c r="A52" s="761"/>
      <c r="B52" s="761"/>
      <c r="C52" s="761"/>
      <c r="D52" s="761"/>
      <c r="E52" s="761"/>
      <c r="F52" s="761"/>
      <c r="G52" s="761"/>
      <c r="H52" s="780"/>
      <c r="I52" s="706"/>
      <c r="J52" s="706"/>
      <c r="K52" s="707" t="s">
        <v>343</v>
      </c>
      <c r="L52" s="439"/>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11">
      <c r="A53" s="685" t="s">
        <v>241</v>
      </c>
      <c r="B53" s="698"/>
      <c r="C53" s="698"/>
      <c r="D53" s="685">
        <f>COUNTIF([0]!Oktober,"Skema 1")</f>
        <v>10</v>
      </c>
      <c r="E53" s="699"/>
      <c r="F53" s="700" t="s">
        <v>221</v>
      </c>
      <c r="G53" s="700">
        <f>COUNTIFS($B$9:$B$39,"ma",[0]!Oktober,"Skema 1")</f>
        <v>3</v>
      </c>
      <c r="H53" s="576"/>
      <c r="I53" s="576"/>
      <c r="J53" s="577"/>
      <c r="K53" s="681"/>
      <c r="L53" s="6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11">
      <c r="A54" s="1104" t="s">
        <v>242</v>
      </c>
      <c r="B54" s="1104"/>
      <c r="C54" s="1104"/>
      <c r="D54" s="685">
        <f>COUNTIF([0]!Oktober,"Skema 2")</f>
        <v>0</v>
      </c>
      <c r="E54" s="699"/>
      <c r="F54" s="700" t="s">
        <v>222</v>
      </c>
      <c r="G54" s="700">
        <f>COUNTIFS($B$9:$B$39,"ti",[0]!Oktober,"Skema 1")</f>
        <v>1</v>
      </c>
      <c r="H54" s="576"/>
      <c r="I54" s="576"/>
      <c r="J54" s="577"/>
      <c r="K54" s="681"/>
      <c r="L54" s="681"/>
      <c r="M54" s="1147"/>
      <c r="N54" s="1148"/>
      <c r="O54" s="1148"/>
      <c r="P54" s="1148"/>
      <c r="Q54" s="1148"/>
      <c r="R54" s="1148"/>
      <c r="S54" s="1148"/>
      <c r="T54" s="1148"/>
      <c r="U54" s="1148"/>
      <c r="V54" s="1149"/>
      <c r="W54" s="1149"/>
      <c r="X54" s="1150"/>
      <c r="Y54" s="437"/>
      <c r="Z54" s="437"/>
      <c r="AA54" s="387"/>
      <c r="AB54" s="454"/>
      <c r="AC54" s="454"/>
      <c r="AD54" s="454"/>
      <c r="AE54" s="437"/>
      <c r="AF54" s="454"/>
      <c r="AH54" s="437"/>
      <c r="AI54" s="437"/>
      <c r="AM54" s="124"/>
      <c r="AN54" s="124"/>
      <c r="BH54" s="436"/>
      <c r="BU54" s="1"/>
      <c r="CR54" s="1"/>
      <c r="CY54"/>
      <c r="CZ54"/>
      <c r="DC54" s="455"/>
      <c r="DD54" s="455"/>
    </row>
    <row r="55" spans="1:111" ht="17" thickBot="1">
      <c r="A55" s="1104" t="s">
        <v>243</v>
      </c>
      <c r="B55" s="1104"/>
      <c r="C55" s="1104"/>
      <c r="D55" s="685">
        <f>COUNTIF([0]!Oktober,"Skema 3")</f>
        <v>0</v>
      </c>
      <c r="E55" s="699"/>
      <c r="F55" s="700" t="s">
        <v>223</v>
      </c>
      <c r="G55" s="700">
        <f>COUNTIFS($B$9:$B$39,"on",[0]!Oktober,"Skema 1")</f>
        <v>2</v>
      </c>
      <c r="H55" s="576"/>
      <c r="I55" s="576"/>
      <c r="J55" s="577"/>
      <c r="K55" s="681"/>
      <c r="L55" s="578"/>
      <c r="M55" s="1151" t="s">
        <v>346</v>
      </c>
      <c r="N55" s="1152"/>
      <c r="O55" s="1152"/>
      <c r="P55" s="1152"/>
      <c r="Q55" s="1152"/>
      <c r="R55" s="1152"/>
      <c r="S55" s="1152"/>
      <c r="T55" s="1152"/>
      <c r="U55" s="1153"/>
      <c r="V55" s="1154">
        <f>V46-SUM(V49:W54)</f>
        <v>0</v>
      </c>
      <c r="W55" s="1155"/>
      <c r="X55" s="1156"/>
      <c r="Y55" s="437"/>
      <c r="Z55" s="437"/>
      <c r="AA55" s="387"/>
      <c r="AB55" s="454"/>
      <c r="AC55" s="454"/>
      <c r="AD55" s="454"/>
      <c r="AE55" s="437"/>
      <c r="AF55" s="454"/>
      <c r="AH55" s="437"/>
      <c r="AI55" s="437"/>
      <c r="AM55" s="124"/>
      <c r="AN55" s="124"/>
      <c r="BH55" s="436"/>
      <c r="BU55" s="1"/>
      <c r="CR55" s="1"/>
      <c r="CY55"/>
      <c r="CZ55"/>
      <c r="DC55" s="455"/>
      <c r="DD55" s="455"/>
    </row>
    <row r="56" spans="1:111" hidden="1">
      <c r="A56" s="1104" t="s">
        <v>244</v>
      </c>
      <c r="B56" s="1104"/>
      <c r="C56" s="1104"/>
      <c r="D56" s="685">
        <f>COUNTIF([0]!Oktober,"Skema 4")</f>
        <v>0</v>
      </c>
      <c r="E56" s="699"/>
      <c r="F56" s="700" t="s">
        <v>225</v>
      </c>
      <c r="G56" s="700">
        <f>COUNTIFS($B$9:$B$39,"to",[0]!Oktober,"Skema 1")</f>
        <v>2</v>
      </c>
      <c r="H56" s="576"/>
      <c r="I56" s="883" t="s">
        <v>618</v>
      </c>
      <c r="J56" s="884">
        <f>IF(C9="Ikke relevant",R9,0)+IF(C10="Ikke relevant",R10,0)+IF(C11="Ikke relevant",R11,0)+IF(C12="Ikke relevant",R12,0)+IF(C13="Ikke relevant",R13,0)+IF(C13="Ikke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56" s="45"/>
      <c r="L56" s="578"/>
      <c r="M56" s="761" t="s">
        <v>378</v>
      </c>
      <c r="N56" s="761" t="s">
        <v>482</v>
      </c>
      <c r="O56" s="465"/>
      <c r="P56" s="465"/>
      <c r="Q56" s="465"/>
      <c r="R56" s="465"/>
      <c r="S56" s="465"/>
      <c r="T56" s="465"/>
      <c r="U56" s="465"/>
      <c r="V56" s="465"/>
      <c r="W56" s="465"/>
      <c r="X56" s="465"/>
      <c r="Y56" s="437"/>
      <c r="Z56" s="437"/>
      <c r="AA56" s="437"/>
      <c r="AB56" s="437"/>
      <c r="AC56" s="437"/>
      <c r="AD56" s="387"/>
      <c r="AE56" s="454"/>
      <c r="AF56" s="387"/>
      <c r="AG56" s="454"/>
      <c r="AH56" s="454"/>
      <c r="AI56" s="437"/>
      <c r="AK56" s="437"/>
      <c r="AL56" s="437"/>
      <c r="AP56" s="124"/>
      <c r="AQ56" s="124"/>
      <c r="BK56" s="436"/>
      <c r="BX56" s="1"/>
      <c r="CU56" s="1"/>
      <c r="CY56"/>
      <c r="CZ56"/>
      <c r="DF56" s="455"/>
      <c r="DG56" s="455"/>
    </row>
    <row r="57" spans="1:111" hidden="1">
      <c r="A57" s="685" t="s">
        <v>117</v>
      </c>
      <c r="B57" s="685"/>
      <c r="C57" s="685"/>
      <c r="D57" s="685">
        <f>COUNTIF([0]!Oktober,"Fagdag")+COUNTIF([0]!Oktober,"emnedag")</f>
        <v>6</v>
      </c>
      <c r="E57" s="699"/>
      <c r="F57" s="700" t="s">
        <v>224</v>
      </c>
      <c r="G57" s="700">
        <f>COUNTIFS($B$9:$B$39,"fr",[0]!Oktober,"Skema 1")</f>
        <v>2</v>
      </c>
      <c r="H57" s="576"/>
      <c r="I57" s="578" t="s">
        <v>380</v>
      </c>
      <c r="J57" s="577"/>
      <c r="K57" s="578"/>
      <c r="L57" s="45"/>
      <c r="M57" s="754">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57" s="754">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57" s="754"/>
      <c r="P57" s="581"/>
      <c r="Q57" s="757" t="s">
        <v>382</v>
      </c>
      <c r="R57" s="459"/>
      <c r="S57" s="459"/>
      <c r="T57" s="459" t="s">
        <v>383</v>
      </c>
      <c r="U57" s="459"/>
      <c r="V57" s="459"/>
      <c r="W57" s="582"/>
      <c r="X57" s="582"/>
      <c r="Y57" s="437"/>
      <c r="Z57" s="437"/>
      <c r="AA57" s="437"/>
      <c r="AB57" s="437"/>
      <c r="AC57" s="437"/>
      <c r="AD57" s="387"/>
      <c r="AE57" s="454"/>
      <c r="AF57" s="387"/>
      <c r="AG57" s="454"/>
      <c r="AH57" s="454"/>
      <c r="AI57" s="437"/>
      <c r="AK57" s="437"/>
      <c r="AL57" s="437"/>
      <c r="AP57" s="124"/>
      <c r="AQ57" s="124"/>
      <c r="BK57" s="436"/>
      <c r="BX57" s="1"/>
      <c r="CU57" s="1"/>
      <c r="CY57"/>
      <c r="CZ57"/>
      <c r="DF57" s="455"/>
      <c r="DG57" s="455"/>
    </row>
    <row r="58" spans="1:111" hidden="1">
      <c r="A58" s="701" t="s">
        <v>116</v>
      </c>
      <c r="B58" s="685"/>
      <c r="C58" s="685"/>
      <c r="D58" s="685">
        <f>COUNTIF([0]!Oktober,"Lejrskole")+COUNTIF([0]!Oktober,"Ekskursion")</f>
        <v>0</v>
      </c>
      <c r="E58" s="699"/>
      <c r="F58" s="700"/>
      <c r="G58" s="700"/>
      <c r="H58" s="576"/>
      <c r="I58" s="578" t="s">
        <v>394</v>
      </c>
      <c r="J58" s="577"/>
      <c r="K58" s="578"/>
      <c r="L58" s="45"/>
      <c r="M58" s="754">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58" s="754">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58" s="755">
        <v>0.5</v>
      </c>
      <c r="P58" s="581"/>
      <c r="Q58" s="757" t="s">
        <v>379</v>
      </c>
      <c r="R58" s="459"/>
      <c r="S58" s="459"/>
      <c r="T58" s="459"/>
      <c r="U58" s="459"/>
      <c r="V58" s="459"/>
      <c r="W58" s="582"/>
      <c r="X58" s="582"/>
      <c r="Y58" s="437"/>
      <c r="Z58" s="437"/>
      <c r="AA58" s="437"/>
      <c r="AB58" s="437"/>
      <c r="AC58" s="437"/>
      <c r="AD58" s="387"/>
      <c r="AE58" s="454"/>
      <c r="AF58" s="387"/>
      <c r="AG58" s="454"/>
      <c r="AH58" s="454"/>
      <c r="AI58" s="437"/>
      <c r="AK58" s="437"/>
      <c r="AL58" s="437"/>
      <c r="AP58" s="124"/>
      <c r="AQ58" s="124"/>
      <c r="BK58" s="436"/>
      <c r="BX58" s="1"/>
      <c r="CU58" s="1"/>
      <c r="CY58"/>
      <c r="CZ58"/>
      <c r="DF58" s="455"/>
      <c r="DG58" s="455"/>
    </row>
    <row r="59" spans="1:111" hidden="1">
      <c r="A59" s="685" t="s">
        <v>115</v>
      </c>
      <c r="B59" s="685"/>
      <c r="C59" s="685"/>
      <c r="D59" s="685">
        <f>COUNTIF([0]!Oktober,"Pæd.dag")</f>
        <v>0</v>
      </c>
      <c r="E59" s="699"/>
      <c r="F59" s="700" t="s">
        <v>226</v>
      </c>
      <c r="G59" s="700">
        <f>COUNTIFS($B$9:$B$39,"ma",[0]!Oktober,"Skema 2")</f>
        <v>0</v>
      </c>
      <c r="H59" s="576"/>
      <c r="I59" s="576" t="s">
        <v>393</v>
      </c>
      <c r="J59" s="577"/>
      <c r="K59" s="45"/>
      <c r="L59" s="45"/>
      <c r="M59" s="754">
        <f>SUM(M57:M58)</f>
        <v>0</v>
      </c>
      <c r="N59" s="754">
        <f>SUM(N57:N58)</f>
        <v>0</v>
      </c>
      <c r="O59" s="756">
        <f>(M59+N59)/2</f>
        <v>0</v>
      </c>
      <c r="P59" s="581">
        <f>SUM(M59:O59)</f>
        <v>0</v>
      </c>
      <c r="Q59" s="757">
        <f>(M59+N59)*25%</f>
        <v>0</v>
      </c>
      <c r="R59" s="459"/>
      <c r="S59" s="459"/>
      <c r="T59" s="459"/>
      <c r="U59" s="459"/>
      <c r="V59" s="459"/>
      <c r="W59" s="582"/>
      <c r="X59" s="582"/>
      <c r="Y59" s="437"/>
      <c r="Z59" s="437"/>
      <c r="AA59" s="437"/>
      <c r="AB59" s="437"/>
      <c r="AC59" s="437"/>
      <c r="AD59" s="387"/>
      <c r="AE59" s="454"/>
      <c r="AG59" s="454"/>
      <c r="AH59" s="454"/>
      <c r="AI59" s="437"/>
      <c r="AK59" s="437"/>
      <c r="AL59" s="437"/>
      <c r="AP59" s="124"/>
      <c r="AQ59" s="124"/>
      <c r="BK59" s="436"/>
      <c r="BX59" s="1"/>
      <c r="CU59" s="1"/>
      <c r="CY59"/>
      <c r="CZ59"/>
      <c r="DF59" s="455"/>
      <c r="DG59" s="455"/>
    </row>
    <row r="60" spans="1:111" hidden="1">
      <c r="A60" s="685" t="s">
        <v>138</v>
      </c>
      <c r="B60" s="685"/>
      <c r="C60" s="685"/>
      <c r="D60" s="685">
        <f>COUNTIF([0]!Oktober,"Weekend")</f>
        <v>10</v>
      </c>
      <c r="E60" s="699"/>
      <c r="F60" s="700" t="s">
        <v>227</v>
      </c>
      <c r="G60" s="700">
        <f>COUNTIFS($B$9:$B$39,"ti",[0]!Oktober,"Skema 2")</f>
        <v>0</v>
      </c>
      <c r="H60" s="576"/>
      <c r="I60" s="576" t="s">
        <v>564</v>
      </c>
      <c r="J60" s="577"/>
      <c r="K60" s="45"/>
      <c r="L60" s="45"/>
      <c r="M60" s="858">
        <f>IF(Stamoplysninger!$B$26="Weekendtimer og weekendtillæg afspadseres.",M57,0)</f>
        <v>0</v>
      </c>
      <c r="N60" s="858">
        <f>IF(Stamoplysninger!$B$26="Weekendtimer og weekendtillæg afspadseres.",N57,0)</f>
        <v>0</v>
      </c>
      <c r="O60" s="754"/>
      <c r="P60" s="581"/>
      <c r="Q60" s="757" t="s">
        <v>384</v>
      </c>
      <c r="R60" s="459"/>
      <c r="S60" s="459">
        <f>IF(Stamoplysninger!B22="Ulempetillæg afspadseres med 25%(Kræver en aftale imellem ledelsen og den ansatte)",Q59,0)</f>
        <v>0</v>
      </c>
      <c r="T60" s="459">
        <f>IF(Stamoplysninger!B22="Ulempetillæg afspadseres med 25%(Kræver en aftale imellem ledelsen og den ansatte)",(R40+X40)*0.25,0)</f>
        <v>0</v>
      </c>
      <c r="U60" s="459"/>
      <c r="V60" s="459"/>
      <c r="W60" s="582"/>
      <c r="X60" s="582"/>
      <c r="Y60"/>
      <c r="Z60"/>
      <c r="AA60" s="436"/>
      <c r="AO60" s="1"/>
      <c r="BL60" s="1"/>
      <c r="BW60" s="455"/>
      <c r="BX60" s="455"/>
      <c r="CY60"/>
      <c r="CZ60"/>
    </row>
    <row r="61" spans="1:111" hidden="1">
      <c r="A61" s="685" t="s">
        <v>146</v>
      </c>
      <c r="B61" s="685"/>
      <c r="C61" s="685"/>
      <c r="D61" s="685">
        <f>COUNTIF([0]!Oktober,"SH-dag")</f>
        <v>0</v>
      </c>
      <c r="E61" s="699"/>
      <c r="F61" s="700" t="s">
        <v>228</v>
      </c>
      <c r="G61" s="700">
        <f>COUNTIFS($B$9:$B$39,"on",[0]!Oktober,"Skema 2")</f>
        <v>0</v>
      </c>
      <c r="H61" s="576"/>
      <c r="I61" s="854" t="s">
        <v>565</v>
      </c>
      <c r="J61" s="854"/>
      <c r="K61" s="854"/>
      <c r="L61" s="854"/>
      <c r="M61" s="858">
        <f>IF(Stamoplysninger!$B$26="Weekendtimer og weekendtillæg afspadseres.",O59,0)</f>
        <v>0</v>
      </c>
      <c r="N61" s="858">
        <f>IF(Stamoplysninger!$B$26="Weekendtimer og weekendtillæg afspadseres.",O59,0)</f>
        <v>0</v>
      </c>
      <c r="O61" s="754"/>
      <c r="P61" s="581"/>
      <c r="Q61" s="757" t="s">
        <v>381</v>
      </c>
      <c r="R61" s="459"/>
      <c r="S61" s="459">
        <f>IF(Stamoplysninger!B22="Ulempetillæg udbetales med 25% af nettotimelønnen.",Q59,0)</f>
        <v>0</v>
      </c>
      <c r="T61" s="459">
        <f>IF(Stamoplysninger!B22="Ulempetillæg udbetales med 25% af nettotimelønnen.",(R40+X40)*0.25,0)</f>
        <v>0</v>
      </c>
      <c r="U61" s="459"/>
      <c r="V61" s="459"/>
      <c r="W61" s="582"/>
      <c r="X61" s="582"/>
      <c r="Y61"/>
      <c r="Z61"/>
      <c r="AA61" s="436"/>
      <c r="AO61" s="1"/>
      <c r="BL61" s="1"/>
      <c r="BW61" s="455"/>
      <c r="BX61" s="455"/>
      <c r="CY61"/>
      <c r="CZ61"/>
    </row>
    <row r="62" spans="1:111" hidden="1">
      <c r="A62" s="685" t="s">
        <v>114</v>
      </c>
      <c r="B62" s="685"/>
      <c r="C62" s="685"/>
      <c r="D62" s="685">
        <f>COUNTIF([0]!Oktober,"Feriedag")</f>
        <v>5</v>
      </c>
      <c r="E62" s="699"/>
      <c r="F62" s="700" t="s">
        <v>229</v>
      </c>
      <c r="G62" s="700">
        <f>COUNTIFS($B$9:$B$39,"to",[0]!Oktober,"Skema 2")</f>
        <v>0</v>
      </c>
      <c r="H62" s="576"/>
      <c r="I62" s="854" t="s">
        <v>566</v>
      </c>
      <c r="J62" s="854"/>
      <c r="K62" s="854"/>
      <c r="L62" s="854"/>
      <c r="M62" s="859">
        <f>IF(Stamoplysninger!$B$26="Weekendtimer og weekendtillæg udbetales.",M57,0)</f>
        <v>0</v>
      </c>
      <c r="N62" s="859">
        <f>IF(Stamoplysninger!$B$26="Weekendtimer og weekendtillæg udbetales.",N57,0)</f>
        <v>0</v>
      </c>
      <c r="O62" s="754"/>
      <c r="P62" s="581"/>
      <c r="Q62" s="757"/>
      <c r="R62" s="459"/>
      <c r="S62" s="459"/>
      <c r="T62" s="459"/>
      <c r="U62" s="459"/>
      <c r="V62" s="459"/>
      <c r="W62" s="582"/>
      <c r="X62" s="582"/>
      <c r="Y62"/>
      <c r="Z62"/>
      <c r="AA62" s="436"/>
      <c r="AO62" s="1"/>
      <c r="BL62" s="1"/>
      <c r="BW62" s="455"/>
      <c r="BX62" s="455"/>
      <c r="CY62"/>
      <c r="CZ62"/>
    </row>
    <row r="63" spans="1:111" hidden="1">
      <c r="A63" s="685" t="s">
        <v>210</v>
      </c>
      <c r="B63" s="685"/>
      <c r="C63" s="685"/>
      <c r="D63" s="685">
        <f>COUNTIF([0]!Oktober,"Nul-dag")</f>
        <v>0</v>
      </c>
      <c r="E63" s="699"/>
      <c r="F63" s="700" t="s">
        <v>230</v>
      </c>
      <c r="G63" s="700">
        <f>COUNTIFS($B$9:$B$39,"fr",[0]!Oktober,"Skema 2")</f>
        <v>0</v>
      </c>
      <c r="H63" s="576"/>
      <c r="I63" s="854" t="s">
        <v>567</v>
      </c>
      <c r="J63" s="854"/>
      <c r="K63" s="854"/>
      <c r="L63" s="854"/>
      <c r="M63" s="859">
        <f>IF(Stamoplysninger!$B$26="Weekendtimer og weekendtillæg udbetales.",O59,0)</f>
        <v>0</v>
      </c>
      <c r="N63" s="859">
        <f>IF(Stamoplysninger!$B$26="Weekendtimer og weekendtillæg udbetales.",O59,0)</f>
        <v>0</v>
      </c>
      <c r="O63" s="754"/>
      <c r="P63" s="581"/>
      <c r="Q63" s="757"/>
      <c r="R63" s="459"/>
      <c r="S63" s="459"/>
      <c r="T63" s="459"/>
      <c r="U63" s="459"/>
      <c r="V63" s="459"/>
      <c r="W63" s="582"/>
      <c r="X63" s="582"/>
      <c r="Y63"/>
      <c r="Z63"/>
      <c r="AA63" s="436"/>
      <c r="AO63" s="1"/>
      <c r="BL63" s="1"/>
      <c r="BW63" s="455"/>
      <c r="BX63" s="455"/>
      <c r="CY63"/>
      <c r="CZ63"/>
    </row>
    <row r="64" spans="1:111" hidden="1">
      <c r="A64" s="841" t="s">
        <v>505</v>
      </c>
      <c r="B64" s="685"/>
      <c r="C64" s="685"/>
      <c r="D64" s="685">
        <f>COUNTIF([0]!Oktober,"Orlov")</f>
        <v>0</v>
      </c>
      <c r="E64" s="699"/>
      <c r="F64" s="702"/>
      <c r="G64" s="702"/>
      <c r="H64" s="692"/>
      <c r="I64" s="854" t="s">
        <v>385</v>
      </c>
      <c r="J64" s="854"/>
      <c r="K64" s="854"/>
      <c r="L64" s="854"/>
      <c r="M64" s="860">
        <f>IF(Stamoplysninger!$B$26="Der er indgået lokalaftale omkring weekendtimer.(Kræver aftale med TR/FSL) Weekendtillæg afspadseres.",O59,0)</f>
        <v>0</v>
      </c>
      <c r="N64" s="860">
        <f>IF(Stamoplysninger!$B$26="Der er indgået lokalaftale omkring weekendtimer.(Kræver aftale med TR/FSL) Weekendtillæg afspadseres.",N57,0)</f>
        <v>0</v>
      </c>
      <c r="O64" s="754"/>
      <c r="P64" s="581"/>
      <c r="Q64" s="757"/>
      <c r="R64" s="459"/>
      <c r="S64" s="459"/>
      <c r="T64" s="459"/>
      <c r="U64" s="459"/>
      <c r="V64" s="459"/>
      <c r="W64" s="582"/>
      <c r="X64" s="582"/>
      <c r="Y64"/>
      <c r="Z64"/>
      <c r="AO64" s="1"/>
      <c r="BL64" s="1"/>
      <c r="BW64" s="455"/>
      <c r="BX64" s="455"/>
      <c r="CY64"/>
      <c r="CZ64"/>
    </row>
    <row r="65" spans="1:104" hidden="1">
      <c r="A65" s="685" t="s">
        <v>185</v>
      </c>
      <c r="B65" s="685"/>
      <c r="C65" s="685"/>
      <c r="D65" s="685">
        <f>COUNTIF([0]!Oktober,"Ikke relevant")</f>
        <v>0</v>
      </c>
      <c r="E65" s="699"/>
      <c r="F65" s="700" t="s">
        <v>231</v>
      </c>
      <c r="G65" s="700">
        <f>COUNTIFS($B$9:$B$39,"ma",[0]!Oktober,"Skema 3")</f>
        <v>0</v>
      </c>
      <c r="H65" s="576">
        <v>1</v>
      </c>
      <c r="I65" s="854" t="s">
        <v>386</v>
      </c>
      <c r="J65" s="854"/>
      <c r="K65" s="854"/>
      <c r="L65" s="854"/>
      <c r="M65" s="860">
        <f>IF(Stamoplysninger!$B$26="Der er indgået lokalaftale omkring weekendtimer(Kræver aftale med TR/FSL). Weekendtillæg udbetales.",O59,0)</f>
        <v>0</v>
      </c>
      <c r="N65" s="860">
        <f>IF(Stamoplysninger!$B$26="Der er indgået lokalaftale omkring weekendtimer(Kræver aftale med TR/FSL). Weekendtillæg udbetales.",N57,0)</f>
        <v>0</v>
      </c>
      <c r="O65" s="754"/>
      <c r="P65" s="581"/>
      <c r="Q65" s="757"/>
      <c r="R65" s="459"/>
      <c r="S65" s="459"/>
      <c r="T65" s="459"/>
      <c r="U65" s="459"/>
      <c r="V65" s="459"/>
      <c r="W65" s="582"/>
      <c r="X65" s="582"/>
      <c r="Y65"/>
      <c r="Z65"/>
      <c r="AO65" s="1"/>
      <c r="BL65" s="1"/>
      <c r="BW65" s="455"/>
      <c r="BX65" s="455"/>
      <c r="CY65"/>
      <c r="CZ65"/>
    </row>
    <row r="66" spans="1:104" hidden="1">
      <c r="A66" s="685" t="s">
        <v>113</v>
      </c>
      <c r="B66" s="685"/>
      <c r="C66" s="685"/>
      <c r="D66" s="685">
        <f>SUM(D53:D65)</f>
        <v>31</v>
      </c>
      <c r="E66" s="685"/>
      <c r="F66" s="700" t="s">
        <v>232</v>
      </c>
      <c r="G66" s="700">
        <f>COUNTIFS($B$9:$B$39,"ti",[0]!Oktober,"Skema 3")</f>
        <v>0</v>
      </c>
      <c r="H66" s="576">
        <v>2</v>
      </c>
      <c r="I66" s="854" t="s">
        <v>569</v>
      </c>
      <c r="J66" s="854"/>
      <c r="K66" s="854"/>
      <c r="L66" s="854"/>
      <c r="M66" s="860">
        <f>IF(Stamoplysninger!$B$26="Der er indgået lokalaftale omkring weekendtimer.(Kræver aftale med TR/FSL) Weekendtillæg afspadseres.",M57,0)</f>
        <v>0</v>
      </c>
      <c r="N66" s="860">
        <f>IF(Stamoplysninger!$B$26="Der er indgået lokalaftale omkring weekendtimer.(Kræver aftale med TR/FSL) Weekendtillæg afspadseres.",O59,0)</f>
        <v>0</v>
      </c>
      <c r="O66" s="45"/>
      <c r="P66" s="45"/>
      <c r="Q66" s="45"/>
      <c r="R66" s="45"/>
      <c r="S66" s="45"/>
      <c r="T66" s="45"/>
      <c r="U66" s="580"/>
      <c r="V66" s="580"/>
      <c r="X66" s="580"/>
      <c r="Y66"/>
      <c r="Z66"/>
      <c r="AO66" s="1"/>
      <c r="BL66" s="1"/>
      <c r="BW66" s="455"/>
      <c r="BX66" s="455"/>
      <c r="CY66"/>
      <c r="CZ66"/>
    </row>
    <row r="67" spans="1:104" hidden="1">
      <c r="A67" s="685" t="s">
        <v>282</v>
      </c>
      <c r="B67" s="685"/>
      <c r="C67" s="685"/>
      <c r="D67" s="685">
        <f>D66-D60-A76-D65</f>
        <v>21</v>
      </c>
      <c r="E67" s="703"/>
      <c r="F67" s="700" t="s">
        <v>233</v>
      </c>
      <c r="G67" s="700">
        <f>COUNTIFS($B$9:$B$39,"on",[0]!Oktober,"Skema 3")</f>
        <v>0</v>
      </c>
      <c r="H67" s="576"/>
      <c r="I67" s="854" t="s">
        <v>570</v>
      </c>
      <c r="J67" s="854"/>
      <c r="K67" s="854"/>
      <c r="L67" s="854"/>
      <c r="M67" s="860">
        <f>IF(Stamoplysninger!$B$26="Der er indgået lokalaftale omkring weekendtimer(Kræver aftale med TR/FSL). Weekendtillæg udbetales.",M57,0)</f>
        <v>0</v>
      </c>
      <c r="N67" s="860">
        <f>IF(Stamoplysninger!$B$26="Der er indgået lokalaftale omkring weekendtimer(Kræver aftale med TR/FSL). Weekendtillæg udbetales.",O59,0)</f>
        <v>0</v>
      </c>
      <c r="O67" s="580"/>
      <c r="P67" s="580"/>
      <c r="Q67" s="580"/>
      <c r="R67" s="580"/>
      <c r="S67" s="580"/>
      <c r="T67" s="580"/>
      <c r="U67" s="580"/>
      <c r="V67" s="580"/>
      <c r="X67" s="580"/>
      <c r="Y67"/>
      <c r="Z67"/>
      <c r="AO67" s="1"/>
      <c r="BL67" s="1"/>
      <c r="BW67" s="455"/>
      <c r="BX67" s="455"/>
      <c r="CY67"/>
      <c r="CZ67"/>
    </row>
    <row r="68" spans="1:104" hidden="1">
      <c r="A68" s="700"/>
      <c r="B68" s="700"/>
      <c r="C68" s="700"/>
      <c r="D68" s="700"/>
      <c r="E68" s="700"/>
      <c r="F68" s="700" t="s">
        <v>234</v>
      </c>
      <c r="G68" s="700">
        <f>COUNTIFS($B$9:$B$39,"to",[0]!Oktober,"Skema 3")</f>
        <v>0</v>
      </c>
      <c r="H68" s="576"/>
      <c r="I68" s="854" t="s">
        <v>387</v>
      </c>
      <c r="J68" s="854"/>
      <c r="K68" s="854"/>
      <c r="L68" s="854"/>
      <c r="M68" s="862">
        <f>IF(Stamoplysninger!$B$26="Der er indgået lokalaftale omkring weekendtillæg(Kræver aftale med TR/FSL). Weekendtimerne afspadseres.",M57,0)</f>
        <v>0</v>
      </c>
      <c r="N68" s="862">
        <f>IF(Stamoplysninger!$B$26="Der er indgået lokalaftale omkring weekendtillæg(Kræver aftale med TR/FSL). Weekendtimerne afspadseres.",N57,0)</f>
        <v>0</v>
      </c>
      <c r="O68" s="580"/>
      <c r="P68" s="580"/>
      <c r="Q68" s="580"/>
      <c r="R68" s="580"/>
      <c r="S68" s="580"/>
      <c r="T68" s="580"/>
      <c r="U68" s="580"/>
      <c r="V68" s="580"/>
      <c r="X68" s="580"/>
      <c r="Y68"/>
      <c r="Z68"/>
      <c r="AO68" s="1"/>
      <c r="BL68" s="1"/>
      <c r="BW68" s="455"/>
      <c r="BX68" s="455"/>
      <c r="CY68"/>
      <c r="CZ68"/>
    </row>
    <row r="69" spans="1:104" hidden="1">
      <c r="A69" s="700"/>
      <c r="B69" s="700"/>
      <c r="C69" s="700"/>
      <c r="D69" s="700"/>
      <c r="E69" s="700"/>
      <c r="F69" s="700" t="s">
        <v>235</v>
      </c>
      <c r="G69" s="700">
        <f>COUNTIFS($B$9:$B$39,"fr",[0]!Oktober,"Skema 3")</f>
        <v>0</v>
      </c>
      <c r="H69" s="576">
        <v>1</v>
      </c>
      <c r="I69" s="854" t="s">
        <v>388</v>
      </c>
      <c r="J69" s="854"/>
      <c r="K69" s="854"/>
      <c r="L69" s="854"/>
      <c r="M69" s="862">
        <f>IF(Stamoplysninger!$B$26="Der er indgået lokalaftale omkring weekendtillæg(Kræver aftale med TR/FSL). Weekendtimerne udbetales.",M57,0)</f>
        <v>0</v>
      </c>
      <c r="N69" s="862">
        <f>IF(Stamoplysninger!$B$26="Der er indgået lokalaftale omkring weekendtillæg(Kræver aftale med TR/FSL). Weekendtimerne udbetales.",N57,0)</f>
        <v>0</v>
      </c>
      <c r="O69" s="580"/>
      <c r="P69" s="580"/>
      <c r="Q69" s="580"/>
      <c r="R69" s="580"/>
      <c r="S69" s="580"/>
      <c r="T69" s="580"/>
      <c r="U69" s="580"/>
      <c r="V69" s="580"/>
      <c r="X69" s="580"/>
      <c r="Y69"/>
      <c r="Z69"/>
      <c r="AO69" s="1"/>
      <c r="BL69" s="1"/>
      <c r="BW69" s="455"/>
      <c r="BX69" s="455"/>
      <c r="CY69"/>
      <c r="CZ69"/>
    </row>
    <row r="70" spans="1:104" hidden="1">
      <c r="A70" s="700" t="s">
        <v>344</v>
      </c>
      <c r="B70" s="700"/>
      <c r="C70" s="700"/>
      <c r="D70" s="700"/>
      <c r="E70" s="700"/>
      <c r="F70" s="700"/>
      <c r="G70" s="700"/>
      <c r="H70" s="576">
        <v>2</v>
      </c>
      <c r="I70" s="854" t="s">
        <v>571</v>
      </c>
      <c r="J70" s="854"/>
      <c r="K70" s="854"/>
      <c r="L70" s="854"/>
      <c r="M70" s="862">
        <f>IF(Stamoplysninger!$B$26="Der er indgået lokalaftale omkring weekendtillæg(Kræver aftale med TR/FSL). Weekendtimerne afspadseres.",M57,0)</f>
        <v>0</v>
      </c>
      <c r="N70" s="862">
        <f>IF(Stamoplysninger!$B$26="Der er indgået lokalaftale omkring weekendtillæg(Kræver aftale med TR/FSL). Weekendtimerne afspadseres.",N57,0)</f>
        <v>0</v>
      </c>
      <c r="O70" s="580"/>
      <c r="P70" s="580"/>
      <c r="Q70" s="580"/>
      <c r="R70" s="580"/>
      <c r="S70" s="580"/>
      <c r="T70" s="580"/>
      <c r="U70" s="580"/>
      <c r="V70" s="580"/>
      <c r="X70" s="580"/>
      <c r="Y70"/>
      <c r="Z70"/>
      <c r="AO70" s="1"/>
      <c r="BL70" s="1"/>
      <c r="BW70" s="455"/>
      <c r="BX70" s="455"/>
      <c r="CY70"/>
      <c r="CZ70"/>
    </row>
    <row r="71" spans="1:104" hidden="1">
      <c r="A71" s="700">
        <f>COUNTIF($C$9:$C$10,"Skema 1")+COUNTIF($C$9:$C$10,"Skema 2")+COUNTIF($C$9:$C$10,"Skema 3")+COUNTIF($C$9:$C$10,"Skema 4")+COUNTIF($C$9:$C$10,"Fagdag")+COUNTIF($C$9:$C$10,"Emnedag")+COUNTIF($C$9:$C$10,"Lejrskole")+COUNTIF($C$9:$C$10,"Ekskursion")+COUNTIF($C$9:$C$10,"Pæd.dag")</f>
        <v>0</v>
      </c>
      <c r="B71" s="700"/>
      <c r="C71" s="700"/>
      <c r="D71" s="700"/>
      <c r="E71" s="700"/>
      <c r="F71" s="700" t="s">
        <v>236</v>
      </c>
      <c r="G71" s="700">
        <f>COUNTIFS($B$9:$B$39,"ma",[0]!Oktober,"Skema 4")</f>
        <v>0</v>
      </c>
      <c r="H71" s="576"/>
      <c r="I71" s="854" t="s">
        <v>572</v>
      </c>
      <c r="J71" s="854"/>
      <c r="K71" s="854"/>
      <c r="L71" s="854"/>
      <c r="M71" s="862">
        <f>IF(Stamoplysninger!$B$26="Der er indgået lokalaftale omkring weekendtillæg(Kræver aftale med TR/FSL). Weekendtimerne udbetales.",M57,0)</f>
        <v>0</v>
      </c>
      <c r="N71" s="862">
        <f>IF(Stamoplysninger!$B$26="Der er indgået lokalaftale omkring weekendtillæg(Kræver aftale med TR/FSL). Weekendtimerne udbetales.",N57,0)</f>
        <v>0</v>
      </c>
      <c r="O71" s="580"/>
      <c r="P71" s="580"/>
      <c r="Q71" s="580"/>
      <c r="R71" s="580"/>
      <c r="S71" s="580"/>
      <c r="T71" s="580"/>
      <c r="U71" s="580"/>
      <c r="V71" s="580"/>
      <c r="X71" s="580"/>
      <c r="Y71"/>
      <c r="Z71"/>
      <c r="AO71" s="1"/>
      <c r="BL71" s="1"/>
      <c r="BW71" s="455"/>
      <c r="BX71" s="455"/>
      <c r="CY71"/>
      <c r="CZ71"/>
    </row>
    <row r="72" spans="1:104" hidden="1">
      <c r="A72" s="700">
        <f>COUNTIF($C$16:$C$17,"Skema 1")+COUNTIF($C$16:$C$17,"Skema 2")+COUNTIF($C$16:$C$17,"Skema 3")+COUNTIF($C$16:$C$17,"Skema 4")+COUNTIF($C$16:$C$17,"Fagdag")+COUNTIF($C$16:$C$17,"Emnedag")+COUNTIF($C$16:$C$17,"Lejrskole")+COUNTIF($C$16:$C$17,"Ekskursion")+COUNTIF($C$16:$C$17,"Pæd.dag")</f>
        <v>0</v>
      </c>
      <c r="B72" s="700"/>
      <c r="C72" s="700"/>
      <c r="D72" s="700"/>
      <c r="E72" s="700"/>
      <c r="F72" s="700" t="s">
        <v>237</v>
      </c>
      <c r="G72" s="700">
        <f>COUNTIFS($B$9:$B$39,"ti",[0]!Oktober,"Skema 4")</f>
        <v>0</v>
      </c>
      <c r="H72" s="576"/>
      <c r="I72" s="576" t="s">
        <v>568</v>
      </c>
      <c r="J72" s="45"/>
      <c r="K72" s="45"/>
      <c r="L72" s="45"/>
      <c r="M72" s="754">
        <f>IF(Stamoplysninger!$B$26="Der er indgået lokalaftale omkring weekendtimer og weekendtillæg.(Kræver aftale med TR/FSL).",M57,0)</f>
        <v>0</v>
      </c>
      <c r="N72" s="754"/>
      <c r="O72" s="580"/>
      <c r="P72" s="580"/>
      <c r="Q72" s="580"/>
      <c r="R72" s="580"/>
      <c r="S72" s="580"/>
      <c r="T72" s="580"/>
      <c r="V72" s="580"/>
      <c r="X72" s="580"/>
      <c r="Y72"/>
      <c r="Z72"/>
      <c r="AO72" s="1"/>
      <c r="BL72" s="1"/>
      <c r="BW72" s="455"/>
      <c r="BX72" s="455"/>
      <c r="CY72"/>
      <c r="CZ72"/>
    </row>
    <row r="73" spans="1:104">
      <c r="A73" s="700">
        <f>COUNTIF($C$23:$C$24,"Skema 1")+COUNTIF($C$23:$C$24,"Skema 2")+COUNTIF($C$23:$C$24,"Skema 3")+COUNTIF($C$23:$C$24,"Skema 4")+COUNTIF($C$23:$C$24,"Fagdag")+COUNTIF($C$23:$C$24,"Emnedag")+COUNTIF($C$23:$C$24,"Lejrskole")+COUNTIF($C$23:$C$24,"Ekskursion")+COUNTIF($C$23:$C$24,"Pæd.dag")</f>
        <v>0</v>
      </c>
      <c r="B73" s="700"/>
      <c r="C73" s="700"/>
      <c r="D73" s="700"/>
      <c r="E73" s="700"/>
      <c r="F73" s="700" t="s">
        <v>238</v>
      </c>
      <c r="G73" s="700">
        <f>COUNTIFS($B$9:$B$39,"on",[0]!Oktober,"Skema 4")</f>
        <v>0</v>
      </c>
      <c r="H73" s="576"/>
      <c r="I73" s="576"/>
      <c r="J73" s="45"/>
      <c r="K73" s="45"/>
      <c r="L73" s="45"/>
      <c r="M73" s="580"/>
      <c r="N73" s="580"/>
      <c r="O73" s="580"/>
      <c r="P73" s="580"/>
      <c r="Q73" s="580"/>
      <c r="R73" s="580"/>
      <c r="S73" s="580"/>
      <c r="T73" s="580"/>
      <c r="V73" s="580"/>
      <c r="Y73"/>
      <c r="Z73"/>
      <c r="AO73" s="1"/>
      <c r="BL73" s="1"/>
      <c r="BW73" s="455"/>
      <c r="BX73" s="455"/>
      <c r="CY73"/>
      <c r="CZ73"/>
    </row>
    <row r="74" spans="1:104">
      <c r="A74" s="700">
        <f>COUNTIF($C$30:$C$31,"Skema 1")+COUNTIF($C$30:$C$31,"Skema 2")+COUNTIF($C$30:$C$31,"Skema 3")+COUNTIF($C$30:$C$31,"Skema 4")+COUNTIF($C$30:$C$31,"Fagdag")+COUNTIF($C$30:$C$31,"Emnedag")+COUNTIF($C$30:$C$31,"Lejrskole")+COUNTIF($C$30:$C$31,"Ekskursion")+COUNTIF($C$30:$C$31,"Pæd.dag")</f>
        <v>0</v>
      </c>
      <c r="B74" s="700"/>
      <c r="C74" s="700"/>
      <c r="D74" s="700"/>
      <c r="E74" s="700"/>
      <c r="F74" s="700" t="s">
        <v>239</v>
      </c>
      <c r="G74" s="700">
        <f>COUNTIFS($B$9:$B$39,"to",[0]!Oktober,"Skema 4")</f>
        <v>0</v>
      </c>
      <c r="H74" s="576"/>
      <c r="I74" s="576"/>
      <c r="J74" s="45"/>
      <c r="K74" s="45"/>
      <c r="L74" s="45"/>
      <c r="M74" s="580"/>
      <c r="N74" s="580"/>
      <c r="O74" s="580"/>
      <c r="P74" s="580"/>
      <c r="Q74" s="580"/>
      <c r="R74" s="580"/>
      <c r="S74" s="580"/>
      <c r="T74" s="580"/>
      <c r="V74" s="580"/>
      <c r="Y74"/>
      <c r="Z74"/>
      <c r="AO74" s="1">
        <f>SUM(N74:AN74)</f>
        <v>0</v>
      </c>
      <c r="BL74" s="1">
        <f>SUM(AI74:BK74)</f>
        <v>0</v>
      </c>
      <c r="BW74" s="455"/>
      <c r="BX74" s="455"/>
      <c r="CY74"/>
      <c r="CZ74"/>
    </row>
    <row r="75" spans="1:104">
      <c r="A75" s="700">
        <f>COUNTIF($C$37:$C$38,"Skema 1")+COUNTIF($C$37:$C$38,"Skema 2")+COUNTIF($C$37:$C$38,"Skema 3")+COUNTIF($C$37:$C$38,"Skema 4")+COUNTIF($C$37:$C$38,"Fagdag")+COUNTIF($C$37:$C$38,"Emnedag")+COUNTIF($C$37:$C$38,"Lejrskole")+COUNTIF($C$37:$C$38,"Ekskursion")+COUNTIF($C$37:$C$38,"Pæd.dag")</f>
        <v>0</v>
      </c>
      <c r="B75" s="700"/>
      <c r="C75" s="700"/>
      <c r="D75" s="700"/>
      <c r="E75" s="700"/>
      <c r="F75" s="700" t="s">
        <v>240</v>
      </c>
      <c r="G75" s="700">
        <f>COUNTIFS($B$9:$B$39,"fr",[0]!Oktober,"Skema 4")</f>
        <v>0</v>
      </c>
      <c r="H75" s="576"/>
      <c r="I75" s="45"/>
      <c r="J75" s="45"/>
      <c r="K75" s="45"/>
      <c r="L75" s="45"/>
      <c r="M75" s="580"/>
      <c r="N75" s="580"/>
      <c r="O75" s="580"/>
      <c r="P75" s="580"/>
      <c r="Q75" s="580"/>
      <c r="R75" s="580"/>
      <c r="S75" s="580"/>
      <c r="T75" s="580"/>
      <c r="V75" s="580"/>
      <c r="Y75"/>
      <c r="Z75"/>
      <c r="AO75" s="1">
        <f>SUM(N75:AN75)</f>
        <v>0</v>
      </c>
      <c r="BL75" s="1">
        <f>SUM(AI75:BK75)</f>
        <v>0</v>
      </c>
      <c r="BW75" s="455"/>
      <c r="BX75" s="455"/>
      <c r="CY75"/>
      <c r="CZ75"/>
    </row>
    <row r="76" spans="1:104">
      <c r="A76" s="700">
        <f>SUM(A71:A75)</f>
        <v>0</v>
      </c>
      <c r="B76" s="700"/>
      <c r="C76" s="700"/>
      <c r="D76" s="700"/>
      <c r="E76" s="700"/>
      <c r="F76" s="700"/>
      <c r="G76" s="705">
        <f>SUM(G53:G75)</f>
        <v>10</v>
      </c>
      <c r="H76" s="45"/>
      <c r="I76" s="45"/>
      <c r="J76" s="45"/>
      <c r="K76" s="45"/>
      <c r="L76" s="45"/>
      <c r="Y76"/>
      <c r="Z76"/>
      <c r="AO76" s="1">
        <f>SUM(N76:AN76)</f>
        <v>0</v>
      </c>
      <c r="BL76" s="1">
        <f>SUM(AI76:BK76)</f>
        <v>0</v>
      </c>
      <c r="BW76" s="455"/>
      <c r="BX76" s="455"/>
      <c r="CY76"/>
      <c r="CZ76"/>
    </row>
    <row r="77" spans="1:104">
      <c r="A77" s="704"/>
      <c r="B77" s="704"/>
      <c r="C77" s="704"/>
      <c r="D77" s="704"/>
      <c r="E77" s="700"/>
      <c r="F77" s="700"/>
      <c r="G77" s="700"/>
      <c r="H77" s="45"/>
      <c r="I77" s="45"/>
      <c r="J77" s="45"/>
      <c r="K77" s="45"/>
      <c r="L77" s="45"/>
      <c r="Y77"/>
      <c r="Z77"/>
      <c r="AO77" s="1">
        <f>SUM(N77:AN77)</f>
        <v>0</v>
      </c>
      <c r="BL77" s="1">
        <f>SUM(AI77:BK77)</f>
        <v>0</v>
      </c>
      <c r="BW77" s="455"/>
      <c r="BX77" s="455"/>
      <c r="CY77"/>
      <c r="CZ77"/>
    </row>
    <row r="78" spans="1:104">
      <c r="A78" s="776"/>
      <c r="B78" s="776"/>
      <c r="C78" s="776"/>
      <c r="D78" s="776"/>
      <c r="E78" s="775"/>
      <c r="F78" s="775"/>
      <c r="G78" s="775"/>
      <c r="H78" s="769"/>
      <c r="I78" s="769"/>
      <c r="J78" s="769"/>
      <c r="Y78"/>
      <c r="Z78"/>
      <c r="BW78" s="455"/>
      <c r="BX78" s="455"/>
      <c r="CY78"/>
      <c r="CZ78"/>
    </row>
    <row r="79" spans="1:104">
      <c r="A79" s="776"/>
      <c r="B79" s="776"/>
      <c r="C79" s="776"/>
      <c r="D79" s="776"/>
      <c r="E79" s="775"/>
      <c r="F79" s="775"/>
      <c r="G79" s="775"/>
      <c r="H79" s="769"/>
      <c r="Y79"/>
      <c r="Z79"/>
      <c r="BW79" s="455"/>
      <c r="BX79" s="455"/>
      <c r="CY79"/>
      <c r="CZ79"/>
    </row>
    <row r="80" spans="1:104">
      <c r="A80" s="776"/>
      <c r="B80" s="776"/>
      <c r="C80" s="776"/>
      <c r="D80" s="776"/>
      <c r="E80" s="775"/>
      <c r="F80" s="775"/>
      <c r="G80" s="775"/>
      <c r="H80" s="769"/>
      <c r="Y80"/>
      <c r="Z80"/>
      <c r="BW80" s="455"/>
      <c r="BX80" s="455"/>
      <c r="CY80"/>
      <c r="CZ80"/>
    </row>
    <row r="81" spans="1:111">
      <c r="A81" s="776"/>
      <c r="B81" s="776"/>
      <c r="C81" s="776"/>
      <c r="D81" s="776"/>
      <c r="E81" s="188"/>
      <c r="F81" s="777"/>
      <c r="G81" s="777"/>
      <c r="H81" s="769"/>
      <c r="Y81"/>
      <c r="Z81"/>
      <c r="BW81" s="455"/>
      <c r="BX81" s="455"/>
      <c r="CY81"/>
      <c r="CZ81"/>
    </row>
    <row r="82" spans="1:111">
      <c r="A82" s="769"/>
      <c r="B82" s="769"/>
      <c r="C82" s="769"/>
      <c r="D82" s="769"/>
      <c r="E82" s="188"/>
      <c r="F82" s="777"/>
      <c r="G82" s="777"/>
      <c r="H82" s="769"/>
      <c r="Y82"/>
      <c r="Z82"/>
      <c r="AF82" s="424"/>
      <c r="BW82" s="455"/>
      <c r="BX82" s="455"/>
      <c r="CY82"/>
      <c r="CZ82"/>
    </row>
    <row r="83" spans="1:111">
      <c r="A83" s="769"/>
      <c r="B83" s="769"/>
      <c r="C83" s="769"/>
      <c r="D83" s="769"/>
      <c r="E83" s="188"/>
      <c r="F83" s="777"/>
      <c r="G83" s="777"/>
      <c r="H83" s="769"/>
      <c r="Y83"/>
      <c r="Z83"/>
      <c r="AD83" s="406"/>
      <c r="AE83" s="424"/>
      <c r="AF83" s="424"/>
      <c r="AG83" s="424"/>
      <c r="AH83" s="424"/>
      <c r="CY83"/>
      <c r="CZ83"/>
      <c r="DF83" s="455"/>
      <c r="DG83" s="455"/>
    </row>
    <row r="84" spans="1:111">
      <c r="A84" s="769"/>
      <c r="B84" s="769"/>
      <c r="C84" s="769"/>
      <c r="D84" s="769"/>
      <c r="E84" s="188"/>
      <c r="F84" s="777"/>
      <c r="G84" s="777"/>
      <c r="H84" s="769"/>
      <c r="Y84"/>
      <c r="Z84"/>
      <c r="AD84" s="406"/>
      <c r="AE84" s="424"/>
      <c r="AG84" s="424"/>
      <c r="AH84" s="424"/>
      <c r="CY84"/>
      <c r="CZ84"/>
      <c r="DF84" s="455"/>
      <c r="DG84" s="455"/>
    </row>
    <row r="85" spans="1:111">
      <c r="A85" s="769"/>
      <c r="B85" s="769"/>
      <c r="C85" s="769"/>
      <c r="D85" s="769"/>
      <c r="E85" s="188"/>
      <c r="F85" s="188"/>
      <c r="G85" s="188"/>
      <c r="H85" s="769"/>
    </row>
    <row r="86" spans="1:111">
      <c r="A86" s="769"/>
      <c r="B86" s="769"/>
      <c r="C86" s="769"/>
      <c r="D86" s="769"/>
      <c r="E86" s="188"/>
      <c r="F86" s="188"/>
      <c r="G86" s="188"/>
      <c r="H86" s="769"/>
    </row>
    <row r="87" spans="1:111">
      <c r="A87" s="769"/>
      <c r="B87" s="769"/>
      <c r="C87" s="769"/>
      <c r="D87" s="769"/>
      <c r="E87" s="769"/>
      <c r="F87" s="769"/>
      <c r="G87" s="769"/>
      <c r="H87" s="769"/>
    </row>
    <row r="88" spans="1:111">
      <c r="A88" s="769"/>
      <c r="B88" s="769"/>
      <c r="C88" s="769"/>
      <c r="D88" s="769"/>
      <c r="E88" s="769"/>
      <c r="F88" s="769"/>
      <c r="G88" s="769"/>
      <c r="H88" s="769"/>
    </row>
    <row r="89" spans="1:111">
      <c r="A89" s="769"/>
      <c r="B89" s="769"/>
      <c r="C89" s="769"/>
      <c r="D89" s="769"/>
      <c r="E89" s="769"/>
      <c r="F89" s="769"/>
      <c r="G89" s="769"/>
      <c r="H89" s="769"/>
    </row>
    <row r="90" spans="1:111">
      <c r="A90" s="769"/>
      <c r="B90" s="769"/>
      <c r="C90" s="769"/>
      <c r="D90" s="769"/>
    </row>
  </sheetData>
  <sheetProtection sheet="1" objects="1" scenarios="1"/>
  <mergeCells count="117">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A56:C56"/>
    <mergeCell ref="V55:X55"/>
    <mergeCell ref="M55:U55"/>
    <mergeCell ref="A54:C54"/>
    <mergeCell ref="A55:C55"/>
    <mergeCell ref="I51:K51"/>
    <mergeCell ref="M51:U51"/>
    <mergeCell ref="V51:X51"/>
    <mergeCell ref="M52:U52"/>
    <mergeCell ref="V52:X52"/>
    <mergeCell ref="M53:U53"/>
    <mergeCell ref="V53:X53"/>
    <mergeCell ref="M54:U54"/>
    <mergeCell ref="V54:X54"/>
    <mergeCell ref="A49:H49"/>
    <mergeCell ref="I49:K49"/>
    <mergeCell ref="A50:H50"/>
    <mergeCell ref="I50:K50"/>
    <mergeCell ref="A46:G46"/>
    <mergeCell ref="I46:K46"/>
    <mergeCell ref="A47:G47"/>
    <mergeCell ref="I47:K47"/>
    <mergeCell ref="A44:G44"/>
    <mergeCell ref="I44:K44"/>
    <mergeCell ref="A45:G45"/>
    <mergeCell ref="I45:K45"/>
    <mergeCell ref="A48:H48"/>
    <mergeCell ref="I48:K48"/>
    <mergeCell ref="A42:G42"/>
    <mergeCell ref="I42:K42"/>
    <mergeCell ref="A43:G43"/>
    <mergeCell ref="I43:K43"/>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K8:R8"/>
    <mergeCell ref="AA6:AE6"/>
    <mergeCell ref="AG6:AK6"/>
    <mergeCell ref="E6:G8"/>
    <mergeCell ref="K6:L6"/>
    <mergeCell ref="N6:N7"/>
    <mergeCell ref="O6:O7"/>
    <mergeCell ref="E11:G11"/>
    <mergeCell ref="I8:J8"/>
    <mergeCell ref="I6:I7"/>
    <mergeCell ref="J6:J7"/>
    <mergeCell ref="S5:X5"/>
    <mergeCell ref="B2:E2"/>
    <mergeCell ref="E4:G4"/>
    <mergeCell ref="K4:L4"/>
    <mergeCell ref="A5:R5"/>
    <mergeCell ref="P6:P7"/>
    <mergeCell ref="Q6:Q7"/>
    <mergeCell ref="R6:R7"/>
    <mergeCell ref="A4:D4"/>
    <mergeCell ref="A3:X3"/>
    <mergeCell ref="S6:X6"/>
    <mergeCell ref="S8:U8"/>
    <mergeCell ref="V8:X8"/>
  </mergeCells>
  <conditionalFormatting sqref="E20">
    <cfRule type="expression" dxfId="776" priority="57">
      <formula>OR($D19="pæd.dag")</formula>
    </cfRule>
    <cfRule type="expression" dxfId="775" priority="58">
      <formula>OR($D19="nul-dag")</formula>
    </cfRule>
    <cfRule type="expression" dxfId="774" priority="59">
      <formula>OR($D19="SH-dag")</formula>
    </cfRule>
    <cfRule type="expression" dxfId="773" priority="60">
      <formula>OR($D19="ekskursion")</formula>
    </cfRule>
    <cfRule type="expression" dxfId="772" priority="61">
      <formula>OR($D19="lejrskole")</formula>
    </cfRule>
    <cfRule type="expression" dxfId="771" priority="62">
      <formula>OR($D19="emnedag")</formula>
    </cfRule>
    <cfRule type="expression" dxfId="770" priority="63">
      <formula>OR($D19="fagdag")</formula>
    </cfRule>
    <cfRule type="expression" dxfId="769" priority="64">
      <formula>OR($D19="feriedag")</formula>
    </cfRule>
    <cfRule type="expression" dxfId="768" priority="65">
      <formula>OR($D19="weekend")</formula>
    </cfRule>
    <cfRule type="expression" dxfId="767" priority="66" stopIfTrue="1">
      <formula>OR($D19="skoledag")</formula>
    </cfRule>
  </conditionalFormatting>
  <conditionalFormatting sqref="E20">
    <cfRule type="expression" dxfId="766" priority="67">
      <formula>OR($D19="Ikke relevant")</formula>
    </cfRule>
  </conditionalFormatting>
  <conditionalFormatting sqref="K9:M39">
    <cfRule type="expression" dxfId="765" priority="37">
      <formula>OR($C9="fagdag",)</formula>
    </cfRule>
    <cfRule type="expression" dxfId="764" priority="38">
      <formula>OR($C9="emnedag",)</formula>
    </cfRule>
  </conditionalFormatting>
  <conditionalFormatting sqref="K9:K39">
    <cfRule type="expression" dxfId="763" priority="39">
      <formula>OR($C9="Pæd.dag",)</formula>
    </cfRule>
  </conditionalFormatting>
  <conditionalFormatting sqref="K9:L39">
    <cfRule type="expression" dxfId="762" priority="40">
      <formula>OR($C9="Lejrskole",)</formula>
    </cfRule>
    <cfRule type="expression" dxfId="761" priority="41">
      <formula>OR($C9="Ekskursion",)</formula>
    </cfRule>
  </conditionalFormatting>
  <conditionalFormatting sqref="R9:R39">
    <cfRule type="expression" dxfId="760" priority="68">
      <formula>OR($H9&gt;"0",)</formula>
    </cfRule>
  </conditionalFormatting>
  <conditionalFormatting sqref="A9:H39">
    <cfRule type="expression" dxfId="759" priority="1">
      <formula>OR($C9="Orlov")</formula>
    </cfRule>
    <cfRule type="expression" dxfId="758" priority="42">
      <formula>OR($C9="Skema 1")</formula>
    </cfRule>
    <cfRule type="expression" dxfId="757" priority="43">
      <formula>OR($C9="skema 2")</formula>
    </cfRule>
    <cfRule type="expression" dxfId="756" priority="44">
      <formula>OR($C9="Skema 3")</formula>
    </cfRule>
    <cfRule type="expression" dxfId="755" priority="45">
      <formula>OR($C9="Skema 4")</formula>
    </cfRule>
    <cfRule type="expression" dxfId="754" priority="46">
      <formula>OR($C9="Ikke relevant")</formula>
    </cfRule>
    <cfRule type="expression" dxfId="753" priority="47">
      <formula>OR($C9="pæd.dag")</formula>
    </cfRule>
    <cfRule type="expression" dxfId="752" priority="48">
      <formula>OR($C9="nul-dag")</formula>
    </cfRule>
    <cfRule type="expression" dxfId="751" priority="49">
      <formula>OR($C9="SH-dag")</formula>
    </cfRule>
    <cfRule type="expression" dxfId="750" priority="50">
      <formula>OR($C9="ekskursion")</formula>
    </cfRule>
    <cfRule type="expression" dxfId="749" priority="51">
      <formula>OR($C9="lejrskole")</formula>
    </cfRule>
    <cfRule type="expression" dxfId="748" priority="52">
      <formula>OR($C9="emnedag")</formula>
    </cfRule>
    <cfRule type="expression" dxfId="747" priority="53">
      <formula>OR($C9="fagdag")</formula>
    </cfRule>
    <cfRule type="expression" dxfId="746" priority="54">
      <formula>OR($C9="feriedag")</formula>
    </cfRule>
    <cfRule type="expression" dxfId="745" priority="55">
      <formula>OR($C9="weekend")</formula>
    </cfRule>
    <cfRule type="expression" dxfId="744" priority="56" stopIfTrue="1">
      <formula>OR($C9="skoledag")</formula>
    </cfRule>
  </conditionalFormatting>
  <conditionalFormatting sqref="V9:V39">
    <cfRule type="expression" dxfId="743" priority="4">
      <formula>OR($S9="X",)</formula>
    </cfRule>
  </conditionalFormatting>
  <conditionalFormatting sqref="W9:W39">
    <cfRule type="expression" dxfId="742" priority="3">
      <formula>OR($T9="X",)</formula>
    </cfRule>
  </conditionalFormatting>
  <conditionalFormatting sqref="X9:X39">
    <cfRule type="expression" dxfId="741" priority="2">
      <formula>OR($U9="X",)</formula>
    </cfRule>
  </conditionalFormatting>
  <dataValidations count="3">
    <dataValidation type="list" allowBlank="1" showInputMessage="1" showErrorMessage="1" sqref="S9:T39 U9:U37"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I10 I16:I17 I23:I24 I30:I31 I37:I38"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August!$A$79:$A$93</xm:f>
          </x14:formula1>
          <xm:sqref>C9:C39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HC87"/>
  <sheetViews>
    <sheetView topLeftCell="A3" zoomScale="90" zoomScaleNormal="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424" hidden="1" customWidth="1"/>
    <col min="26" max="26" width="7" style="424"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455" hidden="1" customWidth="1"/>
    <col min="105" max="111" width="10.83203125" hidden="1" customWidth="1"/>
  </cols>
  <sheetData>
    <row r="1" spans="1:211" ht="16" customHeight="1">
      <c r="A1" s="157"/>
      <c r="B1" s="113"/>
      <c r="C1" s="113"/>
      <c r="D1" s="113"/>
      <c r="E1" s="113"/>
      <c r="F1" s="113"/>
      <c r="G1" s="113"/>
      <c r="H1" s="505"/>
      <c r="I1" s="504"/>
      <c r="J1" s="113"/>
      <c r="K1" s="423"/>
      <c r="L1" s="423"/>
      <c r="M1" s="423"/>
      <c r="N1" s="423"/>
      <c r="O1" s="423"/>
      <c r="P1" s="113"/>
      <c r="Q1" s="113"/>
      <c r="R1" s="113"/>
      <c r="S1" s="113"/>
      <c r="T1" s="113"/>
      <c r="U1" s="113"/>
      <c r="V1" s="113"/>
      <c r="W1" s="113"/>
      <c r="X1" s="113"/>
      <c r="Y1"/>
      <c r="Z1" s="113"/>
      <c r="AA1" s="113"/>
      <c r="AE1" s="113"/>
      <c r="AG1" s="113"/>
      <c r="CV1" s="455"/>
      <c r="CW1" s="455"/>
      <c r="CY1"/>
      <c r="CZ1"/>
    </row>
    <row r="2" spans="1:211" ht="20">
      <c r="A2" s="155">
        <v>11</v>
      </c>
      <c r="B2" s="1180"/>
      <c r="C2" s="1180"/>
      <c r="D2" s="1180"/>
      <c r="E2" s="1180"/>
      <c r="F2" s="113"/>
      <c r="G2" s="113"/>
      <c r="H2" s="505"/>
      <c r="I2" s="504"/>
      <c r="J2" s="423"/>
      <c r="K2" s="423"/>
      <c r="L2" s="423"/>
      <c r="M2" s="423"/>
      <c r="N2" s="423"/>
      <c r="O2" s="423"/>
      <c r="P2" s="113"/>
      <c r="Q2" s="113"/>
      <c r="R2" s="113"/>
      <c r="S2" s="113"/>
      <c r="T2" s="113"/>
      <c r="U2" s="113"/>
      <c r="V2" s="113"/>
      <c r="W2" s="299" t="s">
        <v>31</v>
      </c>
      <c r="X2" s="299" t="s">
        <v>31</v>
      </c>
      <c r="Y2"/>
      <c r="Z2" s="113"/>
      <c r="AA2" s="113"/>
      <c r="AE2" s="113"/>
      <c r="AG2" s="113"/>
      <c r="CV2" s="455"/>
      <c r="CW2" s="455"/>
      <c r="CY2"/>
      <c r="CZ2"/>
    </row>
    <row r="3" spans="1:211">
      <c r="A3" s="1189" t="s">
        <v>365</v>
      </c>
      <c r="B3" s="1190"/>
      <c r="C3" s="1190"/>
      <c r="D3" s="1190"/>
      <c r="E3" s="1190"/>
      <c r="F3" s="1190"/>
      <c r="G3" s="1190"/>
      <c r="H3" s="1190"/>
      <c r="I3" s="1190"/>
      <c r="J3" s="1190"/>
      <c r="K3" s="1190"/>
      <c r="L3" s="1190"/>
      <c r="M3" s="1190"/>
      <c r="N3" s="1190"/>
      <c r="O3" s="1190"/>
      <c r="P3" s="1190"/>
      <c r="Q3" s="1190"/>
      <c r="R3" s="1190"/>
      <c r="S3" s="1190"/>
      <c r="T3" s="1190"/>
      <c r="U3" s="1190"/>
      <c r="V3" s="1190"/>
      <c r="W3" s="1190"/>
      <c r="X3" s="1191"/>
      <c r="Y3" s="113"/>
      <c r="Z3"/>
      <c r="AC3" s="113"/>
      <c r="AD3" s="113"/>
      <c r="AF3" s="113"/>
      <c r="CT3" s="455"/>
      <c r="CU3" s="455"/>
      <c r="CY3"/>
      <c r="CZ3"/>
    </row>
    <row r="4" spans="1:211" ht="254" thickBot="1">
      <c r="A4" s="1054" t="s">
        <v>532</v>
      </c>
      <c r="B4" s="1055"/>
      <c r="C4" s="1055"/>
      <c r="D4" s="1055"/>
      <c r="E4" s="1057" t="s">
        <v>366</v>
      </c>
      <c r="F4" s="1057"/>
      <c r="G4" s="1057"/>
      <c r="H4" s="892" t="s">
        <v>502</v>
      </c>
      <c r="I4" s="1460" t="s">
        <v>639</v>
      </c>
      <c r="J4" s="1460" t="s">
        <v>640</v>
      </c>
      <c r="K4" s="1071" t="s">
        <v>534</v>
      </c>
      <c r="L4" s="1071"/>
      <c r="M4" s="893" t="s">
        <v>623</v>
      </c>
      <c r="N4" s="886" t="s">
        <v>533</v>
      </c>
      <c r="O4" s="886" t="s">
        <v>535</v>
      </c>
      <c r="P4" s="894" t="s">
        <v>625</v>
      </c>
      <c r="Q4" s="892" t="s">
        <v>364</v>
      </c>
      <c r="R4" s="887" t="s">
        <v>536</v>
      </c>
      <c r="S4" s="897" t="s">
        <v>636</v>
      </c>
      <c r="T4" s="888" t="s">
        <v>537</v>
      </c>
      <c r="U4" s="888" t="s">
        <v>538</v>
      </c>
      <c r="V4" s="889" t="s">
        <v>627</v>
      </c>
      <c r="W4" s="890" t="s">
        <v>486</v>
      </c>
      <c r="X4" s="891" t="s">
        <v>485</v>
      </c>
      <c r="Y4" s="453"/>
      <c r="Z4" s="113"/>
      <c r="AB4" s="113"/>
      <c r="AC4" s="113"/>
      <c r="AH4" s="113"/>
      <c r="AI4" s="113"/>
      <c r="CX4" s="455"/>
      <c r="CZ4"/>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0"/>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row>
    <row r="5" spans="1:211" ht="26" thickBot="1">
      <c r="A5" s="1181" t="str">
        <f>""&amp;A7&amp;" måneds kalender for: "&amp;Stamoplysninger!E8&amp;". Måneden vedr. normperioden: "&amp;Stamoplysninger!E11&amp;" - "&amp;Stamoplysninger!G11&amp;"."</f>
        <v>November måneds kalender for: Beate Simonsen. Måneden vedr. normperioden: 01.08.2022 - 31.07.2023.</v>
      </c>
      <c r="B5" s="1182"/>
      <c r="C5" s="1182"/>
      <c r="D5" s="1182"/>
      <c r="E5" s="1182"/>
      <c r="F5" s="1182"/>
      <c r="G5" s="1182"/>
      <c r="H5" s="1182"/>
      <c r="I5" s="1182"/>
      <c r="J5" s="1182"/>
      <c r="K5" s="1182"/>
      <c r="L5" s="1182"/>
      <c r="M5" s="1182"/>
      <c r="N5" s="1182"/>
      <c r="O5" s="1182"/>
      <c r="P5" s="1182"/>
      <c r="Q5" s="1182"/>
      <c r="R5" s="1182"/>
      <c r="S5" s="1065" t="s">
        <v>483</v>
      </c>
      <c r="T5" s="1066"/>
      <c r="U5" s="1066"/>
      <c r="V5" s="1066"/>
      <c r="W5" s="1066"/>
      <c r="X5" s="1067"/>
      <c r="Y5" s="453"/>
      <c r="Z5" s="113"/>
      <c r="AB5" s="113"/>
      <c r="AC5" s="113"/>
      <c r="AH5" s="113"/>
      <c r="AI5" s="113"/>
      <c r="CX5" s="455"/>
      <c r="CZ5"/>
    </row>
    <row r="6" spans="1:211" ht="47" customHeight="1">
      <c r="A6" s="570">
        <v>2022</v>
      </c>
      <c r="B6" s="440"/>
      <c r="C6" s="441"/>
      <c r="D6" s="442"/>
      <c r="E6" s="1092" t="s">
        <v>396</v>
      </c>
      <c r="F6" s="1093"/>
      <c r="G6" s="1094"/>
      <c r="H6" s="566" t="s">
        <v>397</v>
      </c>
      <c r="I6" s="1058" t="s">
        <v>638</v>
      </c>
      <c r="J6" s="1458" t="s">
        <v>637</v>
      </c>
      <c r="K6" s="1074" t="s">
        <v>355</v>
      </c>
      <c r="L6" s="1075"/>
      <c r="M6" s="567" t="s">
        <v>358</v>
      </c>
      <c r="N6" s="1058" t="s">
        <v>551</v>
      </c>
      <c r="O6" s="1058" t="s">
        <v>363</v>
      </c>
      <c r="P6" s="1058" t="s">
        <v>626</v>
      </c>
      <c r="Q6" s="1058" t="s">
        <v>472</v>
      </c>
      <c r="R6" s="1192" t="s">
        <v>361</v>
      </c>
      <c r="S6" s="1088" t="s">
        <v>359</v>
      </c>
      <c r="T6" s="1089"/>
      <c r="U6" s="1089"/>
      <c r="V6" s="1089"/>
      <c r="W6" s="1089"/>
      <c r="X6" s="1090"/>
      <c r="Y6" s="385"/>
      <c r="Z6" s="385"/>
      <c r="AA6" s="1084" t="s">
        <v>309</v>
      </c>
      <c r="AB6" s="1084"/>
      <c r="AC6" s="1084"/>
      <c r="AD6" s="1084"/>
      <c r="AE6" s="1084"/>
      <c r="AF6" s="622"/>
      <c r="AG6" s="1084" t="s">
        <v>265</v>
      </c>
      <c r="AH6" s="1084"/>
      <c r="AI6" s="1084"/>
      <c r="AJ6" s="1084"/>
      <c r="AK6" s="1084"/>
      <c r="AL6" s="1084" t="s">
        <v>266</v>
      </c>
      <c r="AM6" s="1084"/>
      <c r="AN6" s="1084"/>
      <c r="AO6" s="1084"/>
      <c r="AP6" s="1084"/>
      <c r="AQ6" s="1084" t="s">
        <v>267</v>
      </c>
      <c r="AR6" s="1084"/>
      <c r="AS6" s="1084"/>
      <c r="AT6" s="1084"/>
      <c r="AU6" s="1084"/>
      <c r="AV6" s="1084" t="s">
        <v>268</v>
      </c>
      <c r="AW6" s="1084"/>
      <c r="AX6" s="1084"/>
      <c r="AY6" s="1084"/>
      <c r="AZ6" s="1084"/>
      <c r="BA6" s="527"/>
      <c r="BB6" s="529"/>
      <c r="BC6" s="1084" t="s">
        <v>312</v>
      </c>
      <c r="BD6" s="1084"/>
      <c r="BE6" s="1084"/>
      <c r="BF6" s="1084"/>
      <c r="BG6" s="1084" t="s">
        <v>270</v>
      </c>
      <c r="BH6" s="1084"/>
      <c r="BI6" s="1084"/>
      <c r="BJ6" s="1084"/>
      <c r="BK6" s="1084"/>
      <c r="BL6" s="1084" t="s">
        <v>271</v>
      </c>
      <c r="BM6" s="1084"/>
      <c r="BN6" s="1084"/>
      <c r="BO6" s="1084"/>
      <c r="BP6" s="1084"/>
      <c r="BQ6" s="1084" t="s">
        <v>272</v>
      </c>
      <c r="BR6" s="1084"/>
      <c r="BS6" s="1084"/>
      <c r="BT6" s="1084"/>
      <c r="BU6" s="1084"/>
      <c r="BV6" s="1084" t="s">
        <v>273</v>
      </c>
      <c r="BW6" s="1084"/>
      <c r="BX6" s="1084"/>
      <c r="BY6" s="1084"/>
      <c r="BZ6" s="1084"/>
      <c r="CA6" s="422"/>
      <c r="CD6" s="1084" t="s">
        <v>313</v>
      </c>
      <c r="CE6" s="1084"/>
      <c r="CF6" s="1084"/>
      <c r="CG6" s="1084"/>
      <c r="CH6" s="1084"/>
      <c r="CI6" s="1084" t="s">
        <v>315</v>
      </c>
      <c r="CJ6" s="1084"/>
      <c r="CK6" s="1084"/>
      <c r="CL6" s="1084"/>
      <c r="CM6" s="1084"/>
      <c r="CN6" s="1084" t="s">
        <v>314</v>
      </c>
      <c r="CO6" s="1084"/>
      <c r="CP6" s="1084"/>
      <c r="CQ6" s="1084"/>
      <c r="CR6" s="1084"/>
      <c r="CS6" s="1084" t="s">
        <v>316</v>
      </c>
      <c r="CT6" s="1084"/>
      <c r="CU6" s="1084"/>
      <c r="CV6" s="1084"/>
      <c r="CW6" s="1084"/>
      <c r="CX6" s="456"/>
      <c r="CY6" s="456"/>
      <c r="CZ6" s="422"/>
      <c r="DA6" s="998" t="s">
        <v>247</v>
      </c>
      <c r="DB6" s="998"/>
      <c r="DC6" s="998"/>
      <c r="DD6" s="998"/>
      <c r="DE6" s="998"/>
    </row>
    <row r="7" spans="1:211" ht="148" customHeight="1">
      <c r="A7" s="1078" t="s">
        <v>281</v>
      </c>
      <c r="B7" s="1079"/>
      <c r="C7" s="1079"/>
      <c r="D7" s="1080"/>
      <c r="E7" s="1095"/>
      <c r="F7" s="1096"/>
      <c r="G7" s="1097"/>
      <c r="H7" s="1087" t="s">
        <v>395</v>
      </c>
      <c r="I7" s="1077"/>
      <c r="J7" s="1459"/>
      <c r="K7" s="568" t="s">
        <v>356</v>
      </c>
      <c r="L7" s="568" t="s">
        <v>357</v>
      </c>
      <c r="M7" s="885" t="s">
        <v>624</v>
      </c>
      <c r="N7" s="1059"/>
      <c r="O7" s="1059"/>
      <c r="P7" s="1059"/>
      <c r="Q7" s="1059"/>
      <c r="R7" s="1193"/>
      <c r="S7" s="569" t="s">
        <v>635</v>
      </c>
      <c r="T7" s="567" t="s">
        <v>362</v>
      </c>
      <c r="U7" s="567" t="s">
        <v>487</v>
      </c>
      <c r="V7" s="766" t="s">
        <v>540</v>
      </c>
      <c r="W7" s="766" t="s">
        <v>539</v>
      </c>
      <c r="X7" s="767" t="s">
        <v>484</v>
      </c>
      <c r="Y7" s="385" t="s">
        <v>328</v>
      </c>
      <c r="Z7" s="758" t="s">
        <v>329</v>
      </c>
      <c r="AA7" s="531" t="s">
        <v>246</v>
      </c>
      <c r="AB7" t="s">
        <v>155</v>
      </c>
      <c r="AC7" t="s">
        <v>158</v>
      </c>
      <c r="AD7" t="s">
        <v>157</v>
      </c>
      <c r="AE7" t="s">
        <v>156</v>
      </c>
      <c r="AF7" t="s">
        <v>505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269</v>
      </c>
      <c r="BB7" s="420" t="s">
        <v>248</v>
      </c>
      <c r="BC7" t="s">
        <v>311</v>
      </c>
      <c r="BD7" t="s">
        <v>310</v>
      </c>
      <c r="BE7" t="s">
        <v>294</v>
      </c>
      <c r="BF7" t="s">
        <v>295</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80" t="s">
        <v>274</v>
      </c>
      <c r="CB7" s="430" t="s">
        <v>297</v>
      </c>
      <c r="CC7" s="531" t="s">
        <v>298</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455" t="s">
        <v>326</v>
      </c>
      <c r="CY7" s="455" t="s">
        <v>318</v>
      </c>
      <c r="CZ7" s="455" t="s">
        <v>319</v>
      </c>
      <c r="DA7" s="455" t="s">
        <v>320</v>
      </c>
      <c r="DB7" s="455" t="s">
        <v>321</v>
      </c>
      <c r="DC7" s="455" t="s">
        <v>322</v>
      </c>
      <c r="DD7" s="455" t="s">
        <v>323</v>
      </c>
      <c r="DE7" s="455" t="s">
        <v>324</v>
      </c>
      <c r="DF7" s="455" t="s">
        <v>325</v>
      </c>
      <c r="DG7" s="455"/>
    </row>
    <row r="8" spans="1:211" ht="20" customHeight="1">
      <c r="A8" s="1081"/>
      <c r="B8" s="1082"/>
      <c r="C8" s="1082"/>
      <c r="D8" s="1083"/>
      <c r="E8" s="1098"/>
      <c r="F8" s="1099"/>
      <c r="G8" s="1100"/>
      <c r="H8" s="1059"/>
      <c r="I8" s="1068" t="s">
        <v>468</v>
      </c>
      <c r="J8" s="1076"/>
      <c r="K8" s="1068" t="s">
        <v>399</v>
      </c>
      <c r="L8" s="1069"/>
      <c r="M8" s="1069"/>
      <c r="N8" s="1069"/>
      <c r="O8" s="1069"/>
      <c r="P8" s="1069"/>
      <c r="Q8" s="1069"/>
      <c r="R8" s="1069"/>
      <c r="S8" s="1091" t="s">
        <v>468</v>
      </c>
      <c r="T8" s="1069"/>
      <c r="U8" s="1076"/>
      <c r="V8" s="1177" t="s">
        <v>469</v>
      </c>
      <c r="W8" s="1178"/>
      <c r="X8" s="1179"/>
      <c r="Y8" s="385"/>
      <c r="Z8" s="758"/>
      <c r="AA8" s="531"/>
      <c r="BB8" s="420"/>
      <c r="CA8" s="180"/>
      <c r="CB8" s="430"/>
      <c r="CC8" s="531"/>
      <c r="CX8" s="455"/>
      <c r="DA8" s="455"/>
      <c r="DB8" s="455"/>
      <c r="DC8" s="455"/>
      <c r="DD8" s="455"/>
      <c r="DE8" s="455"/>
      <c r="DF8" s="455"/>
      <c r="DG8" s="455"/>
    </row>
    <row r="9" spans="1:211">
      <c r="A9" s="443">
        <f>IF(ISNUMBER(A7),A7+1,1)</f>
        <v>1</v>
      </c>
      <c r="B9" s="218" t="str">
        <f t="shared" ref="B9:B38" si="0">CHOOSE(MOD(WEEKDAY(DATE(A$6,A$2,A9)),7)+1,"lø","sø","ma","ti","on","to","fr",)</f>
        <v>ti</v>
      </c>
      <c r="C9" s="219" t="s">
        <v>241</v>
      </c>
      <c r="D9" s="220" t="str">
        <f t="shared" ref="D9:D38" si="1">IF(B9="ma",(DATE(A$6,A$2,A9)-DATE(A$6,1,1)+7)/7,"")</f>
        <v/>
      </c>
      <c r="E9" s="906"/>
      <c r="F9" s="907"/>
      <c r="G9" s="908"/>
      <c r="H9" s="526"/>
      <c r="I9" s="855"/>
      <c r="J9" s="726"/>
      <c r="K9" s="669"/>
      <c r="L9" s="669"/>
      <c r="M9" s="669"/>
      <c r="N9" s="557">
        <f>BA9</f>
        <v>8</v>
      </c>
      <c r="O9" s="557">
        <f>CA9</f>
        <v>5.25</v>
      </c>
      <c r="P9" s="557">
        <f>IF(Stamoplysninger!$H$29="JA",November!DG9,CX9)</f>
        <v>1.0833333333333335</v>
      </c>
      <c r="Q9" s="557">
        <f>IF(OR(C9="Lejrskole",C9="Ekskursion"),0,N9-O9-P9)</f>
        <v>1.6666666666666665</v>
      </c>
      <c r="R9" s="558"/>
      <c r="S9" s="564"/>
      <c r="T9" s="565"/>
      <c r="U9" s="565"/>
      <c r="V9" s="753"/>
      <c r="W9" s="559"/>
      <c r="X9" s="760"/>
      <c r="Y9">
        <f>IF($S$9="x",V9-N9,0)</f>
        <v>0</v>
      </c>
      <c r="Z9" s="759">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s="383" t="str">
        <f>IF(AND(C9="Skema 1",B9="ma"),Arbejdstidsoversigt!$E$44,"")</f>
        <v/>
      </c>
      <c r="AH9" s="383">
        <f>IF(AND(C9="Skema 1",B9="ti"),Arbejdstidsoversigt!$E$45,"")</f>
        <v>8</v>
      </c>
      <c r="AI9" s="383" t="str">
        <f>IF(AND(C9="Skema 1",B9="on"),Arbejdstidsoversigt!$E$46,"")</f>
        <v/>
      </c>
      <c r="AJ9" s="383" t="str">
        <f>IF(AND(C9="Skema 1",B9="to"),Arbejdstidsoversigt!$E$47,"")</f>
        <v/>
      </c>
      <c r="AK9" s="383" t="str">
        <f>IF(AND(C9="Skema 1",B9="fr"),Arbejdstidsoversigt!$E$48,"")</f>
        <v/>
      </c>
      <c r="AL9" s="383" t="str">
        <f>IF(AND(C9="Skema 2",B9="ma"),Arbejdstidsoversigt!$E$53,"")</f>
        <v/>
      </c>
      <c r="AM9" s="383" t="str">
        <f>IF(AND(C9="Skema 2",B9="ti"),Arbejdstidsoversigt!$E$54,"")</f>
        <v/>
      </c>
      <c r="AN9" s="383" t="str">
        <f>IF(AND(C9="Skema 2",B9="on"),Arbejdstidsoversigt!$E$55,"")</f>
        <v/>
      </c>
      <c r="AO9" s="383" t="str">
        <f>IF(AND(C9="Skema 2",B9="to"),Arbejdstidsoversigt!$E$56,"")</f>
        <v/>
      </c>
      <c r="AP9" s="383" t="str">
        <f>IF(AND(C9="Skema 2",B9="fr"),Arbejdstidsoversigt!$E$57,"")</f>
        <v/>
      </c>
      <c r="AQ9" s="383" t="str">
        <f>IF(AND(C9="Skema 3",B9="ma"),Arbejdstidsoversigt!$E$62,"")</f>
        <v/>
      </c>
      <c r="AR9" s="383" t="str">
        <f>IF(AND(C9="Skema 3",B9="ti"),Arbejdstidsoversigt!$E$63,"")</f>
        <v/>
      </c>
      <c r="AS9" s="383" t="str">
        <f>IF(AND(C9="Skema 3",B9="on"),Arbejdstidsoversigt!$E$64,"")</f>
        <v/>
      </c>
      <c r="AT9" s="383" t="str">
        <f>IF(AND(C9="Skema 3",B9="to"),Arbejdstidsoversigt!$E$65,"")</f>
        <v/>
      </c>
      <c r="AU9" s="383" t="str">
        <f>IF(AND(C9="Skema 3",B9="fr"),Arbejdstidsoversigt!$E$66,"")</f>
        <v/>
      </c>
      <c r="AV9" s="383" t="str">
        <f>IF(AND(C9="Skema 4",B9="ma"),Arbejdstidsoversigt!$E$71,"")</f>
        <v/>
      </c>
      <c r="AW9" s="383" t="str">
        <f>IF(AND(C9="Skema 4",B9="ti"),Arbejdstidsoversigt!$E$72,"")</f>
        <v/>
      </c>
      <c r="AX9" s="383" t="str">
        <f>IF(AND(C9="Skema 4",B9="on"),Arbejdstidsoversigt!$E$73,"")</f>
        <v/>
      </c>
      <c r="AY9" s="383" t="str">
        <f>IF(AND(C9="Skema 4",B9="to"),Arbejdstidsoversigt!$E$74,"")</f>
        <v/>
      </c>
      <c r="AZ9" s="383" t="str">
        <f>IF(AND(C9="Skema 4",B9="fr"),Arbejdstidsoversigt!$E$75,"")</f>
        <v/>
      </c>
      <c r="BA9" s="1">
        <f>SUM(AA9:AZ9)</f>
        <v>8</v>
      </c>
      <c r="BB9" s="421">
        <f t="shared" ref="BB9:BB38" si="7">SUM(AG9:AK9)*24</f>
        <v>192</v>
      </c>
      <c r="BC9" s="1">
        <f>IF($C$9="Lejrskole",$L$9,0)</f>
        <v>0</v>
      </c>
      <c r="BD9" s="1">
        <f t="shared" ref="BD9:BD38" si="8">IF(C9="Ekskursion",L9,0)</f>
        <v>0</v>
      </c>
      <c r="BE9" s="1">
        <f t="shared" ref="BE9:BE38" si="9">IF(C9="fagdag",L9,0)</f>
        <v>0</v>
      </c>
      <c r="BF9" s="1">
        <f t="shared" ref="BF9:BF38" si="10">IF(C9="emnedag",L9,0)</f>
        <v>0</v>
      </c>
      <c r="BG9" s="382" t="str">
        <f>IF(AND($C$9="Skema 1",$B$9="ma"),Skemaoplysninger!E28,"")</f>
        <v/>
      </c>
      <c r="BH9" s="382">
        <f>IF(AND(C9="Skema 1",B9="ti"),Skemaoplysninger!$F$28,"")</f>
        <v>0.21875</v>
      </c>
      <c r="BI9" s="382" t="str">
        <f>IF(AND(C9="Skema 1",B9="on"),Skemaoplysninger!$G$28,"")</f>
        <v/>
      </c>
      <c r="BJ9" s="382" t="str">
        <f>IF(AND(C9="Skema 1",B9="to"),Skemaoplysninger!$H$28,"")</f>
        <v/>
      </c>
      <c r="BK9" s="382" t="str">
        <f>IF(AND(C9="Skema 1",B9="fr"),Skemaoplysninger!$I$28,"")</f>
        <v/>
      </c>
      <c r="BL9" s="382" t="str">
        <f>IF(AND(C9="Skema 2",B9="ma"),Skemaoplysninger!$O$28,"")</f>
        <v/>
      </c>
      <c r="BM9" s="382" t="str">
        <f>IF(AND(C9="Skema 2",B9="ti"),Skemaoplysninger!$P$28,"")</f>
        <v/>
      </c>
      <c r="BN9" s="382" t="str">
        <f>IF(AND(C9="Skema 2",B9="on"),Skemaoplysninger!$Q$28,"")</f>
        <v/>
      </c>
      <c r="BO9" s="382" t="str">
        <f>IF(AND(C9="Skema 2",B9="to"),Skemaoplysninger!$R$28,"")</f>
        <v/>
      </c>
      <c r="BP9" s="382" t="str">
        <f>IF(AND(C9="Skema 2",B9="fr"),Skemaoplysninger!$S$28,"")</f>
        <v/>
      </c>
      <c r="BQ9" s="382" t="str">
        <f>IF(AND(C9="Skema 3",B9="ma"),Skemaoplysninger!$Y$28,"")</f>
        <v/>
      </c>
      <c r="BR9" s="382" t="str">
        <f>IF(AND(C9="Skema 3",B9="ti"),Skemaoplysninger!$Z$28,"")</f>
        <v/>
      </c>
      <c r="BS9" s="382" t="str">
        <f>IF(AND(C9="Skema 3",B9="on"),Skemaoplysninger!$AA$28,"")</f>
        <v/>
      </c>
      <c r="BT9" s="382" t="str">
        <f>IF(AND(C9="Skema 3",B9="to"),Skemaoplysninger!$AB$28,"")</f>
        <v/>
      </c>
      <c r="BU9" s="382" t="str">
        <f>IF(AND(C9="Skema 3",B9="fr"),Skemaoplysninger!$AC$28,"")</f>
        <v/>
      </c>
      <c r="BV9" s="382" t="str">
        <f>IF(AND(C9="Skema 4",B9="ma"),Skemaoplysninger!$AI$28,"")</f>
        <v/>
      </c>
      <c r="BW9" s="382" t="str">
        <f>IF(AND(C9="Skema 4",B9="ti"),Skemaoplysninger!$AJ$28,"")</f>
        <v/>
      </c>
      <c r="BX9" s="382" t="str">
        <f>IF(AND(C9="Skema 4",B9="on"),Skemaoplysninger!$AK$28,"")</f>
        <v/>
      </c>
      <c r="BY9" s="382" t="str">
        <f>IF(AND(C9="Skema 4",B9="to"),Skemaoplysninger!$AL$28,"")</f>
        <v/>
      </c>
      <c r="BZ9" s="382" t="str">
        <f>IF(AND(C9="Skema 4",B9="fr"),Skemaoplysninger!$AM$28,"")</f>
        <v/>
      </c>
      <c r="CA9" s="1">
        <f>SUM(BG9:BZ9)*24+SUM(BC9:BF9)</f>
        <v>5.25</v>
      </c>
      <c r="CB9" s="1">
        <f t="shared" ref="CB9:CB38" si="11">IF(C9="fagdag",M9,0)</f>
        <v>0</v>
      </c>
      <c r="CC9" s="1">
        <f t="shared" ref="CC9:CC38" si="12">IF(C9="emnedag",M9,0)</f>
        <v>0</v>
      </c>
      <c r="CD9" s="382" t="str">
        <f>IF(AND(C9="Skema 1",B9="ma"),Skemaoplysninger!$E$37,"")</f>
        <v/>
      </c>
      <c r="CE9" s="382">
        <f>IF(AND(C9="Skema 1",B9="ti"),Skemaoplysninger!$F$37,"")</f>
        <v>1.0833333333333335</v>
      </c>
      <c r="CF9" s="382" t="str">
        <f>IF(AND(C9="Skema 1",B9="on"),Skemaoplysninger!$G$37,"")</f>
        <v/>
      </c>
      <c r="CG9" s="382" t="str">
        <f>IF(AND(C9="Skema 1",B9="to"),Skemaoplysninger!$H$37,"")</f>
        <v/>
      </c>
      <c r="CH9" s="382" t="str">
        <f>IF(AND(C9="Skema 1",B9="fr"),Skemaoplysninger!$I$37,"")</f>
        <v/>
      </c>
      <c r="CI9" s="382" t="str">
        <f>IF(AND(C9="Skema 2",B9="ma"),Skemaoplysninger!$O$37,"")</f>
        <v/>
      </c>
      <c r="CJ9" s="382" t="str">
        <f>IF(AND(C9="Skema 2",B9="ti"),Skemaoplysninger!$P$37,"")</f>
        <v/>
      </c>
      <c r="CK9" s="382" t="str">
        <f>IF(AND(C9="Skema 2",B9="on"),Skemaoplysninger!$Q$37,"")</f>
        <v/>
      </c>
      <c r="CL9" s="382" t="str">
        <f>IF(AND(C9="Skema 2",B9="to"),Skemaoplysninger!$R$37,"")</f>
        <v/>
      </c>
      <c r="CM9" s="382" t="str">
        <f>IF(AND(C9="Skema 2",B9="fr"),Skemaoplysninger!$S$37,"")</f>
        <v/>
      </c>
      <c r="CN9" s="382" t="str">
        <f>IF(AND(C9="Skema 3",B9="ma"),Skemaoplysninger!$Y$37,"")</f>
        <v/>
      </c>
      <c r="CO9" s="382" t="str">
        <f>IF(AND(C9="Skema 3",B9="ti"),Skemaoplysninger!$Z$37,"")</f>
        <v/>
      </c>
      <c r="CP9" s="382" t="str">
        <f>IF(AND(C9="Skema 3",B9="on"),Skemaoplysninger!$AA$37,"")</f>
        <v/>
      </c>
      <c r="CQ9" s="382" t="str">
        <f>IF(AND(C9="Skema 3",B9="to"),Skemaoplysninger!$AB$37,"")</f>
        <v/>
      </c>
      <c r="CR9" s="382" t="str">
        <f>IF(AND(C9="Skema 3",B9="fr"),Skemaoplysninger!$AC$37,"")</f>
        <v/>
      </c>
      <c r="CS9" s="382" t="str">
        <f>IF(AND(C9="Skema 4",B9="ma"),Skemaoplysninger!$AI$37,"")</f>
        <v/>
      </c>
      <c r="CT9" s="382" t="str">
        <f>IF(AND(C9="Skema 4",B9="ti"),Skemaoplysninger!$AJ$37,"")</f>
        <v/>
      </c>
      <c r="CU9" s="382" t="str">
        <f>IF(AND(C9="Skema 4",B9="on"),Skemaoplysninger!$AK$37,"")</f>
        <v/>
      </c>
      <c r="CV9" s="382" t="str">
        <f>IF(AND(C9="Skema 4",B9="to"),Skemaoplysninger!$AL$37,"")</f>
        <v/>
      </c>
      <c r="CW9" s="382" t="str">
        <f>IF(AND(C9="Skema 4",B9="fr"),Skemaoplysninger!$AM$37,"")</f>
        <v/>
      </c>
      <c r="CX9" s="457">
        <f>IF(Stamoplysninger!$H$29="NEJ",SUM(CB9:CW9),0)</f>
        <v>1.0833333333333335</v>
      </c>
      <c r="CY9" s="457">
        <f>IF(C9="Skema 1",Stamoplysninger!$H$30/200,0)</f>
        <v>1</v>
      </c>
      <c r="CZ9" s="457">
        <f>IF(C9="Skema 2",Stamoplysninger!$H$30/200,0)</f>
        <v>0</v>
      </c>
      <c r="DA9" s="457">
        <f>IF(C9="Skema 3",Stamoplysninger!$H$30/200,0)</f>
        <v>0</v>
      </c>
      <c r="DB9" s="457">
        <f>IF(C9="Skema 4",Stamoplysninger!$H$30/200,0)</f>
        <v>0</v>
      </c>
      <c r="DC9" s="457">
        <f>IF(C9="fagdag",Stamoplysninger!$H$30/200,0)</f>
        <v>0</v>
      </c>
      <c r="DD9" s="457">
        <f>IF(C9="emnedag",Stamoplysninger!$H$30/200,0)</f>
        <v>0</v>
      </c>
      <c r="DE9" s="457">
        <f>IF(C9="lejrskole",Stamoplysninger!$H$30/200,0)</f>
        <v>0</v>
      </c>
      <c r="DF9" s="457">
        <f>IF(C9="ekskursion",Stamoplysninger!$H$30/200,0)</f>
        <v>0</v>
      </c>
      <c r="DG9" s="457">
        <f>SUM(CY9:DF9)</f>
        <v>1</v>
      </c>
    </row>
    <row r="10" spans="1:211">
      <c r="A10" s="443">
        <f t="shared" ref="A10:A38" si="13">IF(ISNUMBER(A9),A9+1,1)</f>
        <v>2</v>
      </c>
      <c r="B10" s="218" t="str">
        <f t="shared" si="0"/>
        <v>on</v>
      </c>
      <c r="C10" s="219" t="s">
        <v>241</v>
      </c>
      <c r="D10" s="220" t="str">
        <f t="shared" si="1"/>
        <v/>
      </c>
      <c r="E10" s="906"/>
      <c r="F10" s="907"/>
      <c r="G10" s="908"/>
      <c r="H10" s="526"/>
      <c r="I10" s="855"/>
      <c r="J10" s="726"/>
      <c r="K10" s="669"/>
      <c r="L10" s="669"/>
      <c r="M10" s="669"/>
      <c r="N10" s="557">
        <f t="shared" ref="N10:N38" si="14">BA10</f>
        <v>8</v>
      </c>
      <c r="O10" s="557">
        <f t="shared" ref="O10:O38" si="15">CA10</f>
        <v>3.75</v>
      </c>
      <c r="P10" s="557">
        <f>IF(Stamoplysninger!$H$29="JA",November!DG10,CX10)</f>
        <v>0.91666666666666674</v>
      </c>
      <c r="Q10" s="557">
        <f t="shared" ref="Q10:Q38" si="16">IF(OR(C10="Lejrskole",C10="Ekskursion"),0,N10-O10-P10)</f>
        <v>3.333333333333333</v>
      </c>
      <c r="R10" s="558"/>
      <c r="S10" s="564"/>
      <c r="T10" s="565"/>
      <c r="U10" s="565"/>
      <c r="V10" s="753"/>
      <c r="W10" s="559"/>
      <c r="X10" s="760"/>
      <c r="Y10">
        <f t="shared" ref="Y10:Y38" si="17">IF(S10="x",V10-N10,0)</f>
        <v>0</v>
      </c>
      <c r="Z10" s="759">
        <f t="shared" ref="Z10:Z38" si="18">W10</f>
        <v>0</v>
      </c>
      <c r="AA10" s="1">
        <f t="shared" si="2"/>
        <v>0</v>
      </c>
      <c r="AB10" s="1">
        <f t="shared" si="3"/>
        <v>0</v>
      </c>
      <c r="AC10" s="1">
        <f t="shared" si="4"/>
        <v>0</v>
      </c>
      <c r="AD10" s="1">
        <f t="shared" si="5"/>
        <v>0</v>
      </c>
      <c r="AE10" s="1">
        <f t="shared" si="6"/>
        <v>0</v>
      </c>
      <c r="AF10" s="1">
        <f>IF(C10="Orlov",7.4*Stamoplysninger!$E$15,0)</f>
        <v>0</v>
      </c>
      <c r="AG10" s="383" t="str">
        <f>IF(AND(C10="Skema 1",B10="ma"),Arbejdstidsoversigt!$E$44,"")</f>
        <v/>
      </c>
      <c r="AH10" s="383" t="str">
        <f>IF(AND(C10="Skema 1",B10="ti"),Arbejdstidsoversigt!$E$45,"")</f>
        <v/>
      </c>
      <c r="AI10" s="383">
        <f>IF(AND(C10="Skema 1",B10="on"),Arbejdstidsoversigt!$E$46,"")</f>
        <v>8</v>
      </c>
      <c r="AJ10" s="383" t="str">
        <f>IF(AND(C10="Skema 1",B10="to"),Arbejdstidsoversigt!$E$47,"")</f>
        <v/>
      </c>
      <c r="AK10" s="383" t="str">
        <f>IF(AND(C10="Skema 1",B10="fr"),Arbejdstidsoversigt!$E$48,"")</f>
        <v/>
      </c>
      <c r="AL10" s="383" t="str">
        <f>IF(AND(C10="Skema 2",B10="ma"),Arbejdstidsoversigt!$E$53,"")</f>
        <v/>
      </c>
      <c r="AM10" s="383" t="str">
        <f>IF(AND(C10="Skema 2",B10="ti"),Arbejdstidsoversigt!$E$54,"")</f>
        <v/>
      </c>
      <c r="AN10" s="383" t="str">
        <f>IF(AND(C10="Skema 2",B10="on"),Arbejdstidsoversigt!$E$55,"")</f>
        <v/>
      </c>
      <c r="AO10" s="383" t="str">
        <f>IF(AND(C10="Skema 2",B10="to"),Arbejdstidsoversigt!$E$56,"")</f>
        <v/>
      </c>
      <c r="AP10" s="383" t="str">
        <f>IF(AND(C10="Skema 2",B10="fr"),Arbejdstidsoversigt!$E$57,"")</f>
        <v/>
      </c>
      <c r="AQ10" s="383" t="str">
        <f>IF(AND(C10="Skema 3",B10="ma"),Arbejdstidsoversigt!$E$62,"")</f>
        <v/>
      </c>
      <c r="AR10" s="383" t="str">
        <f>IF(AND(C10="Skema 3",B10="ti"),Arbejdstidsoversigt!$E$63,"")</f>
        <v/>
      </c>
      <c r="AS10" s="383" t="str">
        <f>IF(AND(C10="Skema 3",B10="on"),Arbejdstidsoversigt!$E$64,"")</f>
        <v/>
      </c>
      <c r="AT10" s="383" t="str">
        <f>IF(AND(C10="Skema 3",B10="to"),Arbejdstidsoversigt!$E$65,"")</f>
        <v/>
      </c>
      <c r="AU10" s="383" t="str">
        <f>IF(AND(C10="Skema 3",B10="fr"),Arbejdstidsoversigt!$E$66,"")</f>
        <v/>
      </c>
      <c r="AV10" s="383" t="str">
        <f>IF(AND(C10="Skema 4",B10="ma"),Arbejdstidsoversigt!$E$71,"")</f>
        <v/>
      </c>
      <c r="AW10" s="383" t="str">
        <f>IF(AND(C10="Skema 4",B10="ti"),Arbejdstidsoversigt!$E$72,"")</f>
        <v/>
      </c>
      <c r="AX10" s="383" t="str">
        <f>IF(AND(C10="Skema 4",B10="on"),Arbejdstidsoversigt!$E$73,"")</f>
        <v/>
      </c>
      <c r="AY10" s="383" t="str">
        <f>IF(AND(C10="Skema 4",B10="to"),Arbejdstidsoversigt!$E$74,"")</f>
        <v/>
      </c>
      <c r="AZ10" s="383" t="str">
        <f>IF(AND(C10="Skema 4",B10="fr"),Arbejdstidsoversigt!$E$75,"")</f>
        <v/>
      </c>
      <c r="BA10" s="1">
        <f t="shared" ref="BA10:BA38" si="19">SUM(AA10:AZ10)</f>
        <v>8</v>
      </c>
      <c r="BB10" s="421">
        <f t="shared" si="7"/>
        <v>192</v>
      </c>
      <c r="BC10" s="1">
        <f t="shared" ref="BC10:BC38" si="20">IF(C10="Lejrskole",L10,0)</f>
        <v>0</v>
      </c>
      <c r="BD10" s="1">
        <f t="shared" si="8"/>
        <v>0</v>
      </c>
      <c r="BE10" s="1">
        <f t="shared" si="9"/>
        <v>0</v>
      </c>
      <c r="BF10" s="1">
        <f t="shared" si="10"/>
        <v>0</v>
      </c>
      <c r="BG10" s="382" t="str">
        <f>IF(AND(C10="Skema 1",B10="ma"),Skemaoplysninger!$E$28,"")</f>
        <v/>
      </c>
      <c r="BH10" s="382" t="str">
        <f>IF(AND(C10="Skema 1",B10="ti"),Skemaoplysninger!$F$28,"")</f>
        <v/>
      </c>
      <c r="BI10" s="382">
        <f>IF(AND(C10="Skema 1",B10="on"),Skemaoplysninger!$G$28,"")</f>
        <v>0.15625</v>
      </c>
      <c r="BJ10" s="382" t="str">
        <f>IF(AND(C10="Skema 1",B10="to"),Skemaoplysninger!$H$28,"")</f>
        <v/>
      </c>
      <c r="BK10" s="382" t="str">
        <f>IF(AND(C10="Skema 1",B10="fr"),Skemaoplysninger!$I$28,"")</f>
        <v/>
      </c>
      <c r="BL10" s="382" t="str">
        <f>IF(AND(C10="Skema 2",B10="ma"),Skemaoplysninger!$O$28,"")</f>
        <v/>
      </c>
      <c r="BM10" s="382" t="str">
        <f>IF(AND(C10="Skema 2",B10="ti"),Skemaoplysninger!$P$28,"")</f>
        <v/>
      </c>
      <c r="BN10" s="382" t="str">
        <f>IF(AND(C10="Skema 2",B10="on"),Skemaoplysninger!$Q$28,"")</f>
        <v/>
      </c>
      <c r="BO10" s="382" t="str">
        <f>IF(AND(C10="Skema 2",B10="to"),Skemaoplysninger!$R$28,"")</f>
        <v/>
      </c>
      <c r="BP10" s="382" t="str">
        <f>IF(AND(C10="Skema 2",B10="fr"),Skemaoplysninger!$S$28,"")</f>
        <v/>
      </c>
      <c r="BQ10" s="382" t="str">
        <f>IF(AND(C10="Skema 3",B10="ma"),Skemaoplysninger!$Y$28,"")</f>
        <v/>
      </c>
      <c r="BR10" s="382" t="str">
        <f>IF(AND(C10="Skema 3",B10="ti"),Skemaoplysninger!$Z$28,"")</f>
        <v/>
      </c>
      <c r="BS10" s="382" t="str">
        <f>IF(AND(C10="Skema 3",B10="on"),Skemaoplysninger!$AA$28,"")</f>
        <v/>
      </c>
      <c r="BT10" s="382" t="str">
        <f>IF(AND(C10="Skema 3",B10="to"),Skemaoplysninger!$AB$28,"")</f>
        <v/>
      </c>
      <c r="BU10" s="382" t="str">
        <f>IF(AND(C10="Skema 3",B10="fr"),Skemaoplysninger!$AC$28,"")</f>
        <v/>
      </c>
      <c r="BV10" s="382" t="str">
        <f>IF(AND(C10="Skema 4",B10="ma"),Skemaoplysninger!$AI$28,"")</f>
        <v/>
      </c>
      <c r="BW10" s="382" t="str">
        <f>IF(AND(C10="Skema 4",B10="ti"),Skemaoplysninger!$AJ$28,"")</f>
        <v/>
      </c>
      <c r="BX10" s="382" t="str">
        <f>IF(AND(C10="Skema 4",B10="on"),Skemaoplysninger!$AK$28,"")</f>
        <v/>
      </c>
      <c r="BY10" s="382" t="str">
        <f>IF(AND(C10="Skema 4",B10="to"),Skemaoplysninger!$AL$28,"")</f>
        <v/>
      </c>
      <c r="BZ10" s="382" t="str">
        <f>IF(AND(C10="Skema 4",B10="fr"),Skemaoplysninger!$AM$28,"")</f>
        <v/>
      </c>
      <c r="CA10" s="1">
        <f t="shared" ref="CA10:CA38" si="21">SUM(BG10:BZ10)*24+SUM(BC10:BF10)</f>
        <v>3.75</v>
      </c>
      <c r="CB10" s="1">
        <f t="shared" si="11"/>
        <v>0</v>
      </c>
      <c r="CC10" s="1">
        <f t="shared" si="12"/>
        <v>0</v>
      </c>
      <c r="CD10" s="382" t="str">
        <f>IF(AND(C10="Skema 1",B10="ma"),Skemaoplysninger!$E$37,"")</f>
        <v/>
      </c>
      <c r="CE10" s="382" t="str">
        <f>IF(AND(C10="Skema 1",B10="ti"),Skemaoplysninger!$F$37,"")</f>
        <v/>
      </c>
      <c r="CF10" s="382">
        <f>IF(AND(C10="Skema 1",B10="on"),Skemaoplysninger!$G$37,"")</f>
        <v>0.91666666666666674</v>
      </c>
      <c r="CG10" s="382" t="str">
        <f>IF(AND(C10="Skema 1",B10="to"),Skemaoplysninger!$H$37,"")</f>
        <v/>
      </c>
      <c r="CH10" s="382" t="str">
        <f>IF(AND(C10="Skema 1",B10="fr"),Skemaoplysninger!$I$37,"")</f>
        <v/>
      </c>
      <c r="CI10" s="382" t="str">
        <f>IF(AND(C10="Skema 2",B10="ma"),Skemaoplysninger!$O$37,"")</f>
        <v/>
      </c>
      <c r="CJ10" s="382" t="str">
        <f>IF(AND(C10="Skema 2",B10="ti"),Skemaoplysninger!$P$37,"")</f>
        <v/>
      </c>
      <c r="CK10" s="382" t="str">
        <f>IF(AND(C10="Skema 2",B10="on"),Skemaoplysninger!$Q$37,"")</f>
        <v/>
      </c>
      <c r="CL10" s="382" t="str">
        <f>IF(AND(C10="Skema 2",B10="to"),Skemaoplysninger!$R$37,"")</f>
        <v/>
      </c>
      <c r="CM10" s="382" t="str">
        <f>IF(AND(C10="Skema 2",B10="fr"),Skemaoplysninger!$S$37,"")</f>
        <v/>
      </c>
      <c r="CN10" s="382" t="str">
        <f>IF(AND(C10="Skema 3",B10="ma"),Skemaoplysninger!$Y$37,"")</f>
        <v/>
      </c>
      <c r="CO10" s="382" t="str">
        <f>IF(AND(C10="Skema 3",B10="ti"),Skemaoplysninger!$Z$37,"")</f>
        <v/>
      </c>
      <c r="CP10" s="382" t="str">
        <f>IF(AND(C10="Skema 3",B10="on"),Skemaoplysninger!$AA$37,"")</f>
        <v/>
      </c>
      <c r="CQ10" s="382" t="str">
        <f>IF(AND(C10="Skema 3",B10="to"),Skemaoplysninger!$AB$37,"")</f>
        <v/>
      </c>
      <c r="CR10" s="382" t="str">
        <f>IF(AND(C10="Skema 3",B10="fr"),Skemaoplysninger!$AC$37,"")</f>
        <v/>
      </c>
      <c r="CS10" s="382" t="str">
        <f>IF(AND(C10="Skema 4",B10="ma"),Skemaoplysninger!$AI$37,"")</f>
        <v/>
      </c>
      <c r="CT10" s="382" t="str">
        <f>IF(AND(C10="Skema 4",B10="ti"),Skemaoplysninger!$AJ$37,"")</f>
        <v/>
      </c>
      <c r="CU10" s="382" t="str">
        <f>IF(AND(C10="Skema 4",B10="on"),Skemaoplysninger!$AK$37,"")</f>
        <v/>
      </c>
      <c r="CV10" s="382" t="str">
        <f>IF(AND(C10="Skema 4",B10="to"),Skemaoplysninger!$AL$37,"")</f>
        <v/>
      </c>
      <c r="CW10" s="382" t="str">
        <f>IF(AND(C10="Skema 4",B10="fr"),Skemaoplysninger!$AM$37,"")</f>
        <v/>
      </c>
      <c r="CX10" s="457">
        <f>IF(Stamoplysninger!$H$29="NEJ",SUM(CB10:CW10),0)</f>
        <v>0.91666666666666674</v>
      </c>
      <c r="CY10" s="457">
        <f>IF(C10="Skema 1",Stamoplysninger!$H$30/200,0)</f>
        <v>1</v>
      </c>
      <c r="CZ10" s="457">
        <f>IF(C10="Skema 2",Stamoplysninger!$H$30/200,0)</f>
        <v>0</v>
      </c>
      <c r="DA10" s="457">
        <f>IF(C10="Skema 3",Stamoplysninger!$H$30/200,0)</f>
        <v>0</v>
      </c>
      <c r="DB10" s="457">
        <f>IF(C10="Skema 4",Stamoplysninger!$H$30/200,0)</f>
        <v>0</v>
      </c>
      <c r="DC10" s="457">
        <f>IF(C10="fagdag",Stamoplysninger!$H$30/200,0)</f>
        <v>0</v>
      </c>
      <c r="DD10" s="457">
        <f>IF(C10="emnedag",Stamoplysninger!$H$30/200,0)</f>
        <v>0</v>
      </c>
      <c r="DE10" s="457">
        <f>IF(C10="lejrskole",Stamoplysninger!$H$30/200,0)</f>
        <v>0</v>
      </c>
      <c r="DF10" s="457">
        <f>IF(C10="ekskursion",Stamoplysninger!$H$30/200,0)</f>
        <v>0</v>
      </c>
      <c r="DG10" s="457">
        <f t="shared" ref="DG10:DG38" si="22">SUM(CY10:DF10)</f>
        <v>1</v>
      </c>
    </row>
    <row r="11" spans="1:211">
      <c r="A11" s="443">
        <f t="shared" si="13"/>
        <v>3</v>
      </c>
      <c r="B11" s="218" t="str">
        <f t="shared" si="0"/>
        <v>to</v>
      </c>
      <c r="C11" s="219" t="s">
        <v>241</v>
      </c>
      <c r="D11" s="220" t="str">
        <f t="shared" si="1"/>
        <v/>
      </c>
      <c r="E11" s="906"/>
      <c r="F11" s="907"/>
      <c r="G11" s="908"/>
      <c r="H11" s="526"/>
      <c r="I11" s="855"/>
      <c r="J11" s="726"/>
      <c r="K11" s="669"/>
      <c r="L11" s="669"/>
      <c r="M11" s="669"/>
      <c r="N11" s="557">
        <f t="shared" si="14"/>
        <v>8</v>
      </c>
      <c r="O11" s="557">
        <f t="shared" si="15"/>
        <v>3.75</v>
      </c>
      <c r="P11" s="557">
        <f>IF(Stamoplysninger!$H$29="JA",November!DG11,CX11)</f>
        <v>0.91666666666666674</v>
      </c>
      <c r="Q11" s="557">
        <f t="shared" si="16"/>
        <v>3.333333333333333</v>
      </c>
      <c r="R11" s="558"/>
      <c r="S11" s="564"/>
      <c r="T11" s="565"/>
      <c r="U11" s="565"/>
      <c r="V11" s="753"/>
      <c r="W11" s="559"/>
      <c r="X11" s="760"/>
      <c r="Y11">
        <f t="shared" si="17"/>
        <v>0</v>
      </c>
      <c r="Z11" s="759">
        <f t="shared" si="18"/>
        <v>0</v>
      </c>
      <c r="AA11" s="1">
        <f t="shared" si="2"/>
        <v>0</v>
      </c>
      <c r="AB11" s="1">
        <f t="shared" si="3"/>
        <v>0</v>
      </c>
      <c r="AC11" s="1">
        <f t="shared" si="4"/>
        <v>0</v>
      </c>
      <c r="AD11" s="1">
        <f t="shared" si="5"/>
        <v>0</v>
      </c>
      <c r="AE11" s="1">
        <f t="shared" si="6"/>
        <v>0</v>
      </c>
      <c r="AF11" s="1">
        <f>IF(C11="Orlov",7.4*Stamoplysninger!$E$15,0)</f>
        <v>0</v>
      </c>
      <c r="AG11" s="383" t="str">
        <f>IF(AND(C11="Skema 1",B11="ma"),Arbejdstidsoversigt!$E$44,"")</f>
        <v/>
      </c>
      <c r="AH11" s="383" t="str">
        <f>IF(AND(C11="Skema 1",B11="ti"),Arbejdstidsoversigt!$E$45,"")</f>
        <v/>
      </c>
      <c r="AI11" s="383" t="str">
        <f>IF(AND(C11="Skema 1",B11="on"),Arbejdstidsoversigt!$E$46,"")</f>
        <v/>
      </c>
      <c r="AJ11" s="383">
        <f>IF(AND(C11="Skema 1",B11="to"),Arbejdstidsoversigt!$E$47,"")</f>
        <v>8</v>
      </c>
      <c r="AK11" s="383" t="str">
        <f>IF(AND(C11="Skema 1",B11="fr"),Arbejdstidsoversigt!$E$48,"")</f>
        <v/>
      </c>
      <c r="AL11" s="383" t="str">
        <f>IF(AND(C11="Skema 2",B11="ma"),Arbejdstidsoversigt!$E$53,"")</f>
        <v/>
      </c>
      <c r="AM11" s="383" t="str">
        <f>IF(AND(C11="Skema 2",B11="ti"),Arbejdstidsoversigt!$E$54,"")</f>
        <v/>
      </c>
      <c r="AN11" s="383" t="str">
        <f>IF(AND(C11="Skema 2",B11="on"),Arbejdstidsoversigt!$E$55,"")</f>
        <v/>
      </c>
      <c r="AO11" s="383" t="str">
        <f>IF(AND(C11="Skema 2",B11="to"),Arbejdstidsoversigt!$E$56,"")</f>
        <v/>
      </c>
      <c r="AP11" s="383" t="str">
        <f>IF(AND(C11="Skema 2",B11="fr"),Arbejdstidsoversigt!$E$57,"")</f>
        <v/>
      </c>
      <c r="AQ11" s="383" t="str">
        <f>IF(AND(C11="Skema 3",B11="ma"),Arbejdstidsoversigt!$E$62,"")</f>
        <v/>
      </c>
      <c r="AR11" s="383" t="str">
        <f>IF(AND(C11="Skema 3",B11="ti"),Arbejdstidsoversigt!$E$63,"")</f>
        <v/>
      </c>
      <c r="AS11" s="383" t="str">
        <f>IF(AND(C11="Skema 3",B11="on"),Arbejdstidsoversigt!$E$64,"")</f>
        <v/>
      </c>
      <c r="AT11" s="383" t="str">
        <f>IF(AND(C11="Skema 3",B11="to"),Arbejdstidsoversigt!$E$65,"")</f>
        <v/>
      </c>
      <c r="AU11" s="383" t="str">
        <f>IF(AND(C11="Skema 3",B11="fr"),Arbejdstidsoversigt!$E$66,"")</f>
        <v/>
      </c>
      <c r="AV11" s="383" t="str">
        <f>IF(AND(C11="Skema 4",B11="ma"),Arbejdstidsoversigt!$E$71,"")</f>
        <v/>
      </c>
      <c r="AW11" s="383" t="str">
        <f>IF(AND(C11="Skema 4",B11="ti"),Arbejdstidsoversigt!$E$72,"")</f>
        <v/>
      </c>
      <c r="AX11" s="383" t="str">
        <f>IF(AND(C11="Skema 4",B11="on"),Arbejdstidsoversigt!$E$73,"")</f>
        <v/>
      </c>
      <c r="AY11" s="383" t="str">
        <f>IF(AND(C11="Skema 4",B11="to"),Arbejdstidsoversigt!$E$74,"")</f>
        <v/>
      </c>
      <c r="AZ11" s="383" t="str">
        <f>IF(AND(C11="Skema 4",B11="fr"),Arbejdstidsoversigt!$E$75,"")</f>
        <v/>
      </c>
      <c r="BA11" s="1">
        <f t="shared" si="19"/>
        <v>8</v>
      </c>
      <c r="BB11" s="421">
        <f t="shared" si="7"/>
        <v>192</v>
      </c>
      <c r="BC11" s="1">
        <f t="shared" si="20"/>
        <v>0</v>
      </c>
      <c r="BD11" s="1">
        <f t="shared" si="8"/>
        <v>0</v>
      </c>
      <c r="BE11" s="1">
        <f t="shared" si="9"/>
        <v>0</v>
      </c>
      <c r="BF11" s="1">
        <f t="shared" si="10"/>
        <v>0</v>
      </c>
      <c r="BG11" s="382" t="str">
        <f>IF(AND(C11="Skema 1",B11="ma"),Skemaoplysninger!$E$28,"")</f>
        <v/>
      </c>
      <c r="BH11" s="382" t="str">
        <f>IF(AND(C11="Skema 1",B11="ti"),Skemaoplysninger!$F$28,"")</f>
        <v/>
      </c>
      <c r="BI11" s="382" t="str">
        <f>IF(AND(C11="Skema 1",B11="on"),Skemaoplysninger!$G$28,"")</f>
        <v/>
      </c>
      <c r="BJ11" s="382">
        <f>IF(AND(C11="Skema 1",B11="to"),Skemaoplysninger!$H$28,"")</f>
        <v>0.15625</v>
      </c>
      <c r="BK11" s="382" t="str">
        <f>IF(AND(C11="Skema 1",B11="fr"),Skemaoplysninger!$I$28,"")</f>
        <v/>
      </c>
      <c r="BL11" s="382" t="str">
        <f>IF(AND(C11="Skema 2",B11="ma"),Skemaoplysninger!$O$28,"")</f>
        <v/>
      </c>
      <c r="BM11" s="382" t="str">
        <f>IF(AND(C11="Skema 2",B11="ti"),Skemaoplysninger!$P$28,"")</f>
        <v/>
      </c>
      <c r="BN11" s="382" t="str">
        <f>IF(AND(C11="Skema 2",B11="on"),Skemaoplysninger!$Q$28,"")</f>
        <v/>
      </c>
      <c r="BO11" s="382" t="str">
        <f>IF(AND(C11="Skema 2",B11="to"),Skemaoplysninger!$R$28,"")</f>
        <v/>
      </c>
      <c r="BP11" s="382" t="str">
        <f>IF(AND(C11="Skema 2",B11="fr"),Skemaoplysninger!$S$28,"")</f>
        <v/>
      </c>
      <c r="BQ11" s="382" t="str">
        <f>IF(AND(C11="Skema 3",B11="ma"),Skemaoplysninger!$Y$28,"")</f>
        <v/>
      </c>
      <c r="BR11" s="382" t="str">
        <f>IF(AND(C11="Skema 3",B11="ti"),Skemaoplysninger!$Z$28,"")</f>
        <v/>
      </c>
      <c r="BS11" s="382" t="str">
        <f>IF(AND(C11="Skema 3",B11="on"),Skemaoplysninger!$AA$28,"")</f>
        <v/>
      </c>
      <c r="BT11" s="382" t="str">
        <f>IF(AND(C11="Skema 3",B11="to"),Skemaoplysninger!$AB$28,"")</f>
        <v/>
      </c>
      <c r="BU11" s="382" t="str">
        <f>IF(AND(C11="Skema 3",B11="fr"),Skemaoplysninger!$AC$28,"")</f>
        <v/>
      </c>
      <c r="BV11" s="382" t="str">
        <f>IF(AND(C11="Skema 4",B11="ma"),Skemaoplysninger!$AI$28,"")</f>
        <v/>
      </c>
      <c r="BW11" s="382" t="str">
        <f>IF(AND(C11="Skema 4",B11="ti"),Skemaoplysninger!$AJ$28,"")</f>
        <v/>
      </c>
      <c r="BX11" s="382" t="str">
        <f>IF(AND(C11="Skema 4",B11="on"),Skemaoplysninger!$AK$28,"")</f>
        <v/>
      </c>
      <c r="BY11" s="382" t="str">
        <f>IF(AND(C11="Skema 4",B11="to"),Skemaoplysninger!$AL$28,"")</f>
        <v/>
      </c>
      <c r="BZ11" s="382" t="str">
        <f>IF(AND(C11="Skema 4",B11="fr"),Skemaoplysninger!$AM$28,"")</f>
        <v/>
      </c>
      <c r="CA11" s="1">
        <f t="shared" si="21"/>
        <v>3.75</v>
      </c>
      <c r="CB11" s="1">
        <f t="shared" si="11"/>
        <v>0</v>
      </c>
      <c r="CC11" s="1">
        <f t="shared" si="12"/>
        <v>0</v>
      </c>
      <c r="CD11" s="382" t="str">
        <f>IF(AND(C11="Skema 1",B11="ma"),Skemaoplysninger!$E$37,"")</f>
        <v/>
      </c>
      <c r="CE11" s="382" t="str">
        <f>IF(AND(C11="Skema 1",B11="ti"),Skemaoplysninger!$F$37,"")</f>
        <v/>
      </c>
      <c r="CF11" s="382" t="str">
        <f>IF(AND(C11="Skema 1",B11="on"),Skemaoplysninger!$G$37,"")</f>
        <v/>
      </c>
      <c r="CG11" s="382">
        <f>IF(AND(C11="Skema 1",B11="to"),Skemaoplysninger!$H$37,"")</f>
        <v>0.91666666666666674</v>
      </c>
      <c r="CH11" s="382" t="str">
        <f>IF(AND(C11="Skema 1",B11="fr"),Skemaoplysninger!$I$37,"")</f>
        <v/>
      </c>
      <c r="CI11" s="382" t="str">
        <f>IF(AND(C11="Skema 2",B11="ma"),Skemaoplysninger!$O$37,"")</f>
        <v/>
      </c>
      <c r="CJ11" s="382" t="str">
        <f>IF(AND(C11="Skema 2",B11="ti"),Skemaoplysninger!$P$37,"")</f>
        <v/>
      </c>
      <c r="CK11" s="382" t="str">
        <f>IF(AND(C11="Skema 2",B11="on"),Skemaoplysninger!$Q$37,"")</f>
        <v/>
      </c>
      <c r="CL11" s="382" t="str">
        <f>IF(AND(C11="Skema 2",B11="to"),Skemaoplysninger!$R$37,"")</f>
        <v/>
      </c>
      <c r="CM11" s="382" t="str">
        <f>IF(AND(C11="Skema 2",B11="fr"),Skemaoplysninger!$S$37,"")</f>
        <v/>
      </c>
      <c r="CN11" s="382" t="str">
        <f>IF(AND(C11="Skema 3",B11="ma"),Skemaoplysninger!$Y$37,"")</f>
        <v/>
      </c>
      <c r="CO11" s="382" t="str">
        <f>IF(AND(C11="Skema 3",B11="ti"),Skemaoplysninger!$Z$37,"")</f>
        <v/>
      </c>
      <c r="CP11" s="382" t="str">
        <f>IF(AND(C11="Skema 3",B11="on"),Skemaoplysninger!$AA$37,"")</f>
        <v/>
      </c>
      <c r="CQ11" s="382" t="str">
        <f>IF(AND(C11="Skema 3",B11="to"),Skemaoplysninger!$AB$37,"")</f>
        <v/>
      </c>
      <c r="CR11" s="382" t="str">
        <f>IF(AND(C11="Skema 3",B11="fr"),Skemaoplysninger!$AC$37,"")</f>
        <v/>
      </c>
      <c r="CS11" s="382" t="str">
        <f>IF(AND(C11="Skema 4",B11="ma"),Skemaoplysninger!$AI$37,"")</f>
        <v/>
      </c>
      <c r="CT11" s="382" t="str">
        <f>IF(AND(C11="Skema 4",B11="ti"),Skemaoplysninger!$AJ$37,"")</f>
        <v/>
      </c>
      <c r="CU11" s="382" t="str">
        <f>IF(AND(C11="Skema 4",B11="on"),Skemaoplysninger!$AK$37,"")</f>
        <v/>
      </c>
      <c r="CV11" s="382" t="str">
        <f>IF(AND(C11="Skema 4",B11="to"),Skemaoplysninger!$AL$37,"")</f>
        <v/>
      </c>
      <c r="CW11" s="382" t="str">
        <f>IF(AND(C11="Skema 4",B11="fr"),Skemaoplysninger!$AM$37,"")</f>
        <v/>
      </c>
      <c r="CX11" s="457">
        <f>IF(Stamoplysninger!$H$29="NEJ",SUM(CB11:CW11),0)</f>
        <v>0.91666666666666674</v>
      </c>
      <c r="CY11" s="457">
        <f>IF(C11="Skema 1",Stamoplysninger!$H$30/200,0)</f>
        <v>1</v>
      </c>
      <c r="CZ11" s="457">
        <f>IF(C11="Skema 2",Stamoplysninger!$H$30/200,0)</f>
        <v>0</v>
      </c>
      <c r="DA11" s="457">
        <f>IF(C11="Skema 3",Stamoplysninger!$H$30/200,0)</f>
        <v>0</v>
      </c>
      <c r="DB11" s="457">
        <f>IF(C11="Skema 4",Stamoplysninger!$H$30/200,0)</f>
        <v>0</v>
      </c>
      <c r="DC11" s="457">
        <f>IF(C11="fagdag",Stamoplysninger!$H$30/200,0)</f>
        <v>0</v>
      </c>
      <c r="DD11" s="457">
        <f>IF(C11="emnedag",Stamoplysninger!$H$30/200,0)</f>
        <v>0</v>
      </c>
      <c r="DE11" s="457">
        <f>IF(C11="lejrskole",Stamoplysninger!$H$30/200,0)</f>
        <v>0</v>
      </c>
      <c r="DF11" s="457">
        <f>IF(C11="ekskursion",Stamoplysninger!$H$30/200,0)</f>
        <v>0</v>
      </c>
      <c r="DG11" s="457">
        <f t="shared" si="22"/>
        <v>1</v>
      </c>
    </row>
    <row r="12" spans="1:211">
      <c r="A12" s="443">
        <f t="shared" si="13"/>
        <v>4</v>
      </c>
      <c r="B12" s="218" t="str">
        <f t="shared" si="0"/>
        <v>fr</v>
      </c>
      <c r="C12" s="219" t="s">
        <v>241</v>
      </c>
      <c r="D12" s="220" t="str">
        <f t="shared" si="1"/>
        <v/>
      </c>
      <c r="E12" s="906"/>
      <c r="F12" s="907"/>
      <c r="G12" s="908"/>
      <c r="H12" s="526"/>
      <c r="I12" s="855"/>
      <c r="J12" s="726"/>
      <c r="K12" s="669"/>
      <c r="L12" s="669"/>
      <c r="M12" s="669"/>
      <c r="N12" s="557">
        <f t="shared" si="14"/>
        <v>7</v>
      </c>
      <c r="O12" s="557">
        <f t="shared" si="15"/>
        <v>2.25</v>
      </c>
      <c r="P12" s="557">
        <f>IF(Stamoplysninger!$H$29="JA",November!DG12,CX12)</f>
        <v>0.33333333333333331</v>
      </c>
      <c r="Q12" s="557">
        <f t="shared" si="16"/>
        <v>4.416666666666667</v>
      </c>
      <c r="R12" s="558"/>
      <c r="S12" s="564"/>
      <c r="T12" s="565"/>
      <c r="U12" s="565"/>
      <c r="V12" s="753"/>
      <c r="W12" s="559"/>
      <c r="X12" s="760"/>
      <c r="Y12">
        <f t="shared" si="17"/>
        <v>0</v>
      </c>
      <c r="Z12" s="759">
        <f t="shared" si="18"/>
        <v>0</v>
      </c>
      <c r="AA12" s="1">
        <f t="shared" si="2"/>
        <v>0</v>
      </c>
      <c r="AB12" s="1">
        <f t="shared" si="3"/>
        <v>0</v>
      </c>
      <c r="AC12" s="1">
        <f t="shared" si="4"/>
        <v>0</v>
      </c>
      <c r="AD12" s="1">
        <f t="shared" si="5"/>
        <v>0</v>
      </c>
      <c r="AE12" s="1">
        <f t="shared" si="6"/>
        <v>0</v>
      </c>
      <c r="AF12" s="1">
        <f>IF(C12="Orlov",7.4*Stamoplysninger!$E$15,0)</f>
        <v>0</v>
      </c>
      <c r="AG12" s="383" t="str">
        <f>IF(AND(C12="Skema 1",B12="ma"),Arbejdstidsoversigt!$E$44,"")</f>
        <v/>
      </c>
      <c r="AH12" s="383" t="str">
        <f>IF(AND(C12="Skema 1",B12="ti"),Arbejdstidsoversigt!$E$45,"")</f>
        <v/>
      </c>
      <c r="AI12" s="383" t="str">
        <f>IF(AND(C12="Skema 1",B12="on"),Arbejdstidsoversigt!$E$46,"")</f>
        <v/>
      </c>
      <c r="AJ12" s="383" t="str">
        <f>IF(AND(C12="Skema 1",B12="to"),Arbejdstidsoversigt!$E$47,"")</f>
        <v/>
      </c>
      <c r="AK12" s="383">
        <f>IF(AND(C12="Skema 1",B12="fr"),Arbejdstidsoversigt!$E$48,"")</f>
        <v>7</v>
      </c>
      <c r="AL12" s="383" t="str">
        <f>IF(AND(C12="Skema 2",B12="ma"),Arbejdstidsoversigt!$E$53,"")</f>
        <v/>
      </c>
      <c r="AM12" s="383" t="str">
        <f>IF(AND(C12="Skema 2",B12="ti"),Arbejdstidsoversigt!$E$54,"")</f>
        <v/>
      </c>
      <c r="AN12" s="383" t="str">
        <f>IF(AND(C12="Skema 2",B12="on"),Arbejdstidsoversigt!$E$55,"")</f>
        <v/>
      </c>
      <c r="AO12" s="383" t="str">
        <f>IF(AND(C12="Skema 2",B12="to"),Arbejdstidsoversigt!$E$56,"")</f>
        <v/>
      </c>
      <c r="AP12" s="383" t="str">
        <f>IF(AND(C12="Skema 2",B12="fr"),Arbejdstidsoversigt!$E$57,"")</f>
        <v/>
      </c>
      <c r="AQ12" s="383" t="str">
        <f>IF(AND(C12="Skema 3",B12="ma"),Arbejdstidsoversigt!$E$62,"")</f>
        <v/>
      </c>
      <c r="AR12" s="383" t="str">
        <f>IF(AND(C12="Skema 3",B12="ti"),Arbejdstidsoversigt!$E$63,"")</f>
        <v/>
      </c>
      <c r="AS12" s="383" t="str">
        <f>IF(AND(C12="Skema 3",B12="on"),Arbejdstidsoversigt!$E$64,"")</f>
        <v/>
      </c>
      <c r="AT12" s="383" t="str">
        <f>IF(AND(C12="Skema 3",B12="to"),Arbejdstidsoversigt!$E$65,"")</f>
        <v/>
      </c>
      <c r="AU12" s="383" t="str">
        <f>IF(AND(C12="Skema 3",B12="fr"),Arbejdstidsoversigt!$E$66,"")</f>
        <v/>
      </c>
      <c r="AV12" s="383" t="str">
        <f>IF(AND(C12="Skema 4",B12="ma"),Arbejdstidsoversigt!$E$71,"")</f>
        <v/>
      </c>
      <c r="AW12" s="383" t="str">
        <f>IF(AND(C12="Skema 4",B12="ti"),Arbejdstidsoversigt!$E$72,"")</f>
        <v/>
      </c>
      <c r="AX12" s="383" t="str">
        <f>IF(AND(C12="Skema 4",B12="on"),Arbejdstidsoversigt!$E$73,"")</f>
        <v/>
      </c>
      <c r="AY12" s="383" t="str">
        <f>IF(AND(C12="Skema 4",B12="to"),Arbejdstidsoversigt!$E$74,"")</f>
        <v/>
      </c>
      <c r="AZ12" s="383" t="str">
        <f>IF(AND(C12="Skema 4",B12="fr"),Arbejdstidsoversigt!$E$75,"")</f>
        <v/>
      </c>
      <c r="BA12" s="1">
        <f t="shared" si="19"/>
        <v>7</v>
      </c>
      <c r="BB12" s="421">
        <f t="shared" si="7"/>
        <v>168</v>
      </c>
      <c r="BC12" s="1">
        <f t="shared" si="20"/>
        <v>0</v>
      </c>
      <c r="BD12" s="1">
        <f t="shared" si="8"/>
        <v>0</v>
      </c>
      <c r="BE12" s="1">
        <f t="shared" si="9"/>
        <v>0</v>
      </c>
      <c r="BF12" s="1">
        <f t="shared" si="10"/>
        <v>0</v>
      </c>
      <c r="BG12" s="382" t="str">
        <f>IF(AND(C12="Skema 1",B12="ma"),Skemaoplysninger!$E$28,"")</f>
        <v/>
      </c>
      <c r="BH12" s="382" t="str">
        <f>IF(AND(C12="Skema 1",B12="ti"),Skemaoplysninger!$F$28,"")</f>
        <v/>
      </c>
      <c r="BI12" s="382" t="str">
        <f>IF(AND(C12="Skema 1",B12="on"),Skemaoplysninger!$G$28,"")</f>
        <v/>
      </c>
      <c r="BJ12" s="382" t="str">
        <f>IF(AND(C12="Skema 1",B12="to"),Skemaoplysninger!$H$28,"")</f>
        <v/>
      </c>
      <c r="BK12" s="382">
        <f>IF(AND(C12="Skema 1",B12="fr"),Skemaoplysninger!$I$28,"")</f>
        <v>9.375E-2</v>
      </c>
      <c r="BL12" s="382" t="str">
        <f>IF(AND(C12="Skema 2",B12="ma"),Skemaoplysninger!$O$28,"")</f>
        <v/>
      </c>
      <c r="BM12" s="382" t="str">
        <f>IF(AND(C12="Skema 2",B12="ti"),Skemaoplysninger!$P$28,"")</f>
        <v/>
      </c>
      <c r="BN12" s="382" t="str">
        <f>IF(AND(C12="Skema 2",B12="on"),Skemaoplysninger!$Q$28,"")</f>
        <v/>
      </c>
      <c r="BO12" s="382" t="str">
        <f>IF(AND(C12="Skema 2",B12="to"),Skemaoplysninger!$R$28,"")</f>
        <v/>
      </c>
      <c r="BP12" s="382" t="str">
        <f>IF(AND(C12="Skema 2",B12="fr"),Skemaoplysninger!$S$28,"")</f>
        <v/>
      </c>
      <c r="BQ12" s="382" t="str">
        <f>IF(AND(C12="Skema 3",B12="ma"),Skemaoplysninger!$Y$28,"")</f>
        <v/>
      </c>
      <c r="BR12" s="382" t="str">
        <f>IF(AND(C12="Skema 3",B12="ti"),Skemaoplysninger!$Z$28,"")</f>
        <v/>
      </c>
      <c r="BS12" s="382" t="str">
        <f>IF(AND(C12="Skema 3",B12="on"),Skemaoplysninger!$AA$28,"")</f>
        <v/>
      </c>
      <c r="BT12" s="382" t="str">
        <f>IF(AND(C12="Skema 3",B12="to"),Skemaoplysninger!$AB$28,"")</f>
        <v/>
      </c>
      <c r="BU12" s="382" t="str">
        <f>IF(AND(C12="Skema 3",B12="fr"),Skemaoplysninger!$AC$28,"")</f>
        <v/>
      </c>
      <c r="BV12" s="382" t="str">
        <f>IF(AND(C12="Skema 4",B12="ma"),Skemaoplysninger!$AI$28,"")</f>
        <v/>
      </c>
      <c r="BW12" s="382" t="str">
        <f>IF(AND(C12="Skema 4",B12="ti"),Skemaoplysninger!$AJ$28,"")</f>
        <v/>
      </c>
      <c r="BX12" s="382" t="str">
        <f>IF(AND(C12="Skema 4",B12="on"),Skemaoplysninger!$AK$28,"")</f>
        <v/>
      </c>
      <c r="BY12" s="382" t="str">
        <f>IF(AND(C12="Skema 4",B12="to"),Skemaoplysninger!$AL$28,"")</f>
        <v/>
      </c>
      <c r="BZ12" s="382" t="str">
        <f>IF(AND(C12="Skema 4",B12="fr"),Skemaoplysninger!$AM$28,"")</f>
        <v/>
      </c>
      <c r="CA12" s="1">
        <f t="shared" si="21"/>
        <v>2.25</v>
      </c>
      <c r="CB12" s="1">
        <f t="shared" si="11"/>
        <v>0</v>
      </c>
      <c r="CC12" s="1">
        <f t="shared" si="12"/>
        <v>0</v>
      </c>
      <c r="CD12" s="382" t="str">
        <f>IF(AND(C12="Skema 1",B12="ma"),Skemaoplysninger!$E$37,"")</f>
        <v/>
      </c>
      <c r="CE12" s="382" t="str">
        <f>IF(AND(C12="Skema 1",B12="ti"),Skemaoplysninger!$F$37,"")</f>
        <v/>
      </c>
      <c r="CF12" s="382" t="str">
        <f>IF(AND(C12="Skema 1",B12="on"),Skemaoplysninger!$G$37,"")</f>
        <v/>
      </c>
      <c r="CG12" s="382" t="str">
        <f>IF(AND(C12="Skema 1",B12="to"),Skemaoplysninger!$H$37,"")</f>
        <v/>
      </c>
      <c r="CH12" s="382">
        <f>IF(AND(C12="Skema 1",B12="fr"),Skemaoplysninger!$I$37,"")</f>
        <v>0.33333333333333331</v>
      </c>
      <c r="CI12" s="382" t="str">
        <f>IF(AND(C12="Skema 2",B12="ma"),Skemaoplysninger!$O$37,"")</f>
        <v/>
      </c>
      <c r="CJ12" s="382" t="str">
        <f>IF(AND(C12="Skema 2",B12="ti"),Skemaoplysninger!$P$37,"")</f>
        <v/>
      </c>
      <c r="CK12" s="382" t="str">
        <f>IF(AND(C12="Skema 2",B12="on"),Skemaoplysninger!$Q$37,"")</f>
        <v/>
      </c>
      <c r="CL12" s="382" t="str">
        <f>IF(AND(C12="Skema 2",B12="to"),Skemaoplysninger!$R$37,"")</f>
        <v/>
      </c>
      <c r="CM12" s="382" t="str">
        <f>IF(AND(C12="Skema 2",B12="fr"),Skemaoplysninger!$S$37,"")</f>
        <v/>
      </c>
      <c r="CN12" s="382" t="str">
        <f>IF(AND(C12="Skema 3",B12="ma"),Skemaoplysninger!$Y$37,"")</f>
        <v/>
      </c>
      <c r="CO12" s="382" t="str">
        <f>IF(AND(C12="Skema 3",B12="ti"),Skemaoplysninger!$Z$37,"")</f>
        <v/>
      </c>
      <c r="CP12" s="382" t="str">
        <f>IF(AND(C12="Skema 3",B12="on"),Skemaoplysninger!$AA$37,"")</f>
        <v/>
      </c>
      <c r="CQ12" s="382" t="str">
        <f>IF(AND(C12="Skema 3",B12="to"),Skemaoplysninger!$AB$37,"")</f>
        <v/>
      </c>
      <c r="CR12" s="382" t="str">
        <f>IF(AND(C12="Skema 3",B12="fr"),Skemaoplysninger!$AC$37,"")</f>
        <v/>
      </c>
      <c r="CS12" s="382" t="str">
        <f>IF(AND(C12="Skema 4",B12="ma"),Skemaoplysninger!$AI$37,"")</f>
        <v/>
      </c>
      <c r="CT12" s="382" t="str">
        <f>IF(AND(C12="Skema 4",B12="ti"),Skemaoplysninger!$AJ$37,"")</f>
        <v/>
      </c>
      <c r="CU12" s="382" t="str">
        <f>IF(AND(C12="Skema 4",B12="on"),Skemaoplysninger!$AK$37,"")</f>
        <v/>
      </c>
      <c r="CV12" s="382" t="str">
        <f>IF(AND(C12="Skema 4",B12="to"),Skemaoplysninger!$AL$37,"")</f>
        <v/>
      </c>
      <c r="CW12" s="382" t="str">
        <f>IF(AND(C12="Skema 4",B12="fr"),Skemaoplysninger!$AM$37,"")</f>
        <v/>
      </c>
      <c r="CX12" s="457">
        <f>IF(Stamoplysninger!$H$29="NEJ",SUM(CB12:CW12),0)</f>
        <v>0.33333333333333331</v>
      </c>
      <c r="CY12" s="457">
        <f>IF(C12="Skema 1",Stamoplysninger!$H$30/200,0)</f>
        <v>1</v>
      </c>
      <c r="CZ12" s="457">
        <f>IF(C12="Skema 2",Stamoplysninger!$H$30/200,0)</f>
        <v>0</v>
      </c>
      <c r="DA12" s="457">
        <f>IF(C12="Skema 3",Stamoplysninger!$H$30/200,0)</f>
        <v>0</v>
      </c>
      <c r="DB12" s="457">
        <f>IF(C12="Skema 4",Stamoplysninger!$H$30/200,0)</f>
        <v>0</v>
      </c>
      <c r="DC12" s="457">
        <f>IF(C12="fagdag",Stamoplysninger!$H$30/200,0)</f>
        <v>0</v>
      </c>
      <c r="DD12" s="457">
        <f>IF(C12="emnedag",Stamoplysninger!$H$30/200,0)</f>
        <v>0</v>
      </c>
      <c r="DE12" s="457">
        <f>IF(C12="lejrskole",Stamoplysninger!$H$30/200,0)</f>
        <v>0</v>
      </c>
      <c r="DF12" s="457">
        <f>IF(C12="ekskursion",Stamoplysninger!$H$30/200,0)</f>
        <v>0</v>
      </c>
      <c r="DG12" s="457">
        <f t="shared" si="22"/>
        <v>1</v>
      </c>
    </row>
    <row r="13" spans="1:211">
      <c r="A13" s="443">
        <f t="shared" si="13"/>
        <v>5</v>
      </c>
      <c r="B13" s="218" t="str">
        <f t="shared" si="0"/>
        <v>lø</v>
      </c>
      <c r="C13" s="219" t="s">
        <v>138</v>
      </c>
      <c r="D13" s="220" t="str">
        <f t="shared" si="1"/>
        <v/>
      </c>
      <c r="E13" s="906"/>
      <c r="F13" s="907"/>
      <c r="G13" s="908"/>
      <c r="H13" s="526"/>
      <c r="I13" s="726"/>
      <c r="J13" s="726"/>
      <c r="K13" s="669"/>
      <c r="L13" s="669"/>
      <c r="M13" s="669"/>
      <c r="N13" s="557">
        <f t="shared" si="14"/>
        <v>0</v>
      </c>
      <c r="O13" s="557">
        <f t="shared" si="15"/>
        <v>0</v>
      </c>
      <c r="P13" s="557">
        <f>IF(Stamoplysninger!$H$29="JA",November!DG13,CX13)</f>
        <v>0</v>
      </c>
      <c r="Q13" s="557">
        <f t="shared" si="16"/>
        <v>0</v>
      </c>
      <c r="R13" s="558"/>
      <c r="S13" s="564"/>
      <c r="T13" s="565"/>
      <c r="U13" s="565"/>
      <c r="V13" s="753"/>
      <c r="W13" s="559"/>
      <c r="X13" s="760"/>
      <c r="Y13">
        <f t="shared" si="17"/>
        <v>0</v>
      </c>
      <c r="Z13" s="759">
        <f t="shared" si="18"/>
        <v>0</v>
      </c>
      <c r="AA13" s="1">
        <f t="shared" si="2"/>
        <v>0</v>
      </c>
      <c r="AB13" s="1">
        <f t="shared" si="3"/>
        <v>0</v>
      </c>
      <c r="AC13" s="1">
        <f t="shared" si="4"/>
        <v>0</v>
      </c>
      <c r="AD13" s="1">
        <f t="shared" si="5"/>
        <v>0</v>
      </c>
      <c r="AE13" s="1">
        <f t="shared" si="6"/>
        <v>0</v>
      </c>
      <c r="AF13" s="1">
        <f>IF(C13="Orlov",7.4*Stamoplysninger!$E$15,0)</f>
        <v>0</v>
      </c>
      <c r="AG13" s="383" t="str">
        <f>IF(AND(C13="Skema 1",B13="ma"),Arbejdstidsoversigt!$E$44,"")</f>
        <v/>
      </c>
      <c r="AH13" s="383" t="str">
        <f>IF(AND(C13="Skema 1",B13="ti"),Arbejdstidsoversigt!$E$45,"")</f>
        <v/>
      </c>
      <c r="AI13" s="383" t="str">
        <f>IF(AND(C13="Skema 1",B13="on"),Arbejdstidsoversigt!$E$46,"")</f>
        <v/>
      </c>
      <c r="AJ13" s="383" t="str">
        <f>IF(AND(C13="Skema 1",B13="to"),Arbejdstidsoversigt!$E$47,"")</f>
        <v/>
      </c>
      <c r="AK13" s="383" t="str">
        <f>IF(AND(C13="Skema 1",B13="fr"),Arbejdstidsoversigt!$E$48,"")</f>
        <v/>
      </c>
      <c r="AL13" s="383" t="str">
        <f>IF(AND(C13="Skema 2",B13="ma"),Arbejdstidsoversigt!$E$53,"")</f>
        <v/>
      </c>
      <c r="AM13" s="383" t="str">
        <f>IF(AND(C13="Skema 2",B13="ti"),Arbejdstidsoversigt!$E$54,"")</f>
        <v/>
      </c>
      <c r="AN13" s="383" t="str">
        <f>IF(AND(C13="Skema 2",B13="on"),Arbejdstidsoversigt!$E$55,"")</f>
        <v/>
      </c>
      <c r="AO13" s="383" t="str">
        <f>IF(AND(C13="Skema 2",B13="to"),Arbejdstidsoversigt!$E$56,"")</f>
        <v/>
      </c>
      <c r="AP13" s="383" t="str">
        <f>IF(AND(C13="Skema 2",B13="fr"),Arbejdstidsoversigt!$E$57,"")</f>
        <v/>
      </c>
      <c r="AQ13" s="383" t="str">
        <f>IF(AND(C13="Skema 3",B13="ma"),Arbejdstidsoversigt!$E$62,"")</f>
        <v/>
      </c>
      <c r="AR13" s="383" t="str">
        <f>IF(AND(C13="Skema 3",B13="ti"),Arbejdstidsoversigt!$E$63,"")</f>
        <v/>
      </c>
      <c r="AS13" s="383" t="str">
        <f>IF(AND(C13="Skema 3",B13="on"),Arbejdstidsoversigt!$E$64,"")</f>
        <v/>
      </c>
      <c r="AT13" s="383" t="str">
        <f>IF(AND(C13="Skema 3",B13="to"),Arbejdstidsoversigt!$E$65,"")</f>
        <v/>
      </c>
      <c r="AU13" s="383" t="str">
        <f>IF(AND(C13="Skema 3",B13="fr"),Arbejdstidsoversigt!$E$66,"")</f>
        <v/>
      </c>
      <c r="AV13" s="383" t="str">
        <f>IF(AND(C13="Skema 4",B13="ma"),Arbejdstidsoversigt!$E$71,"")</f>
        <v/>
      </c>
      <c r="AW13" s="383" t="str">
        <f>IF(AND(C13="Skema 4",B13="ti"),Arbejdstidsoversigt!$E$72,"")</f>
        <v/>
      </c>
      <c r="AX13" s="383" t="str">
        <f>IF(AND(C13="Skema 4",B13="on"),Arbejdstidsoversigt!$E$73,"")</f>
        <v/>
      </c>
      <c r="AY13" s="383" t="str">
        <f>IF(AND(C13="Skema 4",B13="to"),Arbejdstidsoversigt!$E$74,"")</f>
        <v/>
      </c>
      <c r="AZ13" s="383" t="str">
        <f>IF(AND(C13="Skema 4",B13="fr"),Arbejdstidsoversigt!$E$75,"")</f>
        <v/>
      </c>
      <c r="BA13" s="1">
        <f t="shared" si="19"/>
        <v>0</v>
      </c>
      <c r="BB13" s="421">
        <f t="shared" si="7"/>
        <v>0</v>
      </c>
      <c r="BC13" s="1">
        <f t="shared" si="20"/>
        <v>0</v>
      </c>
      <c r="BD13" s="1">
        <f t="shared" si="8"/>
        <v>0</v>
      </c>
      <c r="BE13" s="1">
        <f t="shared" si="9"/>
        <v>0</v>
      </c>
      <c r="BF13" s="1">
        <f t="shared" si="10"/>
        <v>0</v>
      </c>
      <c r="BG13" s="382" t="str">
        <f>IF(AND(C13="Skema 1",B13="ma"),Skemaoplysninger!$E$28,"")</f>
        <v/>
      </c>
      <c r="BH13" s="382" t="str">
        <f>IF(AND(C13="Skema 1",B13="ti"),Skemaoplysninger!$F$28,"")</f>
        <v/>
      </c>
      <c r="BI13" s="382" t="str">
        <f>IF(AND(C13="Skema 1",B13="on"),Skemaoplysninger!$G$28,"")</f>
        <v/>
      </c>
      <c r="BJ13" s="382" t="str">
        <f>IF(AND(C13="Skema 1",B13="to"),Skemaoplysninger!$H$28,"")</f>
        <v/>
      </c>
      <c r="BK13" s="382" t="str">
        <f>IF(AND(C13="Skema 1",B13="fr"),Skemaoplysninger!$I$28,"")</f>
        <v/>
      </c>
      <c r="BL13" s="382" t="str">
        <f>IF(AND(C13="Skema 2",B13="ma"),Skemaoplysninger!$O$28,"")</f>
        <v/>
      </c>
      <c r="BM13" s="382" t="str">
        <f>IF(AND(C13="Skema 2",B13="ti"),Skemaoplysninger!$P$28,"")</f>
        <v/>
      </c>
      <c r="BN13" s="382" t="str">
        <f>IF(AND(C13="Skema 2",B13="on"),Skemaoplysninger!$Q$28,"")</f>
        <v/>
      </c>
      <c r="BO13" s="382" t="str">
        <f>IF(AND(C13="Skema 2",B13="to"),Skemaoplysninger!$R$28,"")</f>
        <v/>
      </c>
      <c r="BP13" s="382" t="str">
        <f>IF(AND(C13="Skema 2",B13="fr"),Skemaoplysninger!$S$28,"")</f>
        <v/>
      </c>
      <c r="BQ13" s="382" t="str">
        <f>IF(AND(C13="Skema 3",B13="ma"),Skemaoplysninger!$Y$28,"")</f>
        <v/>
      </c>
      <c r="BR13" s="382" t="str">
        <f>IF(AND(C13="Skema 3",B13="ti"),Skemaoplysninger!$Z$28,"")</f>
        <v/>
      </c>
      <c r="BS13" s="382" t="str">
        <f>IF(AND(C13="Skema 3",B13="on"),Skemaoplysninger!$AA$28,"")</f>
        <v/>
      </c>
      <c r="BT13" s="382" t="str">
        <f>IF(AND(C13="Skema 3",B13="to"),Skemaoplysninger!$AB$28,"")</f>
        <v/>
      </c>
      <c r="BU13" s="382" t="str">
        <f>IF(AND(C13="Skema 3",B13="fr"),Skemaoplysninger!$AC$28,"")</f>
        <v/>
      </c>
      <c r="BV13" s="382" t="str">
        <f>IF(AND(C13="Skema 4",B13="ma"),Skemaoplysninger!$AI$28,"")</f>
        <v/>
      </c>
      <c r="BW13" s="382" t="str">
        <f>IF(AND(C13="Skema 4",B13="ti"),Skemaoplysninger!$AJ$28,"")</f>
        <v/>
      </c>
      <c r="BX13" s="382" t="str">
        <f>IF(AND(C13="Skema 4",B13="on"),Skemaoplysninger!$AK$28,"")</f>
        <v/>
      </c>
      <c r="BY13" s="382" t="str">
        <f>IF(AND(C13="Skema 4",B13="to"),Skemaoplysninger!$AL$28,"")</f>
        <v/>
      </c>
      <c r="BZ13" s="382" t="str">
        <f>IF(AND(C13="Skema 4",B13="fr"),Skemaoplysninger!$AM$28,"")</f>
        <v/>
      </c>
      <c r="CA13" s="1">
        <f t="shared" si="21"/>
        <v>0</v>
      </c>
      <c r="CB13" s="1">
        <f t="shared" si="11"/>
        <v>0</v>
      </c>
      <c r="CC13" s="1">
        <f t="shared" si="12"/>
        <v>0</v>
      </c>
      <c r="CD13" s="382" t="str">
        <f>IF(AND(C13="Skema 1",B13="ma"),Skemaoplysninger!$E$37,"")</f>
        <v/>
      </c>
      <c r="CE13" s="382" t="str">
        <f>IF(AND(C13="Skema 1",B13="ti"),Skemaoplysninger!$F$37,"")</f>
        <v/>
      </c>
      <c r="CF13" s="382" t="str">
        <f>IF(AND(C13="Skema 1",B13="on"),Skemaoplysninger!$G$37,"")</f>
        <v/>
      </c>
      <c r="CG13" s="382" t="str">
        <f>IF(AND(C13="Skema 1",B13="to"),Skemaoplysninger!$H$37,"")</f>
        <v/>
      </c>
      <c r="CH13" s="382" t="str">
        <f>IF(AND(C13="Skema 1",B13="fr"),Skemaoplysninger!$I$37,"")</f>
        <v/>
      </c>
      <c r="CI13" s="382" t="str">
        <f>IF(AND(C13="Skema 2",B13="ma"),Skemaoplysninger!$O$37,"")</f>
        <v/>
      </c>
      <c r="CJ13" s="382" t="str">
        <f>IF(AND(C13="Skema 2",B13="ti"),Skemaoplysninger!$P$37,"")</f>
        <v/>
      </c>
      <c r="CK13" s="382" t="str">
        <f>IF(AND(C13="Skema 2",B13="on"),Skemaoplysninger!$Q$37,"")</f>
        <v/>
      </c>
      <c r="CL13" s="382" t="str">
        <f>IF(AND(C13="Skema 2",B13="to"),Skemaoplysninger!$R$37,"")</f>
        <v/>
      </c>
      <c r="CM13" s="382" t="str">
        <f>IF(AND(C13="Skema 2",B13="fr"),Skemaoplysninger!$S$37,"")</f>
        <v/>
      </c>
      <c r="CN13" s="382" t="str">
        <f>IF(AND(C13="Skema 3",B13="ma"),Skemaoplysninger!$Y$37,"")</f>
        <v/>
      </c>
      <c r="CO13" s="382" t="str">
        <f>IF(AND(C13="Skema 3",B13="ti"),Skemaoplysninger!$Z$37,"")</f>
        <v/>
      </c>
      <c r="CP13" s="382" t="str">
        <f>IF(AND(C13="Skema 3",B13="on"),Skemaoplysninger!$AA$37,"")</f>
        <v/>
      </c>
      <c r="CQ13" s="382" t="str">
        <f>IF(AND(C13="Skema 3",B13="to"),Skemaoplysninger!$AB$37,"")</f>
        <v/>
      </c>
      <c r="CR13" s="382" t="str">
        <f>IF(AND(C13="Skema 3",B13="fr"),Skemaoplysninger!$AC$37,"")</f>
        <v/>
      </c>
      <c r="CS13" s="382" t="str">
        <f>IF(AND(C13="Skema 4",B13="ma"),Skemaoplysninger!$AI$37,"")</f>
        <v/>
      </c>
      <c r="CT13" s="382" t="str">
        <f>IF(AND(C13="Skema 4",B13="ti"),Skemaoplysninger!$AJ$37,"")</f>
        <v/>
      </c>
      <c r="CU13" s="382" t="str">
        <f>IF(AND(C13="Skema 4",B13="on"),Skemaoplysninger!$AK$37,"")</f>
        <v/>
      </c>
      <c r="CV13" s="382" t="str">
        <f>IF(AND(C13="Skema 4",B13="to"),Skemaoplysninger!$AL$37,"")</f>
        <v/>
      </c>
      <c r="CW13" s="382" t="str">
        <f>IF(AND(C13="Skema 4",B13="fr"),Skemaoplysninger!$AM$37,"")</f>
        <v/>
      </c>
      <c r="CX13" s="457">
        <f>IF(Stamoplysninger!$H$29="NEJ",SUM(CB13:CW13),0)</f>
        <v>0</v>
      </c>
      <c r="CY13" s="457">
        <f>IF(C13="Skema 1",Stamoplysninger!$H$30/200,0)</f>
        <v>0</v>
      </c>
      <c r="CZ13" s="457">
        <f>IF(C13="Skema 2",Stamoplysninger!$H$30/200,0)</f>
        <v>0</v>
      </c>
      <c r="DA13" s="457">
        <f>IF(C13="Skema 3",Stamoplysninger!$H$30/200,0)</f>
        <v>0</v>
      </c>
      <c r="DB13" s="457">
        <f>IF(C13="Skema 4",Stamoplysninger!$H$30/200,0)</f>
        <v>0</v>
      </c>
      <c r="DC13" s="457">
        <f>IF(C13="fagdag",Stamoplysninger!$H$30/200,0)</f>
        <v>0</v>
      </c>
      <c r="DD13" s="457">
        <f>IF(C13="emnedag",Stamoplysninger!$H$30/200,0)</f>
        <v>0</v>
      </c>
      <c r="DE13" s="457">
        <f>IF(C13="lejrskole",Stamoplysninger!$H$30/200,0)</f>
        <v>0</v>
      </c>
      <c r="DF13" s="457">
        <f>IF(C13="ekskursion",Stamoplysninger!$H$30/200,0)</f>
        <v>0</v>
      </c>
      <c r="DG13" s="457">
        <f t="shared" si="22"/>
        <v>0</v>
      </c>
    </row>
    <row r="14" spans="1:211" ht="16" customHeight="1">
      <c r="A14" s="443">
        <f t="shared" si="13"/>
        <v>6</v>
      </c>
      <c r="B14" s="218" t="str">
        <f t="shared" si="0"/>
        <v>sø</v>
      </c>
      <c r="C14" s="219" t="s">
        <v>138</v>
      </c>
      <c r="D14" s="220" t="str">
        <f t="shared" si="1"/>
        <v/>
      </c>
      <c r="E14" s="906"/>
      <c r="F14" s="907"/>
      <c r="G14" s="908"/>
      <c r="H14" s="526"/>
      <c r="I14" s="726"/>
      <c r="J14" s="726"/>
      <c r="K14" s="669"/>
      <c r="L14" s="669"/>
      <c r="M14" s="669"/>
      <c r="N14" s="557">
        <f t="shared" si="14"/>
        <v>0</v>
      </c>
      <c r="O14" s="557">
        <f t="shared" si="15"/>
        <v>0</v>
      </c>
      <c r="P14" s="557">
        <f>IF(Stamoplysninger!$H$29="JA",November!DG14,CX14)</f>
        <v>0</v>
      </c>
      <c r="Q14" s="557">
        <f t="shared" si="16"/>
        <v>0</v>
      </c>
      <c r="R14" s="558"/>
      <c r="S14" s="564"/>
      <c r="T14" s="565"/>
      <c r="U14" s="565"/>
      <c r="V14" s="753"/>
      <c r="W14" s="559"/>
      <c r="X14" s="760"/>
      <c r="Y14">
        <f t="shared" si="17"/>
        <v>0</v>
      </c>
      <c r="Z14" s="759">
        <f t="shared" si="18"/>
        <v>0</v>
      </c>
      <c r="AA14" s="1">
        <f t="shared" si="2"/>
        <v>0</v>
      </c>
      <c r="AB14" s="1">
        <f t="shared" si="3"/>
        <v>0</v>
      </c>
      <c r="AC14" s="1">
        <f t="shared" si="4"/>
        <v>0</v>
      </c>
      <c r="AD14" s="1">
        <f t="shared" si="5"/>
        <v>0</v>
      </c>
      <c r="AE14" s="1">
        <f t="shared" si="6"/>
        <v>0</v>
      </c>
      <c r="AF14" s="1">
        <f>IF(C14="Orlov",7.4*Stamoplysninger!$E$15,0)</f>
        <v>0</v>
      </c>
      <c r="AG14" s="383" t="str">
        <f>IF(AND(C14="Skema 1",B14="ma"),Arbejdstidsoversigt!$E$44,"")</f>
        <v/>
      </c>
      <c r="AH14" s="383" t="str">
        <f>IF(AND(C14="Skema 1",B14="ti"),Arbejdstidsoversigt!$E$45,"")</f>
        <v/>
      </c>
      <c r="AI14" s="383" t="str">
        <f>IF(AND(C14="Skema 1",B14="on"),Arbejdstidsoversigt!$E$46,"")</f>
        <v/>
      </c>
      <c r="AJ14" s="383" t="str">
        <f>IF(AND(C14="Skema 1",B14="to"),Arbejdstidsoversigt!$E$47,"")</f>
        <v/>
      </c>
      <c r="AK14" s="383" t="str">
        <f>IF(AND(C14="Skema 1",B14="fr"),Arbejdstidsoversigt!$E$48,"")</f>
        <v/>
      </c>
      <c r="AL14" s="383" t="str">
        <f>IF(AND(C14="Skema 2",B14="ma"),Arbejdstidsoversigt!$E$53,"")</f>
        <v/>
      </c>
      <c r="AM14" s="383" t="str">
        <f>IF(AND(C14="Skema 2",B14="ti"),Arbejdstidsoversigt!$E$54,"")</f>
        <v/>
      </c>
      <c r="AN14" s="383" t="str">
        <f>IF(AND(C14="Skema 2",B14="on"),Arbejdstidsoversigt!$E$55,"")</f>
        <v/>
      </c>
      <c r="AO14" s="383" t="str">
        <f>IF(AND(C14="Skema 2",B14="to"),Arbejdstidsoversigt!$E$56,"")</f>
        <v/>
      </c>
      <c r="AP14" s="383" t="str">
        <f>IF(AND(C14="Skema 2",B14="fr"),Arbejdstidsoversigt!$E$57,"")</f>
        <v/>
      </c>
      <c r="AQ14" s="383" t="str">
        <f>IF(AND(C14="Skema 3",B14="ma"),Arbejdstidsoversigt!$E$62,"")</f>
        <v/>
      </c>
      <c r="AR14" s="383" t="str">
        <f>IF(AND(C14="Skema 3",B14="ti"),Arbejdstidsoversigt!$E$63,"")</f>
        <v/>
      </c>
      <c r="AS14" s="383" t="str">
        <f>IF(AND(C14="Skema 3",B14="on"),Arbejdstidsoversigt!$E$64,"")</f>
        <v/>
      </c>
      <c r="AT14" s="383" t="str">
        <f>IF(AND(C14="Skema 3",B14="to"),Arbejdstidsoversigt!$E$65,"")</f>
        <v/>
      </c>
      <c r="AU14" s="383" t="str">
        <f>IF(AND(C14="Skema 3",B14="fr"),Arbejdstidsoversigt!$E$66,"")</f>
        <v/>
      </c>
      <c r="AV14" s="383" t="str">
        <f>IF(AND(C14="Skema 4",B14="ma"),Arbejdstidsoversigt!$E$71,"")</f>
        <v/>
      </c>
      <c r="AW14" s="383" t="str">
        <f>IF(AND(C14="Skema 4",B14="ti"),Arbejdstidsoversigt!$E$72,"")</f>
        <v/>
      </c>
      <c r="AX14" s="383" t="str">
        <f>IF(AND(C14="Skema 4",B14="on"),Arbejdstidsoversigt!$E$73,"")</f>
        <v/>
      </c>
      <c r="AY14" s="383" t="str">
        <f>IF(AND(C14="Skema 4",B14="to"),Arbejdstidsoversigt!$E$74,"")</f>
        <v/>
      </c>
      <c r="AZ14" s="383" t="str">
        <f>IF(AND(C14="Skema 4",B14="fr"),Arbejdstidsoversigt!$E$75,"")</f>
        <v/>
      </c>
      <c r="BA14" s="1">
        <f t="shared" si="19"/>
        <v>0</v>
      </c>
      <c r="BB14" s="421">
        <f t="shared" si="7"/>
        <v>0</v>
      </c>
      <c r="BC14" s="1">
        <f t="shared" si="20"/>
        <v>0</v>
      </c>
      <c r="BD14" s="1">
        <f t="shared" si="8"/>
        <v>0</v>
      </c>
      <c r="BE14" s="1">
        <f t="shared" si="9"/>
        <v>0</v>
      </c>
      <c r="BF14" s="1">
        <f t="shared" si="10"/>
        <v>0</v>
      </c>
      <c r="BG14" s="382" t="str">
        <f>IF(AND(C14="Skema 1",B14="ma"),Skemaoplysninger!$E$28,"")</f>
        <v/>
      </c>
      <c r="BH14" s="382" t="str">
        <f>IF(AND(C14="Skema 1",B14="ti"),Skemaoplysninger!$F$28,"")</f>
        <v/>
      </c>
      <c r="BI14" s="382" t="str">
        <f>IF(AND(C14="Skema 1",B14="on"),Skemaoplysninger!$G$28,"")</f>
        <v/>
      </c>
      <c r="BJ14" s="382" t="str">
        <f>IF(AND(C14="Skema 1",B14="to"),Skemaoplysninger!$H$28,"")</f>
        <v/>
      </c>
      <c r="BK14" s="382" t="str">
        <f>IF(AND(C14="Skema 1",B14="fr"),Skemaoplysninger!$I$28,"")</f>
        <v/>
      </c>
      <c r="BL14" s="382" t="str">
        <f>IF(AND(C14="Skema 2",B14="ma"),Skemaoplysninger!$O$28,"")</f>
        <v/>
      </c>
      <c r="BM14" s="382" t="str">
        <f>IF(AND(C14="Skema 2",B14="ti"),Skemaoplysninger!$P$28,"")</f>
        <v/>
      </c>
      <c r="BN14" s="382" t="str">
        <f>IF(AND(C14="Skema 2",B14="on"),Skemaoplysninger!$Q$28,"")</f>
        <v/>
      </c>
      <c r="BO14" s="382" t="str">
        <f>IF(AND(C14="Skema 2",B14="to"),Skemaoplysninger!$R$28,"")</f>
        <v/>
      </c>
      <c r="BP14" s="382" t="str">
        <f>IF(AND(C14="Skema 2",B14="fr"),Skemaoplysninger!$S$28,"")</f>
        <v/>
      </c>
      <c r="BQ14" s="382" t="str">
        <f>IF(AND(C14="Skema 3",B14="ma"),Skemaoplysninger!$Y$28,"")</f>
        <v/>
      </c>
      <c r="BR14" s="382" t="str">
        <f>IF(AND(C14="Skema 3",B14="ti"),Skemaoplysninger!$Z$28,"")</f>
        <v/>
      </c>
      <c r="BS14" s="382" t="str">
        <f>IF(AND(C14="Skema 3",B14="on"),Skemaoplysninger!$AA$28,"")</f>
        <v/>
      </c>
      <c r="BT14" s="382" t="str">
        <f>IF(AND(C14="Skema 3",B14="to"),Skemaoplysninger!$AB$28,"")</f>
        <v/>
      </c>
      <c r="BU14" s="382" t="str">
        <f>IF(AND(C14="Skema 3",B14="fr"),Skemaoplysninger!$AC$28,"")</f>
        <v/>
      </c>
      <c r="BV14" s="382" t="str">
        <f>IF(AND(C14="Skema 4",B14="ma"),Skemaoplysninger!$AI$28,"")</f>
        <v/>
      </c>
      <c r="BW14" s="382" t="str">
        <f>IF(AND(C14="Skema 4",B14="ti"),Skemaoplysninger!$AJ$28,"")</f>
        <v/>
      </c>
      <c r="BX14" s="382" t="str">
        <f>IF(AND(C14="Skema 4",B14="on"),Skemaoplysninger!$AK$28,"")</f>
        <v/>
      </c>
      <c r="BY14" s="382" t="str">
        <f>IF(AND(C14="Skema 4",B14="to"),Skemaoplysninger!$AL$28,"")</f>
        <v/>
      </c>
      <c r="BZ14" s="382" t="str">
        <f>IF(AND(C14="Skema 4",B14="fr"),Skemaoplysninger!$AM$28,"")</f>
        <v/>
      </c>
      <c r="CA14" s="1">
        <f t="shared" si="21"/>
        <v>0</v>
      </c>
      <c r="CB14" s="1">
        <f t="shared" si="11"/>
        <v>0</v>
      </c>
      <c r="CC14" s="1">
        <f t="shared" si="12"/>
        <v>0</v>
      </c>
      <c r="CD14" s="382" t="str">
        <f>IF(AND(C14="Skema 1",B14="ma"),Skemaoplysninger!$E$37,"")</f>
        <v/>
      </c>
      <c r="CE14" s="382" t="str">
        <f>IF(AND(C14="Skema 1",B14="ti"),Skemaoplysninger!$F$37,"")</f>
        <v/>
      </c>
      <c r="CF14" s="382" t="str">
        <f>IF(AND(C14="Skema 1",B14="on"),Skemaoplysninger!$G$37,"")</f>
        <v/>
      </c>
      <c r="CG14" s="382" t="str">
        <f>IF(AND(C14="Skema 1",B14="to"),Skemaoplysninger!$H$37,"")</f>
        <v/>
      </c>
      <c r="CH14" s="382" t="str">
        <f>IF(AND(C14="Skema 1",B14="fr"),Skemaoplysninger!$I$37,"")</f>
        <v/>
      </c>
      <c r="CI14" s="382" t="str">
        <f>IF(AND(C14="Skema 2",B14="ma"),Skemaoplysninger!$O$37,"")</f>
        <v/>
      </c>
      <c r="CJ14" s="382" t="str">
        <f>IF(AND(C14="Skema 2",B14="ti"),Skemaoplysninger!$P$37,"")</f>
        <v/>
      </c>
      <c r="CK14" s="382" t="str">
        <f>IF(AND(C14="Skema 2",B14="on"),Skemaoplysninger!$Q$37,"")</f>
        <v/>
      </c>
      <c r="CL14" s="382" t="str">
        <f>IF(AND(C14="Skema 2",B14="to"),Skemaoplysninger!$R$37,"")</f>
        <v/>
      </c>
      <c r="CM14" s="382" t="str">
        <f>IF(AND(C14="Skema 2",B14="fr"),Skemaoplysninger!$S$37,"")</f>
        <v/>
      </c>
      <c r="CN14" s="382" t="str">
        <f>IF(AND(C14="Skema 3",B14="ma"),Skemaoplysninger!$Y$37,"")</f>
        <v/>
      </c>
      <c r="CO14" s="382" t="str">
        <f>IF(AND(C14="Skema 3",B14="ti"),Skemaoplysninger!$Z$37,"")</f>
        <v/>
      </c>
      <c r="CP14" s="382" t="str">
        <f>IF(AND(C14="Skema 3",B14="on"),Skemaoplysninger!$AA$37,"")</f>
        <v/>
      </c>
      <c r="CQ14" s="382" t="str">
        <f>IF(AND(C14="Skema 3",B14="to"),Skemaoplysninger!$AB$37,"")</f>
        <v/>
      </c>
      <c r="CR14" s="382" t="str">
        <f>IF(AND(C14="Skema 3",B14="fr"),Skemaoplysninger!$AC$37,"")</f>
        <v/>
      </c>
      <c r="CS14" s="382" t="str">
        <f>IF(AND(C14="Skema 4",B14="ma"),Skemaoplysninger!$AI$37,"")</f>
        <v/>
      </c>
      <c r="CT14" s="382" t="str">
        <f>IF(AND(C14="Skema 4",B14="ti"),Skemaoplysninger!$AJ$37,"")</f>
        <v/>
      </c>
      <c r="CU14" s="382" t="str">
        <f>IF(AND(C14="Skema 4",B14="on"),Skemaoplysninger!$AK$37,"")</f>
        <v/>
      </c>
      <c r="CV14" s="382" t="str">
        <f>IF(AND(C14="Skema 4",B14="to"),Skemaoplysninger!$AL$37,"")</f>
        <v/>
      </c>
      <c r="CW14" s="382" t="str">
        <f>IF(AND(C14="Skema 4",B14="fr"),Skemaoplysninger!$AM$37,"")</f>
        <v/>
      </c>
      <c r="CX14" s="457">
        <f>IF(Stamoplysninger!$H$29="NEJ",SUM(CB14:CW14),0)</f>
        <v>0</v>
      </c>
      <c r="CY14" s="457">
        <f>IF(C14="Skema 1",Stamoplysninger!$H$30/200,0)</f>
        <v>0</v>
      </c>
      <c r="CZ14" s="457">
        <f>IF(C14="Skema 2",Stamoplysninger!$H$30/200,0)</f>
        <v>0</v>
      </c>
      <c r="DA14" s="457">
        <f>IF(C14="Skema 3",Stamoplysninger!$H$30/200,0)</f>
        <v>0</v>
      </c>
      <c r="DB14" s="457">
        <f>IF(C14="Skema 4",Stamoplysninger!$H$30/200,0)</f>
        <v>0</v>
      </c>
      <c r="DC14" s="457">
        <f>IF(C14="fagdag",Stamoplysninger!$H$30/200,0)</f>
        <v>0</v>
      </c>
      <c r="DD14" s="457">
        <f>IF(C14="emnedag",Stamoplysninger!$H$30/200,0)</f>
        <v>0</v>
      </c>
      <c r="DE14" s="457">
        <f>IF(C14="lejrskole",Stamoplysninger!$H$30/200,0)</f>
        <v>0</v>
      </c>
      <c r="DF14" s="457">
        <f>IF(C14="ekskursion",Stamoplysninger!$H$30/200,0)</f>
        <v>0</v>
      </c>
      <c r="DG14" s="457">
        <f t="shared" si="22"/>
        <v>0</v>
      </c>
    </row>
    <row r="15" spans="1:211" ht="16" customHeight="1">
      <c r="A15" s="443">
        <f t="shared" si="13"/>
        <v>7</v>
      </c>
      <c r="B15" s="218" t="str">
        <f t="shared" si="0"/>
        <v>ma</v>
      </c>
      <c r="C15" s="219" t="s">
        <v>241</v>
      </c>
      <c r="D15" s="220">
        <f t="shared" si="1"/>
        <v>45.285714285714285</v>
      </c>
      <c r="E15" s="906"/>
      <c r="F15" s="907"/>
      <c r="G15" s="908"/>
      <c r="H15" s="526"/>
      <c r="I15" s="855"/>
      <c r="J15" s="726"/>
      <c r="K15" s="669"/>
      <c r="L15" s="669"/>
      <c r="M15" s="669"/>
      <c r="N15" s="557">
        <f t="shared" si="14"/>
        <v>8</v>
      </c>
      <c r="O15" s="557">
        <f t="shared" si="15"/>
        <v>3.75</v>
      </c>
      <c r="P15" s="557">
        <f>IF(Stamoplysninger!$H$29="JA",November!DG15,CX15)</f>
        <v>0.91666666666666674</v>
      </c>
      <c r="Q15" s="557">
        <f t="shared" si="16"/>
        <v>3.333333333333333</v>
      </c>
      <c r="R15" s="558"/>
      <c r="S15" s="564"/>
      <c r="T15" s="565"/>
      <c r="U15" s="565"/>
      <c r="V15" s="753"/>
      <c r="W15" s="559"/>
      <c r="X15" s="760"/>
      <c r="Y15">
        <f t="shared" si="17"/>
        <v>0</v>
      </c>
      <c r="Z15" s="759">
        <f t="shared" si="18"/>
        <v>0</v>
      </c>
      <c r="AA15" s="1">
        <f t="shared" si="2"/>
        <v>0</v>
      </c>
      <c r="AB15" s="1">
        <f t="shared" si="3"/>
        <v>0</v>
      </c>
      <c r="AC15" s="1">
        <f t="shared" si="4"/>
        <v>0</v>
      </c>
      <c r="AD15" s="1">
        <f t="shared" si="5"/>
        <v>0</v>
      </c>
      <c r="AE15" s="1">
        <f t="shared" si="6"/>
        <v>0</v>
      </c>
      <c r="AF15" s="1">
        <f>IF(C15="Orlov",7.4*Stamoplysninger!$E$15,0)</f>
        <v>0</v>
      </c>
      <c r="AG15" s="383">
        <f>IF(AND(C15="Skema 1",B15="ma"),Arbejdstidsoversigt!$E$44,"")</f>
        <v>8</v>
      </c>
      <c r="AH15" s="383" t="str">
        <f>IF(AND(C15="Skema 1",B15="ti"),Arbejdstidsoversigt!$E$45,"")</f>
        <v/>
      </c>
      <c r="AI15" s="383" t="str">
        <f>IF(AND(C15="Skema 1",B15="on"),Arbejdstidsoversigt!$E$46,"")</f>
        <v/>
      </c>
      <c r="AJ15" s="383" t="str">
        <f>IF(AND(C15="Skema 1",B15="to"),Arbejdstidsoversigt!$E$47,"")</f>
        <v/>
      </c>
      <c r="AK15" s="383" t="str">
        <f>IF(AND(C15="Skema 1",B15="fr"),Arbejdstidsoversigt!$E$48,"")</f>
        <v/>
      </c>
      <c r="AL15" s="383" t="str">
        <f>IF(AND(C15="Skema 2",B15="ma"),Arbejdstidsoversigt!$E$53,"")</f>
        <v/>
      </c>
      <c r="AM15" s="383" t="str">
        <f>IF(AND(C15="Skema 2",B15="ti"),Arbejdstidsoversigt!$E$54,"")</f>
        <v/>
      </c>
      <c r="AN15" s="383" t="str">
        <f>IF(AND(C15="Skema 2",B15="on"),Arbejdstidsoversigt!$E$55,"")</f>
        <v/>
      </c>
      <c r="AO15" s="383" t="str">
        <f>IF(AND(C15="Skema 2",B15="to"),Arbejdstidsoversigt!$E$56,"")</f>
        <v/>
      </c>
      <c r="AP15" s="383" t="str">
        <f>IF(AND(C15="Skema 2",B15="fr"),Arbejdstidsoversigt!$E$57,"")</f>
        <v/>
      </c>
      <c r="AQ15" s="383" t="str">
        <f>IF(AND(C15="Skema 3",B15="ma"),Arbejdstidsoversigt!$E$62,"")</f>
        <v/>
      </c>
      <c r="AR15" s="383" t="str">
        <f>IF(AND(C15="Skema 3",B15="ti"),Arbejdstidsoversigt!$E$63,"")</f>
        <v/>
      </c>
      <c r="AS15" s="383" t="str">
        <f>IF(AND(C15="Skema 3",B15="on"),Arbejdstidsoversigt!$E$64,"")</f>
        <v/>
      </c>
      <c r="AT15" s="383" t="str">
        <f>IF(AND(C15="Skema 3",B15="to"),Arbejdstidsoversigt!$E$65,"")</f>
        <v/>
      </c>
      <c r="AU15" s="383" t="str">
        <f>IF(AND(C15="Skema 3",B15="fr"),Arbejdstidsoversigt!$E$66,"")</f>
        <v/>
      </c>
      <c r="AV15" s="383" t="str">
        <f>IF(AND(C15="Skema 4",B15="ma"),Arbejdstidsoversigt!$E$71,"")</f>
        <v/>
      </c>
      <c r="AW15" s="383" t="str">
        <f>IF(AND(C15="Skema 4",B15="ti"),Arbejdstidsoversigt!$E$72,"")</f>
        <v/>
      </c>
      <c r="AX15" s="383" t="str">
        <f>IF(AND(C15="Skema 4",B15="on"),Arbejdstidsoversigt!$E$73,"")</f>
        <v/>
      </c>
      <c r="AY15" s="383" t="str">
        <f>IF(AND(C15="Skema 4",B15="to"),Arbejdstidsoversigt!$E$74,"")</f>
        <v/>
      </c>
      <c r="AZ15" s="383" t="str">
        <f>IF(AND(C15="Skema 4",B15="fr"),Arbejdstidsoversigt!$E$75,"")</f>
        <v/>
      </c>
      <c r="BA15" s="1">
        <f t="shared" si="19"/>
        <v>8</v>
      </c>
      <c r="BB15" s="421">
        <f t="shared" si="7"/>
        <v>192</v>
      </c>
      <c r="BC15" s="1">
        <f t="shared" si="20"/>
        <v>0</v>
      </c>
      <c r="BD15" s="1">
        <f t="shared" si="8"/>
        <v>0</v>
      </c>
      <c r="BE15" s="1">
        <f t="shared" si="9"/>
        <v>0</v>
      </c>
      <c r="BF15" s="1">
        <f t="shared" si="10"/>
        <v>0</v>
      </c>
      <c r="BG15" s="382">
        <f>IF(AND(C15="Skema 1",B15="ma"),Skemaoplysninger!$E$28,"")</f>
        <v>0.15625</v>
      </c>
      <c r="BH15" s="382" t="str">
        <f>IF(AND(C15="Skema 1",B15="ti"),Skemaoplysninger!$F$28,"")</f>
        <v/>
      </c>
      <c r="BI15" s="382" t="str">
        <f>IF(AND(C15="Skema 1",B15="on"),Skemaoplysninger!$G$28,"")</f>
        <v/>
      </c>
      <c r="BJ15" s="382" t="str">
        <f>IF(AND(C15="Skema 1",B15="to"),Skemaoplysninger!$H$28,"")</f>
        <v/>
      </c>
      <c r="BK15" s="382" t="str">
        <f>IF(AND(C15="Skema 1",B15="fr"),Skemaoplysninger!$I$28,"")</f>
        <v/>
      </c>
      <c r="BL15" s="382" t="str">
        <f>IF(AND(C15="Skema 2",B15="ma"),Skemaoplysninger!$O$28,"")</f>
        <v/>
      </c>
      <c r="BM15" s="382" t="str">
        <f>IF(AND(C15="Skema 2",B15="ti"),Skemaoplysninger!$P$28,"")</f>
        <v/>
      </c>
      <c r="BN15" s="382" t="str">
        <f>IF(AND(C15="Skema 2",B15="on"),Skemaoplysninger!$Q$28,"")</f>
        <v/>
      </c>
      <c r="BO15" s="382" t="str">
        <f>IF(AND(C15="Skema 2",B15="to"),Skemaoplysninger!$R$28,"")</f>
        <v/>
      </c>
      <c r="BP15" s="382" t="str">
        <f>IF(AND(C15="Skema 2",B15="fr"),Skemaoplysninger!$S$28,"")</f>
        <v/>
      </c>
      <c r="BQ15" s="382" t="str">
        <f>IF(AND(C15="Skema 3",B15="ma"),Skemaoplysninger!$Y$28,"")</f>
        <v/>
      </c>
      <c r="BR15" s="382" t="str">
        <f>IF(AND(C15="Skema 3",B15="ti"),Skemaoplysninger!$Z$28,"")</f>
        <v/>
      </c>
      <c r="BS15" s="382" t="str">
        <f>IF(AND(C15="Skema 3",B15="on"),Skemaoplysninger!$AA$28,"")</f>
        <v/>
      </c>
      <c r="BT15" s="382" t="str">
        <f>IF(AND(C15="Skema 3",B15="to"),Skemaoplysninger!$AB$28,"")</f>
        <v/>
      </c>
      <c r="BU15" s="382" t="str">
        <f>IF(AND(C15="Skema 3",B15="fr"),Skemaoplysninger!$AC$28,"")</f>
        <v/>
      </c>
      <c r="BV15" s="382" t="str">
        <f>IF(AND(C15="Skema 4",B15="ma"),Skemaoplysninger!$AI$28,"")</f>
        <v/>
      </c>
      <c r="BW15" s="382" t="str">
        <f>IF(AND(C15="Skema 4",B15="ti"),Skemaoplysninger!$AJ$28,"")</f>
        <v/>
      </c>
      <c r="BX15" s="382" t="str">
        <f>IF(AND(C15="Skema 4",B15="on"),Skemaoplysninger!$AK$28,"")</f>
        <v/>
      </c>
      <c r="BY15" s="382" t="str">
        <f>IF(AND(C15="Skema 4",B15="to"),Skemaoplysninger!$AL$28,"")</f>
        <v/>
      </c>
      <c r="BZ15" s="382" t="str">
        <f>IF(AND(C15="Skema 4",B15="fr"),Skemaoplysninger!$AM$28,"")</f>
        <v/>
      </c>
      <c r="CA15" s="1">
        <f t="shared" si="21"/>
        <v>3.75</v>
      </c>
      <c r="CB15" s="1">
        <f t="shared" si="11"/>
        <v>0</v>
      </c>
      <c r="CC15" s="1">
        <f t="shared" si="12"/>
        <v>0</v>
      </c>
      <c r="CD15" s="382">
        <f>IF(AND(C15="Skema 1",B15="ma"),Skemaoplysninger!$E$37,"")</f>
        <v>0.91666666666666674</v>
      </c>
      <c r="CE15" s="382" t="str">
        <f>IF(AND(C15="Skema 1",B15="ti"),Skemaoplysninger!$F$37,"")</f>
        <v/>
      </c>
      <c r="CF15" s="382" t="str">
        <f>IF(AND(C15="Skema 1",B15="on"),Skemaoplysninger!$G$37,"")</f>
        <v/>
      </c>
      <c r="CG15" s="382" t="str">
        <f>IF(AND(C15="Skema 1",B15="to"),Skemaoplysninger!$H$37,"")</f>
        <v/>
      </c>
      <c r="CH15" s="382" t="str">
        <f>IF(AND(C15="Skema 1",B15="fr"),Skemaoplysninger!$I$37,"")</f>
        <v/>
      </c>
      <c r="CI15" s="382" t="str">
        <f>IF(AND(C15="Skema 2",B15="ma"),Skemaoplysninger!$O$37,"")</f>
        <v/>
      </c>
      <c r="CJ15" s="382" t="str">
        <f>IF(AND(C15="Skema 2",B15="ti"),Skemaoplysninger!$P$37,"")</f>
        <v/>
      </c>
      <c r="CK15" s="382" t="str">
        <f>IF(AND(C15="Skema 2",B15="on"),Skemaoplysninger!$Q$37,"")</f>
        <v/>
      </c>
      <c r="CL15" s="382" t="str">
        <f>IF(AND(C15="Skema 2",B15="to"),Skemaoplysninger!$R$37,"")</f>
        <v/>
      </c>
      <c r="CM15" s="382" t="str">
        <f>IF(AND(C15="Skema 2",B15="fr"),Skemaoplysninger!$S$37,"")</f>
        <v/>
      </c>
      <c r="CN15" s="382" t="str">
        <f>IF(AND(C15="Skema 3",B15="ma"),Skemaoplysninger!$Y$37,"")</f>
        <v/>
      </c>
      <c r="CO15" s="382" t="str">
        <f>IF(AND(C15="Skema 3",B15="ti"),Skemaoplysninger!$Z$37,"")</f>
        <v/>
      </c>
      <c r="CP15" s="382" t="str">
        <f>IF(AND(C15="Skema 3",B15="on"),Skemaoplysninger!$AA$37,"")</f>
        <v/>
      </c>
      <c r="CQ15" s="382" t="str">
        <f>IF(AND(C15="Skema 3",B15="to"),Skemaoplysninger!$AB$37,"")</f>
        <v/>
      </c>
      <c r="CR15" s="382" t="str">
        <f>IF(AND(C15="Skema 3",B15="fr"),Skemaoplysninger!$AC$37,"")</f>
        <v/>
      </c>
      <c r="CS15" s="382" t="str">
        <f>IF(AND(C15="Skema 4",B15="ma"),Skemaoplysninger!$AI$37,"")</f>
        <v/>
      </c>
      <c r="CT15" s="382" t="str">
        <f>IF(AND(C15="Skema 4",B15="ti"),Skemaoplysninger!$AJ$37,"")</f>
        <v/>
      </c>
      <c r="CU15" s="382" t="str">
        <f>IF(AND(C15="Skema 4",B15="on"),Skemaoplysninger!$AK$37,"")</f>
        <v/>
      </c>
      <c r="CV15" s="382" t="str">
        <f>IF(AND(C15="Skema 4",B15="to"),Skemaoplysninger!$AL$37,"")</f>
        <v/>
      </c>
      <c r="CW15" s="382" t="str">
        <f>IF(AND(C15="Skema 4",B15="fr"),Skemaoplysninger!$AM$37,"")</f>
        <v/>
      </c>
      <c r="CX15" s="457">
        <f>IF(Stamoplysninger!$H$29="NEJ",SUM(CB15:CW15),0)</f>
        <v>0.91666666666666674</v>
      </c>
      <c r="CY15" s="457">
        <f>IF(C15="Skema 1",Stamoplysninger!$H$30/200,0)</f>
        <v>1</v>
      </c>
      <c r="CZ15" s="457">
        <f>IF(C15="Skema 2",Stamoplysninger!$H$30/200,0)</f>
        <v>0</v>
      </c>
      <c r="DA15" s="457">
        <f>IF(C15="Skema 3",Stamoplysninger!$H$30/200,0)</f>
        <v>0</v>
      </c>
      <c r="DB15" s="457">
        <f>IF(C15="Skema 4",Stamoplysninger!$H$30/200,0)</f>
        <v>0</v>
      </c>
      <c r="DC15" s="457">
        <f>IF(C15="fagdag",Stamoplysninger!$H$30/200,0)</f>
        <v>0</v>
      </c>
      <c r="DD15" s="457">
        <f>IF(C15="emnedag",Stamoplysninger!$H$30/200,0)</f>
        <v>0</v>
      </c>
      <c r="DE15" s="457">
        <f>IF(C15="lejrskole",Stamoplysninger!$H$30/200,0)</f>
        <v>0</v>
      </c>
      <c r="DF15" s="457">
        <f>IF(C15="ekskursion",Stamoplysninger!$H$30/200,0)</f>
        <v>0</v>
      </c>
      <c r="DG15" s="457">
        <f t="shared" si="22"/>
        <v>1</v>
      </c>
    </row>
    <row r="16" spans="1:211">
      <c r="A16" s="443">
        <f t="shared" si="13"/>
        <v>8</v>
      </c>
      <c r="B16" s="218" t="str">
        <f t="shared" si="0"/>
        <v>ti</v>
      </c>
      <c r="C16" s="219" t="s">
        <v>241</v>
      </c>
      <c r="D16" s="220" t="str">
        <f t="shared" si="1"/>
        <v/>
      </c>
      <c r="E16" s="906"/>
      <c r="F16" s="907"/>
      <c r="G16" s="908"/>
      <c r="H16" s="526"/>
      <c r="I16" s="855"/>
      <c r="J16" s="726"/>
      <c r="K16" s="669"/>
      <c r="L16" s="669"/>
      <c r="M16" s="669"/>
      <c r="N16" s="557">
        <f t="shared" si="14"/>
        <v>8</v>
      </c>
      <c r="O16" s="557">
        <f t="shared" si="15"/>
        <v>5.25</v>
      </c>
      <c r="P16" s="557">
        <f>IF(Stamoplysninger!$H$29="JA",November!DG16,CX16)</f>
        <v>1.0833333333333335</v>
      </c>
      <c r="Q16" s="557">
        <f t="shared" si="16"/>
        <v>1.6666666666666665</v>
      </c>
      <c r="R16" s="558"/>
      <c r="S16" s="564"/>
      <c r="T16" s="565"/>
      <c r="U16" s="565"/>
      <c r="V16" s="753"/>
      <c r="W16" s="559"/>
      <c r="X16" s="760"/>
      <c r="Y16">
        <f t="shared" si="17"/>
        <v>0</v>
      </c>
      <c r="Z16" s="759">
        <f t="shared" si="18"/>
        <v>0</v>
      </c>
      <c r="AA16" s="1">
        <f t="shared" si="2"/>
        <v>0</v>
      </c>
      <c r="AB16" s="1">
        <f t="shared" si="3"/>
        <v>0</v>
      </c>
      <c r="AC16" s="1">
        <f t="shared" si="4"/>
        <v>0</v>
      </c>
      <c r="AD16" s="1">
        <f t="shared" si="5"/>
        <v>0</v>
      </c>
      <c r="AE16" s="1">
        <f t="shared" si="6"/>
        <v>0</v>
      </c>
      <c r="AF16" s="1">
        <f>IF(C16="Orlov",7.4*Stamoplysninger!$E$15,0)</f>
        <v>0</v>
      </c>
      <c r="AG16" s="383" t="str">
        <f>IF(AND(C16="Skema 1",B16="ma"),Arbejdstidsoversigt!$E$44,"")</f>
        <v/>
      </c>
      <c r="AH16" s="383">
        <f>IF(AND(C16="Skema 1",B16="ti"),Arbejdstidsoversigt!$E$45,"")</f>
        <v>8</v>
      </c>
      <c r="AI16" s="383" t="str">
        <f>IF(AND(C16="Skema 1",B16="on"),Arbejdstidsoversigt!$E$46,"")</f>
        <v/>
      </c>
      <c r="AJ16" s="383" t="str">
        <f>IF(AND(C16="Skema 1",B16="to"),Arbejdstidsoversigt!$E$47,"")</f>
        <v/>
      </c>
      <c r="AK16" s="383" t="str">
        <f>IF(AND(C16="Skema 1",B16="fr"),Arbejdstidsoversigt!$E$48,"")</f>
        <v/>
      </c>
      <c r="AL16" s="383" t="str">
        <f>IF(AND(C16="Skema 2",B16="ma"),Arbejdstidsoversigt!$E$53,"")</f>
        <v/>
      </c>
      <c r="AM16" s="383" t="str">
        <f>IF(AND(C16="Skema 2",B16="ti"),Arbejdstidsoversigt!$E$54,"")</f>
        <v/>
      </c>
      <c r="AN16" s="383" t="str">
        <f>IF(AND(C16="Skema 2",B16="on"),Arbejdstidsoversigt!$E$55,"")</f>
        <v/>
      </c>
      <c r="AO16" s="383" t="str">
        <f>IF(AND(C16="Skema 2",B16="to"),Arbejdstidsoversigt!$E$56,"")</f>
        <v/>
      </c>
      <c r="AP16" s="383" t="str">
        <f>IF(AND(C16="Skema 2",B16="fr"),Arbejdstidsoversigt!$E$57,"")</f>
        <v/>
      </c>
      <c r="AQ16" s="383" t="str">
        <f>IF(AND(C16="Skema 3",B16="ma"),Arbejdstidsoversigt!$E$62,"")</f>
        <v/>
      </c>
      <c r="AR16" s="383" t="str">
        <f>IF(AND(C16="Skema 3",B16="ti"),Arbejdstidsoversigt!$E$63,"")</f>
        <v/>
      </c>
      <c r="AS16" s="383" t="str">
        <f>IF(AND(C16="Skema 3",B16="on"),Arbejdstidsoversigt!$E$64,"")</f>
        <v/>
      </c>
      <c r="AT16" s="383" t="str">
        <f>IF(AND(C16="Skema 3",B16="to"),Arbejdstidsoversigt!$E$65,"")</f>
        <v/>
      </c>
      <c r="AU16" s="383" t="str">
        <f>IF(AND(C16="Skema 3",B16="fr"),Arbejdstidsoversigt!$E$66,"")</f>
        <v/>
      </c>
      <c r="AV16" s="383" t="str">
        <f>IF(AND(C16="Skema 4",B16="ma"),Arbejdstidsoversigt!$E$71,"")</f>
        <v/>
      </c>
      <c r="AW16" s="383" t="str">
        <f>IF(AND(C16="Skema 4",B16="ti"),Arbejdstidsoversigt!$E$72,"")</f>
        <v/>
      </c>
      <c r="AX16" s="383" t="str">
        <f>IF(AND(C16="Skema 4",B16="on"),Arbejdstidsoversigt!$E$73,"")</f>
        <v/>
      </c>
      <c r="AY16" s="383" t="str">
        <f>IF(AND(C16="Skema 4",B16="to"),Arbejdstidsoversigt!$E$74,"")</f>
        <v/>
      </c>
      <c r="AZ16" s="383" t="str">
        <f>IF(AND(C16="Skema 4",B16="fr"),Arbejdstidsoversigt!$E$75,"")</f>
        <v/>
      </c>
      <c r="BA16" s="1">
        <f t="shared" si="19"/>
        <v>8</v>
      </c>
      <c r="BB16" s="421">
        <f t="shared" si="7"/>
        <v>192</v>
      </c>
      <c r="BC16" s="1">
        <f t="shared" si="20"/>
        <v>0</v>
      </c>
      <c r="BD16" s="1">
        <f t="shared" si="8"/>
        <v>0</v>
      </c>
      <c r="BE16" s="1">
        <f t="shared" si="9"/>
        <v>0</v>
      </c>
      <c r="BF16" s="1">
        <f t="shared" si="10"/>
        <v>0</v>
      </c>
      <c r="BG16" s="382" t="str">
        <f>IF(AND(C16="Skema 1",B16="ma"),Skemaoplysninger!$E$28,"")</f>
        <v/>
      </c>
      <c r="BH16" s="382">
        <f>IF(AND(C16="Skema 1",B16="ti"),Skemaoplysninger!$F$28,"")</f>
        <v>0.21875</v>
      </c>
      <c r="BI16" s="382" t="str">
        <f>IF(AND(C16="Skema 1",B16="on"),Skemaoplysninger!$G$28,"")</f>
        <v/>
      </c>
      <c r="BJ16" s="382" t="str">
        <f>IF(AND(C16="Skema 1",B16="to"),Skemaoplysninger!$H$28,"")</f>
        <v/>
      </c>
      <c r="BK16" s="382" t="str">
        <f>IF(AND(C16="Skema 1",B16="fr"),Skemaoplysninger!$I$28,"")</f>
        <v/>
      </c>
      <c r="BL16" s="382" t="str">
        <f>IF(AND(C16="Skema 2",B16="ma"),Skemaoplysninger!$O$28,"")</f>
        <v/>
      </c>
      <c r="BM16" s="382" t="str">
        <f>IF(AND(C16="Skema 2",B16="ti"),Skemaoplysninger!$P$28,"")</f>
        <v/>
      </c>
      <c r="BN16" s="382" t="str">
        <f>IF(AND(C16="Skema 2",B16="on"),Skemaoplysninger!$Q$28,"")</f>
        <v/>
      </c>
      <c r="BO16" s="382" t="str">
        <f>IF(AND(C16="Skema 2",B16="to"),Skemaoplysninger!$R$28,"")</f>
        <v/>
      </c>
      <c r="BP16" s="382" t="str">
        <f>IF(AND(C16="Skema 2",B16="fr"),Skemaoplysninger!$S$28,"")</f>
        <v/>
      </c>
      <c r="BQ16" s="382" t="str">
        <f>IF(AND(C16="Skema 3",B16="ma"),Skemaoplysninger!$Y$28,"")</f>
        <v/>
      </c>
      <c r="BR16" s="382" t="str">
        <f>IF(AND(C16="Skema 3",B16="ti"),Skemaoplysninger!$Z$28,"")</f>
        <v/>
      </c>
      <c r="BS16" s="382" t="str">
        <f>IF(AND(C16="Skema 3",B16="on"),Skemaoplysninger!$AA$28,"")</f>
        <v/>
      </c>
      <c r="BT16" s="382" t="str">
        <f>IF(AND(C16="Skema 3",B16="to"),Skemaoplysninger!$AB$28,"")</f>
        <v/>
      </c>
      <c r="BU16" s="382" t="str">
        <f>IF(AND(C16="Skema 3",B16="fr"),Skemaoplysninger!$AC$28,"")</f>
        <v/>
      </c>
      <c r="BV16" s="382" t="str">
        <f>IF(AND(C16="Skema 4",B16="ma"),Skemaoplysninger!$AI$28,"")</f>
        <v/>
      </c>
      <c r="BW16" s="382" t="str">
        <f>IF(AND(C16="Skema 4",B16="ti"),Skemaoplysninger!$AJ$28,"")</f>
        <v/>
      </c>
      <c r="BX16" s="382" t="str">
        <f>IF(AND(C16="Skema 4",B16="on"),Skemaoplysninger!$AK$28,"")</f>
        <v/>
      </c>
      <c r="BY16" s="382" t="str">
        <f>IF(AND(C16="Skema 4",B16="to"),Skemaoplysninger!$AL$28,"")</f>
        <v/>
      </c>
      <c r="BZ16" s="382" t="str">
        <f>IF(AND(C16="Skema 4",B16="fr"),Skemaoplysninger!$AM$28,"")</f>
        <v/>
      </c>
      <c r="CA16" s="1">
        <f t="shared" si="21"/>
        <v>5.25</v>
      </c>
      <c r="CB16" s="1">
        <f t="shared" si="11"/>
        <v>0</v>
      </c>
      <c r="CC16" s="1">
        <f t="shared" si="12"/>
        <v>0</v>
      </c>
      <c r="CD16" s="382" t="str">
        <f>IF(AND(C16="Skema 1",B16="ma"),Skemaoplysninger!$E$37,"")</f>
        <v/>
      </c>
      <c r="CE16" s="382">
        <f>IF(AND(C16="Skema 1",B16="ti"),Skemaoplysninger!$F$37,"")</f>
        <v>1.0833333333333335</v>
      </c>
      <c r="CF16" s="382" t="str">
        <f>IF(AND(C16="Skema 1",B16="on"),Skemaoplysninger!$G$37,"")</f>
        <v/>
      </c>
      <c r="CG16" s="382" t="str">
        <f>IF(AND(C16="Skema 1",B16="to"),Skemaoplysninger!$H$37,"")</f>
        <v/>
      </c>
      <c r="CH16" s="382" t="str">
        <f>IF(AND(C16="Skema 1",B16="fr"),Skemaoplysninger!$I$37,"")</f>
        <v/>
      </c>
      <c r="CI16" s="382" t="str">
        <f>IF(AND(C16="Skema 2",B16="ma"),Skemaoplysninger!$O$37,"")</f>
        <v/>
      </c>
      <c r="CJ16" s="382" t="str">
        <f>IF(AND(C16="Skema 2",B16="ti"),Skemaoplysninger!$P$37,"")</f>
        <v/>
      </c>
      <c r="CK16" s="382" t="str">
        <f>IF(AND(C16="Skema 2",B16="on"),Skemaoplysninger!$Q$37,"")</f>
        <v/>
      </c>
      <c r="CL16" s="382" t="str">
        <f>IF(AND(C16="Skema 2",B16="to"),Skemaoplysninger!$R$37,"")</f>
        <v/>
      </c>
      <c r="CM16" s="382" t="str">
        <f>IF(AND(C16="Skema 2",B16="fr"),Skemaoplysninger!$S$37,"")</f>
        <v/>
      </c>
      <c r="CN16" s="382" t="str">
        <f>IF(AND(C16="Skema 3",B16="ma"),Skemaoplysninger!$Y$37,"")</f>
        <v/>
      </c>
      <c r="CO16" s="382" t="str">
        <f>IF(AND(C16="Skema 3",B16="ti"),Skemaoplysninger!$Z$37,"")</f>
        <v/>
      </c>
      <c r="CP16" s="382" t="str">
        <f>IF(AND(C16="Skema 3",B16="on"),Skemaoplysninger!$AA$37,"")</f>
        <v/>
      </c>
      <c r="CQ16" s="382" t="str">
        <f>IF(AND(C16="Skema 3",B16="to"),Skemaoplysninger!$AB$37,"")</f>
        <v/>
      </c>
      <c r="CR16" s="382" t="str">
        <f>IF(AND(C16="Skema 3",B16="fr"),Skemaoplysninger!$AC$37,"")</f>
        <v/>
      </c>
      <c r="CS16" s="382" t="str">
        <f>IF(AND(C16="Skema 4",B16="ma"),Skemaoplysninger!$AI$37,"")</f>
        <v/>
      </c>
      <c r="CT16" s="382" t="str">
        <f>IF(AND(C16="Skema 4",B16="ti"),Skemaoplysninger!$AJ$37,"")</f>
        <v/>
      </c>
      <c r="CU16" s="382" t="str">
        <f>IF(AND(C16="Skema 4",B16="on"),Skemaoplysninger!$AK$37,"")</f>
        <v/>
      </c>
      <c r="CV16" s="382" t="str">
        <f>IF(AND(C16="Skema 4",B16="to"),Skemaoplysninger!$AL$37,"")</f>
        <v/>
      </c>
      <c r="CW16" s="382" t="str">
        <f>IF(AND(C16="Skema 4",B16="fr"),Skemaoplysninger!$AM$37,"")</f>
        <v/>
      </c>
      <c r="CX16" s="457">
        <f>IF(Stamoplysninger!$H$29="NEJ",SUM(CB16:CW16),0)</f>
        <v>1.0833333333333335</v>
      </c>
      <c r="CY16" s="457">
        <f>IF(C16="Skema 1",Stamoplysninger!$H$30/200,0)</f>
        <v>1</v>
      </c>
      <c r="CZ16" s="457">
        <f>IF(C16="Skema 2",Stamoplysninger!$H$30/200,0)</f>
        <v>0</v>
      </c>
      <c r="DA16" s="457">
        <f>IF(C16="Skema 3",Stamoplysninger!$H$30/200,0)</f>
        <v>0</v>
      </c>
      <c r="DB16" s="457">
        <f>IF(C16="Skema 4",Stamoplysninger!$H$30/200,0)</f>
        <v>0</v>
      </c>
      <c r="DC16" s="457">
        <f>IF(C16="fagdag",Stamoplysninger!$H$30/200,0)</f>
        <v>0</v>
      </c>
      <c r="DD16" s="457">
        <f>IF(C16="emnedag",Stamoplysninger!$H$30/200,0)</f>
        <v>0</v>
      </c>
      <c r="DE16" s="457">
        <f>IF(C16="lejrskole",Stamoplysninger!$H$30/200,0)</f>
        <v>0</v>
      </c>
      <c r="DF16" s="457">
        <f>IF(C16="ekskursion",Stamoplysninger!$H$30/200,0)</f>
        <v>0</v>
      </c>
      <c r="DG16" s="457">
        <f t="shared" si="22"/>
        <v>1</v>
      </c>
    </row>
    <row r="17" spans="1:111">
      <c r="A17" s="443">
        <f t="shared" si="13"/>
        <v>9</v>
      </c>
      <c r="B17" s="218" t="str">
        <f t="shared" si="0"/>
        <v>on</v>
      </c>
      <c r="C17" s="219" t="s">
        <v>241</v>
      </c>
      <c r="D17" s="220" t="str">
        <f t="shared" si="1"/>
        <v/>
      </c>
      <c r="E17" s="906"/>
      <c r="F17" s="907"/>
      <c r="G17" s="908"/>
      <c r="H17" s="526"/>
      <c r="I17" s="855"/>
      <c r="J17" s="726"/>
      <c r="K17" s="669"/>
      <c r="L17" s="669"/>
      <c r="M17" s="669"/>
      <c r="N17" s="557">
        <f t="shared" si="14"/>
        <v>8</v>
      </c>
      <c r="O17" s="557">
        <f t="shared" si="15"/>
        <v>3.75</v>
      </c>
      <c r="P17" s="557">
        <f>IF(Stamoplysninger!$H$29="JA",November!DG17,CX17)</f>
        <v>0.91666666666666674</v>
      </c>
      <c r="Q17" s="557">
        <f t="shared" si="16"/>
        <v>3.333333333333333</v>
      </c>
      <c r="R17" s="558"/>
      <c r="S17" s="564"/>
      <c r="T17" s="565"/>
      <c r="U17" s="565"/>
      <c r="V17" s="753"/>
      <c r="W17" s="559"/>
      <c r="X17" s="760"/>
      <c r="Y17">
        <f t="shared" si="17"/>
        <v>0</v>
      </c>
      <c r="Z17" s="759">
        <f t="shared" si="18"/>
        <v>0</v>
      </c>
      <c r="AA17" s="1">
        <f t="shared" si="2"/>
        <v>0</v>
      </c>
      <c r="AB17" s="1">
        <f t="shared" si="3"/>
        <v>0</v>
      </c>
      <c r="AC17" s="1">
        <f t="shared" si="4"/>
        <v>0</v>
      </c>
      <c r="AD17" s="1">
        <f t="shared" si="5"/>
        <v>0</v>
      </c>
      <c r="AE17" s="1">
        <f t="shared" si="6"/>
        <v>0</v>
      </c>
      <c r="AF17" s="1">
        <f>IF(C17="Orlov",7.4*Stamoplysninger!$E$15,0)</f>
        <v>0</v>
      </c>
      <c r="AG17" s="383" t="str">
        <f>IF(AND(C17="Skema 1",B17="ma"),Arbejdstidsoversigt!$E$44,"")</f>
        <v/>
      </c>
      <c r="AH17" s="383" t="str">
        <f>IF(AND(C17="Skema 1",B17="ti"),Arbejdstidsoversigt!$E$45,"")</f>
        <v/>
      </c>
      <c r="AI17" s="383">
        <f>IF(AND(C17="Skema 1",B17="on"),Arbejdstidsoversigt!$E$46,"")</f>
        <v>8</v>
      </c>
      <c r="AJ17" s="383" t="str">
        <f>IF(AND(C17="Skema 1",B17="to"),Arbejdstidsoversigt!$E$47,"")</f>
        <v/>
      </c>
      <c r="AK17" s="383" t="str">
        <f>IF(AND(C17="Skema 1",B17="fr"),Arbejdstidsoversigt!$E$48,"")</f>
        <v/>
      </c>
      <c r="AL17" s="383" t="str">
        <f>IF(AND(C17="Skema 2",B17="ma"),Arbejdstidsoversigt!$E$53,"")</f>
        <v/>
      </c>
      <c r="AM17" s="383" t="str">
        <f>IF(AND(C17="Skema 2",B17="ti"),Arbejdstidsoversigt!$E$54,"")</f>
        <v/>
      </c>
      <c r="AN17" s="383" t="str">
        <f>IF(AND(C17="Skema 2",B17="on"),Arbejdstidsoversigt!$E$55,"")</f>
        <v/>
      </c>
      <c r="AO17" s="383" t="str">
        <f>IF(AND(C17="Skema 2",B17="to"),Arbejdstidsoversigt!$E$56,"")</f>
        <v/>
      </c>
      <c r="AP17" s="383" t="str">
        <f>IF(AND(C17="Skema 2",B17="fr"),Arbejdstidsoversigt!$E$57,"")</f>
        <v/>
      </c>
      <c r="AQ17" s="383" t="str">
        <f>IF(AND(C17="Skema 3",B17="ma"),Arbejdstidsoversigt!$E$62,"")</f>
        <v/>
      </c>
      <c r="AR17" s="383" t="str">
        <f>IF(AND(C17="Skema 3",B17="ti"),Arbejdstidsoversigt!$E$63,"")</f>
        <v/>
      </c>
      <c r="AS17" s="383" t="str">
        <f>IF(AND(C17="Skema 3",B17="on"),Arbejdstidsoversigt!$E$64,"")</f>
        <v/>
      </c>
      <c r="AT17" s="383" t="str">
        <f>IF(AND(C17="Skema 3",B17="to"),Arbejdstidsoversigt!$E$65,"")</f>
        <v/>
      </c>
      <c r="AU17" s="383" t="str">
        <f>IF(AND(C17="Skema 3",B17="fr"),Arbejdstidsoversigt!$E$66,"")</f>
        <v/>
      </c>
      <c r="AV17" s="383" t="str">
        <f>IF(AND(C17="Skema 4",B17="ma"),Arbejdstidsoversigt!$E$71,"")</f>
        <v/>
      </c>
      <c r="AW17" s="383" t="str">
        <f>IF(AND(C17="Skema 4",B17="ti"),Arbejdstidsoversigt!$E$72,"")</f>
        <v/>
      </c>
      <c r="AX17" s="383" t="str">
        <f>IF(AND(C17="Skema 4",B17="on"),Arbejdstidsoversigt!$E$73,"")</f>
        <v/>
      </c>
      <c r="AY17" s="383" t="str">
        <f>IF(AND(C17="Skema 4",B17="to"),Arbejdstidsoversigt!$E$74,"")</f>
        <v/>
      </c>
      <c r="AZ17" s="383" t="str">
        <f>IF(AND(C17="Skema 4",B17="fr"),Arbejdstidsoversigt!$E$75,"")</f>
        <v/>
      </c>
      <c r="BA17" s="1">
        <f t="shared" si="19"/>
        <v>8</v>
      </c>
      <c r="BB17" s="421">
        <f t="shared" si="7"/>
        <v>192</v>
      </c>
      <c r="BC17" s="1">
        <f t="shared" si="20"/>
        <v>0</v>
      </c>
      <c r="BD17" s="1">
        <f t="shared" si="8"/>
        <v>0</v>
      </c>
      <c r="BE17" s="1">
        <f t="shared" si="9"/>
        <v>0</v>
      </c>
      <c r="BF17" s="1">
        <f t="shared" si="10"/>
        <v>0</v>
      </c>
      <c r="BG17" s="382" t="str">
        <f>IF(AND(C17="Skema 1",B17="ma"),Skemaoplysninger!$E$28,"")</f>
        <v/>
      </c>
      <c r="BH17" s="382" t="str">
        <f>IF(AND(C17="Skema 1",B17="ti"),Skemaoplysninger!$F$28,"")</f>
        <v/>
      </c>
      <c r="BI17" s="382">
        <f>IF(AND(C17="Skema 1",B17="on"),Skemaoplysninger!$G$28,"")</f>
        <v>0.15625</v>
      </c>
      <c r="BJ17" s="382" t="str">
        <f>IF(AND(C17="Skema 1",B17="to"),Skemaoplysninger!$H$28,"")</f>
        <v/>
      </c>
      <c r="BK17" s="382" t="str">
        <f>IF(AND(C17="Skema 1",B17="fr"),Skemaoplysninger!$I$28,"")</f>
        <v/>
      </c>
      <c r="BL17" s="382" t="str">
        <f>IF(AND(C17="Skema 2",B17="ma"),Skemaoplysninger!$O$28,"")</f>
        <v/>
      </c>
      <c r="BM17" s="382" t="str">
        <f>IF(AND(C17="Skema 2",B17="ti"),Skemaoplysninger!$P$28,"")</f>
        <v/>
      </c>
      <c r="BN17" s="382" t="str">
        <f>IF(AND(C17="Skema 2",B17="on"),Skemaoplysninger!$Q$28,"")</f>
        <v/>
      </c>
      <c r="BO17" s="382" t="str">
        <f>IF(AND(C17="Skema 2",B17="to"),Skemaoplysninger!$R$28,"")</f>
        <v/>
      </c>
      <c r="BP17" s="382" t="str">
        <f>IF(AND(C17="Skema 2",B17="fr"),Skemaoplysninger!$S$28,"")</f>
        <v/>
      </c>
      <c r="BQ17" s="382" t="str">
        <f>IF(AND(C17="Skema 3",B17="ma"),Skemaoplysninger!$Y$28,"")</f>
        <v/>
      </c>
      <c r="BR17" s="382" t="str">
        <f>IF(AND(C17="Skema 3",B17="ti"),Skemaoplysninger!$Z$28,"")</f>
        <v/>
      </c>
      <c r="BS17" s="382" t="str">
        <f>IF(AND(C17="Skema 3",B17="on"),Skemaoplysninger!$AA$28,"")</f>
        <v/>
      </c>
      <c r="BT17" s="382" t="str">
        <f>IF(AND(C17="Skema 3",B17="to"),Skemaoplysninger!$AB$28,"")</f>
        <v/>
      </c>
      <c r="BU17" s="382" t="str">
        <f>IF(AND(C17="Skema 3",B17="fr"),Skemaoplysninger!$AC$28,"")</f>
        <v/>
      </c>
      <c r="BV17" s="382" t="str">
        <f>IF(AND(C17="Skema 4",B17="ma"),Skemaoplysninger!$AI$28,"")</f>
        <v/>
      </c>
      <c r="BW17" s="382" t="str">
        <f>IF(AND(C17="Skema 4",B17="ti"),Skemaoplysninger!$AJ$28,"")</f>
        <v/>
      </c>
      <c r="BX17" s="382" t="str">
        <f>IF(AND(C17="Skema 4",B17="on"),Skemaoplysninger!$AK$28,"")</f>
        <v/>
      </c>
      <c r="BY17" s="382" t="str">
        <f>IF(AND(C17="Skema 4",B17="to"),Skemaoplysninger!$AL$28,"")</f>
        <v/>
      </c>
      <c r="BZ17" s="382" t="str">
        <f>IF(AND(C17="Skema 4",B17="fr"),Skemaoplysninger!$AM$28,"")</f>
        <v/>
      </c>
      <c r="CA17" s="1">
        <f t="shared" si="21"/>
        <v>3.75</v>
      </c>
      <c r="CB17" s="1">
        <f t="shared" si="11"/>
        <v>0</v>
      </c>
      <c r="CC17" s="1">
        <f t="shared" si="12"/>
        <v>0</v>
      </c>
      <c r="CD17" s="382" t="str">
        <f>IF(AND(C17="Skema 1",B17="ma"),Skemaoplysninger!$E$37,"")</f>
        <v/>
      </c>
      <c r="CE17" s="382" t="str">
        <f>IF(AND(C17="Skema 1",B17="ti"),Skemaoplysninger!$F$37,"")</f>
        <v/>
      </c>
      <c r="CF17" s="382">
        <f>IF(AND(C17="Skema 1",B17="on"),Skemaoplysninger!$G$37,"")</f>
        <v>0.91666666666666674</v>
      </c>
      <c r="CG17" s="382" t="str">
        <f>IF(AND(C17="Skema 1",B17="to"),Skemaoplysninger!$H$37,"")</f>
        <v/>
      </c>
      <c r="CH17" s="382" t="str">
        <f>IF(AND(C17="Skema 1",B17="fr"),Skemaoplysninger!$I$37,"")</f>
        <v/>
      </c>
      <c r="CI17" s="382" t="str">
        <f>IF(AND(C17="Skema 2",B17="ma"),Skemaoplysninger!$O$37,"")</f>
        <v/>
      </c>
      <c r="CJ17" s="382" t="str">
        <f>IF(AND(C17="Skema 2",B17="ti"),Skemaoplysninger!$P$37,"")</f>
        <v/>
      </c>
      <c r="CK17" s="382" t="str">
        <f>IF(AND(C17="Skema 2",B17="on"),Skemaoplysninger!$Q$37,"")</f>
        <v/>
      </c>
      <c r="CL17" s="382" t="str">
        <f>IF(AND(C17="Skema 2",B17="to"),Skemaoplysninger!$R$37,"")</f>
        <v/>
      </c>
      <c r="CM17" s="382" t="str">
        <f>IF(AND(C17="Skema 2",B17="fr"),Skemaoplysninger!$S$37,"")</f>
        <v/>
      </c>
      <c r="CN17" s="382" t="str">
        <f>IF(AND(C17="Skema 3",B17="ma"),Skemaoplysninger!$Y$37,"")</f>
        <v/>
      </c>
      <c r="CO17" s="382" t="str">
        <f>IF(AND(C17="Skema 3",B17="ti"),Skemaoplysninger!$Z$37,"")</f>
        <v/>
      </c>
      <c r="CP17" s="382" t="str">
        <f>IF(AND(C17="Skema 3",B17="on"),Skemaoplysninger!$AA$37,"")</f>
        <v/>
      </c>
      <c r="CQ17" s="382" t="str">
        <f>IF(AND(C17="Skema 3",B17="to"),Skemaoplysninger!$AB$37,"")</f>
        <v/>
      </c>
      <c r="CR17" s="382" t="str">
        <f>IF(AND(C17="Skema 3",B17="fr"),Skemaoplysninger!$AC$37,"")</f>
        <v/>
      </c>
      <c r="CS17" s="382" t="str">
        <f>IF(AND(C17="Skema 4",B17="ma"),Skemaoplysninger!$AI$37,"")</f>
        <v/>
      </c>
      <c r="CT17" s="382" t="str">
        <f>IF(AND(C17="Skema 4",B17="ti"),Skemaoplysninger!$AJ$37,"")</f>
        <v/>
      </c>
      <c r="CU17" s="382" t="str">
        <f>IF(AND(C17="Skema 4",B17="on"),Skemaoplysninger!$AK$37,"")</f>
        <v/>
      </c>
      <c r="CV17" s="382" t="str">
        <f>IF(AND(C17="Skema 4",B17="to"),Skemaoplysninger!$AL$37,"")</f>
        <v/>
      </c>
      <c r="CW17" s="382" t="str">
        <f>IF(AND(C17="Skema 4",B17="fr"),Skemaoplysninger!$AM$37,"")</f>
        <v/>
      </c>
      <c r="CX17" s="457">
        <f>IF(Stamoplysninger!$H$29="NEJ",SUM(CB17:CW17),0)</f>
        <v>0.91666666666666674</v>
      </c>
      <c r="CY17" s="457">
        <f>IF(C17="Skema 1",Stamoplysninger!$H$30/200,0)</f>
        <v>1</v>
      </c>
      <c r="CZ17" s="457">
        <f>IF(C17="Skema 2",Stamoplysninger!$H$30/200,0)</f>
        <v>0</v>
      </c>
      <c r="DA17" s="457">
        <f>IF(C17="Skema 3",Stamoplysninger!$H$30/200,0)</f>
        <v>0</v>
      </c>
      <c r="DB17" s="457">
        <f>IF(C17="Skema 4",Stamoplysninger!$H$30/200,0)</f>
        <v>0</v>
      </c>
      <c r="DC17" s="457">
        <f>IF(C17="fagdag",Stamoplysninger!$H$30/200,0)</f>
        <v>0</v>
      </c>
      <c r="DD17" s="457">
        <f>IF(C17="emnedag",Stamoplysninger!$H$30/200,0)</f>
        <v>0</v>
      </c>
      <c r="DE17" s="457">
        <f>IF(C17="lejrskole",Stamoplysninger!$H$30/200,0)</f>
        <v>0</v>
      </c>
      <c r="DF17" s="457">
        <f>IF(C17="ekskursion",Stamoplysninger!$H$30/200,0)</f>
        <v>0</v>
      </c>
      <c r="DG17" s="457">
        <f t="shared" si="22"/>
        <v>1</v>
      </c>
    </row>
    <row r="18" spans="1:111">
      <c r="A18" s="443">
        <f t="shared" si="13"/>
        <v>10</v>
      </c>
      <c r="B18" s="218" t="str">
        <f t="shared" si="0"/>
        <v>to</v>
      </c>
      <c r="C18" s="219" t="s">
        <v>241</v>
      </c>
      <c r="D18" s="220" t="str">
        <f t="shared" si="1"/>
        <v/>
      </c>
      <c r="E18" s="906"/>
      <c r="F18" s="907"/>
      <c r="G18" s="908"/>
      <c r="H18" s="526"/>
      <c r="I18" s="855"/>
      <c r="J18" s="726"/>
      <c r="K18" s="669"/>
      <c r="L18" s="669"/>
      <c r="M18" s="669"/>
      <c r="N18" s="557">
        <f t="shared" si="14"/>
        <v>8</v>
      </c>
      <c r="O18" s="557">
        <f t="shared" si="15"/>
        <v>3.75</v>
      </c>
      <c r="P18" s="557">
        <f>IF(Stamoplysninger!$H$29="JA",November!DG18,CX18)</f>
        <v>0.91666666666666674</v>
      </c>
      <c r="Q18" s="557">
        <f t="shared" si="16"/>
        <v>3.333333333333333</v>
      </c>
      <c r="R18" s="558"/>
      <c r="S18" s="564"/>
      <c r="T18" s="565"/>
      <c r="U18" s="565"/>
      <c r="V18" s="753"/>
      <c r="W18" s="559"/>
      <c r="X18" s="760"/>
      <c r="Y18">
        <f t="shared" si="17"/>
        <v>0</v>
      </c>
      <c r="Z18" s="759">
        <f t="shared" si="18"/>
        <v>0</v>
      </c>
      <c r="AA18" s="1">
        <f t="shared" si="2"/>
        <v>0</v>
      </c>
      <c r="AB18" s="1">
        <f t="shared" si="3"/>
        <v>0</v>
      </c>
      <c r="AC18" s="1">
        <f t="shared" si="4"/>
        <v>0</v>
      </c>
      <c r="AD18" s="1">
        <f t="shared" si="5"/>
        <v>0</v>
      </c>
      <c r="AE18" s="1">
        <f t="shared" si="6"/>
        <v>0</v>
      </c>
      <c r="AF18" s="1">
        <f>IF(C18="Orlov",7.4*Stamoplysninger!$E$15,0)</f>
        <v>0</v>
      </c>
      <c r="AG18" s="383" t="str">
        <f>IF(AND(C18="Skema 1",B18="ma"),Arbejdstidsoversigt!$E$44,"")</f>
        <v/>
      </c>
      <c r="AH18" s="383" t="str">
        <f>IF(AND(C18="Skema 1",B18="ti"),Arbejdstidsoversigt!$E$45,"")</f>
        <v/>
      </c>
      <c r="AI18" s="383" t="str">
        <f>IF(AND(C18="Skema 1",B18="on"),Arbejdstidsoversigt!$E$46,"")</f>
        <v/>
      </c>
      <c r="AJ18" s="383">
        <f>IF(AND(C18="Skema 1",B18="to"),Arbejdstidsoversigt!$E$47,"")</f>
        <v>8</v>
      </c>
      <c r="AK18" s="383" t="str">
        <f>IF(AND(C18="Skema 1",B18="fr"),Arbejdstidsoversigt!$E$48,"")</f>
        <v/>
      </c>
      <c r="AL18" s="383" t="str">
        <f>IF(AND(C18="Skema 2",B18="ma"),Arbejdstidsoversigt!$E$53,"")</f>
        <v/>
      </c>
      <c r="AM18" s="383" t="str">
        <f>IF(AND(C18="Skema 2",B18="ti"),Arbejdstidsoversigt!$E$54,"")</f>
        <v/>
      </c>
      <c r="AN18" s="383" t="str">
        <f>IF(AND(C18="Skema 2",B18="on"),Arbejdstidsoversigt!$E$55,"")</f>
        <v/>
      </c>
      <c r="AO18" s="383" t="str">
        <f>IF(AND(C18="Skema 2",B18="to"),Arbejdstidsoversigt!$E$56,"")</f>
        <v/>
      </c>
      <c r="AP18" s="383" t="str">
        <f>IF(AND(C18="Skema 2",B18="fr"),Arbejdstidsoversigt!$E$57,"")</f>
        <v/>
      </c>
      <c r="AQ18" s="383" t="str">
        <f>IF(AND(C18="Skema 3",B18="ma"),Arbejdstidsoversigt!$E$62,"")</f>
        <v/>
      </c>
      <c r="AR18" s="383" t="str">
        <f>IF(AND(C18="Skema 3",B18="ti"),Arbejdstidsoversigt!$E$63,"")</f>
        <v/>
      </c>
      <c r="AS18" s="383" t="str">
        <f>IF(AND(C18="Skema 3",B18="on"),Arbejdstidsoversigt!$E$64,"")</f>
        <v/>
      </c>
      <c r="AT18" s="383" t="str">
        <f>IF(AND(C18="Skema 3",B18="to"),Arbejdstidsoversigt!$E$65,"")</f>
        <v/>
      </c>
      <c r="AU18" s="383" t="str">
        <f>IF(AND(C18="Skema 3",B18="fr"),Arbejdstidsoversigt!$E$66,"")</f>
        <v/>
      </c>
      <c r="AV18" s="383" t="str">
        <f>IF(AND(C18="Skema 4",B18="ma"),Arbejdstidsoversigt!$E$71,"")</f>
        <v/>
      </c>
      <c r="AW18" s="383" t="str">
        <f>IF(AND(C18="Skema 4",B18="ti"),Arbejdstidsoversigt!$E$72,"")</f>
        <v/>
      </c>
      <c r="AX18" s="383" t="str">
        <f>IF(AND(C18="Skema 4",B18="on"),Arbejdstidsoversigt!$E$73,"")</f>
        <v/>
      </c>
      <c r="AY18" s="383" t="str">
        <f>IF(AND(C18="Skema 4",B18="to"),Arbejdstidsoversigt!$E$74,"")</f>
        <v/>
      </c>
      <c r="AZ18" s="383" t="str">
        <f>IF(AND(C18="Skema 4",B18="fr"),Arbejdstidsoversigt!$E$75,"")</f>
        <v/>
      </c>
      <c r="BA18" s="1">
        <f t="shared" si="19"/>
        <v>8</v>
      </c>
      <c r="BB18" s="421">
        <f t="shared" si="7"/>
        <v>192</v>
      </c>
      <c r="BC18" s="1">
        <f t="shared" si="20"/>
        <v>0</v>
      </c>
      <c r="BD18" s="1">
        <f t="shared" si="8"/>
        <v>0</v>
      </c>
      <c r="BE18" s="1">
        <f t="shared" si="9"/>
        <v>0</v>
      </c>
      <c r="BF18" s="1">
        <f t="shared" si="10"/>
        <v>0</v>
      </c>
      <c r="BG18" s="382" t="str">
        <f>IF(AND(C18="Skema 1",B18="ma"),Skemaoplysninger!$E$28,"")</f>
        <v/>
      </c>
      <c r="BH18" s="382" t="str">
        <f>IF(AND(C18="Skema 1",B18="ti"),Skemaoplysninger!$F$28,"")</f>
        <v/>
      </c>
      <c r="BI18" s="382" t="str">
        <f>IF(AND(C18="Skema 1",B18="on"),Skemaoplysninger!$G$28,"")</f>
        <v/>
      </c>
      <c r="BJ18" s="382">
        <f>IF(AND(C18="Skema 1",B18="to"),Skemaoplysninger!$H$28,"")</f>
        <v>0.15625</v>
      </c>
      <c r="BK18" s="382" t="str">
        <f>IF(AND(C18="Skema 1",B18="fr"),Skemaoplysninger!$I$28,"")</f>
        <v/>
      </c>
      <c r="BL18" s="382" t="str">
        <f>IF(AND(C18="Skema 2",B18="ma"),Skemaoplysninger!$O$28,"")</f>
        <v/>
      </c>
      <c r="BM18" s="382" t="str">
        <f>IF(AND(C18="Skema 2",B18="ti"),Skemaoplysninger!$P$28,"")</f>
        <v/>
      </c>
      <c r="BN18" s="382" t="str">
        <f>IF(AND(C18="Skema 2",B18="on"),Skemaoplysninger!$Q$28,"")</f>
        <v/>
      </c>
      <c r="BO18" s="382" t="str">
        <f>IF(AND(C18="Skema 2",B18="to"),Skemaoplysninger!$R$28,"")</f>
        <v/>
      </c>
      <c r="BP18" s="382" t="str">
        <f>IF(AND(C18="Skema 2",B18="fr"),Skemaoplysninger!$S$28,"")</f>
        <v/>
      </c>
      <c r="BQ18" s="382" t="str">
        <f>IF(AND(C18="Skema 3",B18="ma"),Skemaoplysninger!$Y$28,"")</f>
        <v/>
      </c>
      <c r="BR18" s="382" t="str">
        <f>IF(AND(C18="Skema 3",B18="ti"),Skemaoplysninger!$Z$28,"")</f>
        <v/>
      </c>
      <c r="BS18" s="382" t="str">
        <f>IF(AND(C18="Skema 3",B18="on"),Skemaoplysninger!$AA$28,"")</f>
        <v/>
      </c>
      <c r="BT18" s="382" t="str">
        <f>IF(AND(C18="Skema 3",B18="to"),Skemaoplysninger!$AB$28,"")</f>
        <v/>
      </c>
      <c r="BU18" s="382" t="str">
        <f>IF(AND(C18="Skema 3",B18="fr"),Skemaoplysninger!$AC$28,"")</f>
        <v/>
      </c>
      <c r="BV18" s="382" t="str">
        <f>IF(AND(C18="Skema 4",B18="ma"),Skemaoplysninger!$AI$28,"")</f>
        <v/>
      </c>
      <c r="BW18" s="382" t="str">
        <f>IF(AND(C18="Skema 4",B18="ti"),Skemaoplysninger!$AJ$28,"")</f>
        <v/>
      </c>
      <c r="BX18" s="382" t="str">
        <f>IF(AND(C18="Skema 4",B18="on"),Skemaoplysninger!$AK$28,"")</f>
        <v/>
      </c>
      <c r="BY18" s="382" t="str">
        <f>IF(AND(C18="Skema 4",B18="to"),Skemaoplysninger!$AL$28,"")</f>
        <v/>
      </c>
      <c r="BZ18" s="382" t="str">
        <f>IF(AND(C18="Skema 4",B18="fr"),Skemaoplysninger!$AM$28,"")</f>
        <v/>
      </c>
      <c r="CA18" s="1">
        <f t="shared" si="21"/>
        <v>3.75</v>
      </c>
      <c r="CB18" s="1">
        <f t="shared" si="11"/>
        <v>0</v>
      </c>
      <c r="CC18" s="1">
        <f t="shared" si="12"/>
        <v>0</v>
      </c>
      <c r="CD18" s="382" t="str">
        <f>IF(AND(C18="Skema 1",B18="ma"),Skemaoplysninger!$E$37,"")</f>
        <v/>
      </c>
      <c r="CE18" s="382" t="str">
        <f>IF(AND(C18="Skema 1",B18="ti"),Skemaoplysninger!$F$37,"")</f>
        <v/>
      </c>
      <c r="CF18" s="382" t="str">
        <f>IF(AND(C18="Skema 1",B18="on"),Skemaoplysninger!$G$37,"")</f>
        <v/>
      </c>
      <c r="CG18" s="382">
        <f>IF(AND(C18="Skema 1",B18="to"),Skemaoplysninger!$H$37,"")</f>
        <v>0.91666666666666674</v>
      </c>
      <c r="CH18" s="382" t="str">
        <f>IF(AND(C18="Skema 1",B18="fr"),Skemaoplysninger!$I$37,"")</f>
        <v/>
      </c>
      <c r="CI18" s="382" t="str">
        <f>IF(AND(C18="Skema 2",B18="ma"),Skemaoplysninger!$O$37,"")</f>
        <v/>
      </c>
      <c r="CJ18" s="382" t="str">
        <f>IF(AND(C18="Skema 2",B18="ti"),Skemaoplysninger!$P$37,"")</f>
        <v/>
      </c>
      <c r="CK18" s="382" t="str">
        <f>IF(AND(C18="Skema 2",B18="on"),Skemaoplysninger!$Q$37,"")</f>
        <v/>
      </c>
      <c r="CL18" s="382" t="str">
        <f>IF(AND(C18="Skema 2",B18="to"),Skemaoplysninger!$R$37,"")</f>
        <v/>
      </c>
      <c r="CM18" s="382" t="str">
        <f>IF(AND(C18="Skema 2",B18="fr"),Skemaoplysninger!$S$37,"")</f>
        <v/>
      </c>
      <c r="CN18" s="382" t="str">
        <f>IF(AND(C18="Skema 3",B18="ma"),Skemaoplysninger!$Y$37,"")</f>
        <v/>
      </c>
      <c r="CO18" s="382" t="str">
        <f>IF(AND(C18="Skema 3",B18="ti"),Skemaoplysninger!$Z$37,"")</f>
        <v/>
      </c>
      <c r="CP18" s="382" t="str">
        <f>IF(AND(C18="Skema 3",B18="on"),Skemaoplysninger!$AA$37,"")</f>
        <v/>
      </c>
      <c r="CQ18" s="382" t="str">
        <f>IF(AND(C18="Skema 3",B18="to"),Skemaoplysninger!$AB$37,"")</f>
        <v/>
      </c>
      <c r="CR18" s="382" t="str">
        <f>IF(AND(C18="Skema 3",B18="fr"),Skemaoplysninger!$AC$37,"")</f>
        <v/>
      </c>
      <c r="CS18" s="382" t="str">
        <f>IF(AND(C18="Skema 4",B18="ma"),Skemaoplysninger!$AI$37,"")</f>
        <v/>
      </c>
      <c r="CT18" s="382" t="str">
        <f>IF(AND(C18="Skema 4",B18="ti"),Skemaoplysninger!$AJ$37,"")</f>
        <v/>
      </c>
      <c r="CU18" s="382" t="str">
        <f>IF(AND(C18="Skema 4",B18="on"),Skemaoplysninger!$AK$37,"")</f>
        <v/>
      </c>
      <c r="CV18" s="382" t="str">
        <f>IF(AND(C18="Skema 4",B18="to"),Skemaoplysninger!$AL$37,"")</f>
        <v/>
      </c>
      <c r="CW18" s="382" t="str">
        <f>IF(AND(C18="Skema 4",B18="fr"),Skemaoplysninger!$AM$37,"")</f>
        <v/>
      </c>
      <c r="CX18" s="457">
        <f>IF(Stamoplysninger!$H$29="NEJ",SUM(CB18:CW18),0)</f>
        <v>0.91666666666666674</v>
      </c>
      <c r="CY18" s="457">
        <f>IF(C18="Skema 1",Stamoplysninger!$H$30/200,0)</f>
        <v>1</v>
      </c>
      <c r="CZ18" s="457">
        <f>IF(C18="Skema 2",Stamoplysninger!$H$30/200,0)</f>
        <v>0</v>
      </c>
      <c r="DA18" s="457">
        <f>IF(C18="Skema 3",Stamoplysninger!$H$30/200,0)</f>
        <v>0</v>
      </c>
      <c r="DB18" s="457">
        <f>IF(C18="Skema 4",Stamoplysninger!$H$30/200,0)</f>
        <v>0</v>
      </c>
      <c r="DC18" s="457">
        <f>IF(C18="fagdag",Stamoplysninger!$H$30/200,0)</f>
        <v>0</v>
      </c>
      <c r="DD18" s="457">
        <f>IF(C18="emnedag",Stamoplysninger!$H$30/200,0)</f>
        <v>0</v>
      </c>
      <c r="DE18" s="457">
        <f>IF(C18="lejrskole",Stamoplysninger!$H$30/200,0)</f>
        <v>0</v>
      </c>
      <c r="DF18" s="457">
        <f>IF(C18="ekskursion",Stamoplysninger!$H$30/200,0)</f>
        <v>0</v>
      </c>
      <c r="DG18" s="457">
        <f t="shared" si="22"/>
        <v>1</v>
      </c>
    </row>
    <row r="19" spans="1:111">
      <c r="A19" s="443">
        <f t="shared" si="13"/>
        <v>11</v>
      </c>
      <c r="B19" s="218" t="str">
        <f t="shared" si="0"/>
        <v>fr</v>
      </c>
      <c r="C19" s="219" t="s">
        <v>241</v>
      </c>
      <c r="D19" s="220" t="str">
        <f t="shared" si="1"/>
        <v/>
      </c>
      <c r="E19" s="906"/>
      <c r="F19" s="907"/>
      <c r="G19" s="908"/>
      <c r="H19" s="526"/>
      <c r="I19" s="855"/>
      <c r="J19" s="726"/>
      <c r="K19" s="669"/>
      <c r="L19" s="669"/>
      <c r="M19" s="669"/>
      <c r="N19" s="557">
        <f t="shared" si="14"/>
        <v>7</v>
      </c>
      <c r="O19" s="557">
        <f t="shared" si="15"/>
        <v>2.25</v>
      </c>
      <c r="P19" s="557">
        <f>IF(Stamoplysninger!$H$29="JA",November!DG19,CX19)</f>
        <v>0.33333333333333331</v>
      </c>
      <c r="Q19" s="557">
        <f t="shared" si="16"/>
        <v>4.416666666666667</v>
      </c>
      <c r="R19" s="558"/>
      <c r="S19" s="564"/>
      <c r="T19" s="565"/>
      <c r="U19" s="565"/>
      <c r="V19" s="753"/>
      <c r="W19" s="559"/>
      <c r="X19" s="760"/>
      <c r="Y19">
        <f t="shared" si="17"/>
        <v>0</v>
      </c>
      <c r="Z19" s="759">
        <f t="shared" si="18"/>
        <v>0</v>
      </c>
      <c r="AA19" s="1">
        <f t="shared" si="2"/>
        <v>0</v>
      </c>
      <c r="AB19" s="1">
        <f t="shared" si="3"/>
        <v>0</v>
      </c>
      <c r="AC19" s="1">
        <f t="shared" si="4"/>
        <v>0</v>
      </c>
      <c r="AD19" s="1">
        <f t="shared" si="5"/>
        <v>0</v>
      </c>
      <c r="AE19" s="1">
        <f t="shared" si="6"/>
        <v>0</v>
      </c>
      <c r="AF19" s="1">
        <f>IF(C19="Orlov",7.4*Stamoplysninger!$E$15,0)</f>
        <v>0</v>
      </c>
      <c r="AG19" s="383" t="str">
        <f>IF(AND(C19="Skema 1",B19="ma"),Arbejdstidsoversigt!$E$44,"")</f>
        <v/>
      </c>
      <c r="AH19" s="383" t="str">
        <f>IF(AND(C19="Skema 1",B19="ti"),Arbejdstidsoversigt!$E$45,"")</f>
        <v/>
      </c>
      <c r="AI19" s="383" t="str">
        <f>IF(AND(C19="Skema 1",B19="on"),Arbejdstidsoversigt!$E$46,"")</f>
        <v/>
      </c>
      <c r="AJ19" s="383" t="str">
        <f>IF(AND(C19="Skema 1",B19="to"),Arbejdstidsoversigt!$E$47,"")</f>
        <v/>
      </c>
      <c r="AK19" s="383">
        <f>IF(AND(C19="Skema 1",B19="fr"),Arbejdstidsoversigt!$E$48,"")</f>
        <v>7</v>
      </c>
      <c r="AL19" s="383" t="str">
        <f>IF(AND(C19="Skema 2",B19="ma"),Arbejdstidsoversigt!$E$53,"")</f>
        <v/>
      </c>
      <c r="AM19" s="383" t="str">
        <f>IF(AND(C19="Skema 2",B19="ti"),Arbejdstidsoversigt!$E$54,"")</f>
        <v/>
      </c>
      <c r="AN19" s="383" t="str">
        <f>IF(AND(C19="Skema 2",B19="on"),Arbejdstidsoversigt!$E$55,"")</f>
        <v/>
      </c>
      <c r="AO19" s="383" t="str">
        <f>IF(AND(C19="Skema 2",B19="to"),Arbejdstidsoversigt!$E$56,"")</f>
        <v/>
      </c>
      <c r="AP19" s="383" t="str">
        <f>IF(AND(C19="Skema 2",B19="fr"),Arbejdstidsoversigt!$E$57,"")</f>
        <v/>
      </c>
      <c r="AQ19" s="383" t="str">
        <f>IF(AND(C19="Skema 3",B19="ma"),Arbejdstidsoversigt!$E$62,"")</f>
        <v/>
      </c>
      <c r="AR19" s="383" t="str">
        <f>IF(AND(C19="Skema 3",B19="ti"),Arbejdstidsoversigt!$E$63,"")</f>
        <v/>
      </c>
      <c r="AS19" s="383" t="str">
        <f>IF(AND(C19="Skema 3",B19="on"),Arbejdstidsoversigt!$E$64,"")</f>
        <v/>
      </c>
      <c r="AT19" s="383" t="str">
        <f>IF(AND(C19="Skema 3",B19="to"),Arbejdstidsoversigt!$E$65,"")</f>
        <v/>
      </c>
      <c r="AU19" s="383" t="str">
        <f>IF(AND(C19="Skema 3",B19="fr"),Arbejdstidsoversigt!$E$66,"")</f>
        <v/>
      </c>
      <c r="AV19" s="383" t="str">
        <f>IF(AND(C19="Skema 4",B19="ma"),Arbejdstidsoversigt!$E$71,"")</f>
        <v/>
      </c>
      <c r="AW19" s="383" t="str">
        <f>IF(AND(C19="Skema 4",B19="ti"),Arbejdstidsoversigt!$E$72,"")</f>
        <v/>
      </c>
      <c r="AX19" s="383" t="str">
        <f>IF(AND(C19="Skema 4",B19="on"),Arbejdstidsoversigt!$E$73,"")</f>
        <v/>
      </c>
      <c r="AY19" s="383" t="str">
        <f>IF(AND(C19="Skema 4",B19="to"),Arbejdstidsoversigt!$E$74,"")</f>
        <v/>
      </c>
      <c r="AZ19" s="383" t="str">
        <f>IF(AND(C19="Skema 4",B19="fr"),Arbejdstidsoversigt!$E$75,"")</f>
        <v/>
      </c>
      <c r="BA19" s="1">
        <f t="shared" si="19"/>
        <v>7</v>
      </c>
      <c r="BB19" s="421">
        <f t="shared" si="7"/>
        <v>168</v>
      </c>
      <c r="BC19" s="1">
        <f t="shared" si="20"/>
        <v>0</v>
      </c>
      <c r="BD19" s="1">
        <f t="shared" si="8"/>
        <v>0</v>
      </c>
      <c r="BE19" s="1">
        <f t="shared" si="9"/>
        <v>0</v>
      </c>
      <c r="BF19" s="1">
        <f t="shared" si="10"/>
        <v>0</v>
      </c>
      <c r="BG19" s="382" t="str">
        <f>IF(AND(C19="Skema 1",B19="ma"),Skemaoplysninger!$E$28,"")</f>
        <v/>
      </c>
      <c r="BH19" s="382" t="str">
        <f>IF(AND(C19="Skema 1",B19="ti"),Skemaoplysninger!$F$28,"")</f>
        <v/>
      </c>
      <c r="BI19" s="382" t="str">
        <f>IF(AND(C19="Skema 1",B19="on"),Skemaoplysninger!$G$28,"")</f>
        <v/>
      </c>
      <c r="BJ19" s="382" t="str">
        <f>IF(AND(C19="Skema 1",B19="to"),Skemaoplysninger!$H$28,"")</f>
        <v/>
      </c>
      <c r="BK19" s="382">
        <f>IF(AND(C19="Skema 1",B19="fr"),Skemaoplysninger!$I$28,"")</f>
        <v>9.375E-2</v>
      </c>
      <c r="BL19" s="382" t="str">
        <f>IF(AND(C19="Skema 2",B19="ma"),Skemaoplysninger!$O$28,"")</f>
        <v/>
      </c>
      <c r="BM19" s="382" t="str">
        <f>IF(AND(C19="Skema 2",B19="ti"),Skemaoplysninger!$P$28,"")</f>
        <v/>
      </c>
      <c r="BN19" s="382" t="str">
        <f>IF(AND(C19="Skema 2",B19="on"),Skemaoplysninger!$Q$28,"")</f>
        <v/>
      </c>
      <c r="BO19" s="382" t="str">
        <f>IF(AND(C19="Skema 2",B19="to"),Skemaoplysninger!$R$28,"")</f>
        <v/>
      </c>
      <c r="BP19" s="382" t="str">
        <f>IF(AND(C19="Skema 2",B19="fr"),Skemaoplysninger!$S$28,"")</f>
        <v/>
      </c>
      <c r="BQ19" s="382" t="str">
        <f>IF(AND(C19="Skema 3",B19="ma"),Skemaoplysninger!$Y$28,"")</f>
        <v/>
      </c>
      <c r="BR19" s="382" t="str">
        <f>IF(AND(C19="Skema 3",B19="ti"),Skemaoplysninger!$Z$28,"")</f>
        <v/>
      </c>
      <c r="BS19" s="382" t="str">
        <f>IF(AND(C19="Skema 3",B19="on"),Skemaoplysninger!$AA$28,"")</f>
        <v/>
      </c>
      <c r="BT19" s="382" t="str">
        <f>IF(AND(C19="Skema 3",B19="to"),Skemaoplysninger!$AB$28,"")</f>
        <v/>
      </c>
      <c r="BU19" s="382" t="str">
        <f>IF(AND(C19="Skema 3",B19="fr"),Skemaoplysninger!$AC$28,"")</f>
        <v/>
      </c>
      <c r="BV19" s="382" t="str">
        <f>IF(AND(C19="Skema 4",B19="ma"),Skemaoplysninger!$AI$28,"")</f>
        <v/>
      </c>
      <c r="BW19" s="382" t="str">
        <f>IF(AND(C19="Skema 4",B19="ti"),Skemaoplysninger!$AJ$28,"")</f>
        <v/>
      </c>
      <c r="BX19" s="382" t="str">
        <f>IF(AND(C19="Skema 4",B19="on"),Skemaoplysninger!$AK$28,"")</f>
        <v/>
      </c>
      <c r="BY19" s="382" t="str">
        <f>IF(AND(C19="Skema 4",B19="to"),Skemaoplysninger!$AL$28,"")</f>
        <v/>
      </c>
      <c r="BZ19" s="382" t="str">
        <f>IF(AND(C19="Skema 4",B19="fr"),Skemaoplysninger!$AM$28,"")</f>
        <v/>
      </c>
      <c r="CA19" s="1">
        <f t="shared" si="21"/>
        <v>2.25</v>
      </c>
      <c r="CB19" s="1">
        <f t="shared" si="11"/>
        <v>0</v>
      </c>
      <c r="CC19" s="1">
        <f t="shared" si="12"/>
        <v>0</v>
      </c>
      <c r="CD19" s="382" t="str">
        <f>IF(AND(C19="Skema 1",B19="ma"),Skemaoplysninger!$E$37,"")</f>
        <v/>
      </c>
      <c r="CE19" s="382" t="str">
        <f>IF(AND(C19="Skema 1",B19="ti"),Skemaoplysninger!$F$37,"")</f>
        <v/>
      </c>
      <c r="CF19" s="382" t="str">
        <f>IF(AND(C19="Skema 1",B19="on"),Skemaoplysninger!$G$37,"")</f>
        <v/>
      </c>
      <c r="CG19" s="382" t="str">
        <f>IF(AND(C19="Skema 1",B19="to"),Skemaoplysninger!$H$37,"")</f>
        <v/>
      </c>
      <c r="CH19" s="382">
        <f>IF(AND(C19="Skema 1",B19="fr"),Skemaoplysninger!$I$37,"")</f>
        <v>0.33333333333333331</v>
      </c>
      <c r="CI19" s="382" t="str">
        <f>IF(AND(C19="Skema 2",B19="ma"),Skemaoplysninger!$O$37,"")</f>
        <v/>
      </c>
      <c r="CJ19" s="382" t="str">
        <f>IF(AND(C19="Skema 2",B19="ti"),Skemaoplysninger!$P$37,"")</f>
        <v/>
      </c>
      <c r="CK19" s="382" t="str">
        <f>IF(AND(C19="Skema 2",B19="on"),Skemaoplysninger!$Q$37,"")</f>
        <v/>
      </c>
      <c r="CL19" s="382" t="str">
        <f>IF(AND(C19="Skema 2",B19="to"),Skemaoplysninger!$R$37,"")</f>
        <v/>
      </c>
      <c r="CM19" s="382" t="str">
        <f>IF(AND(C19="Skema 2",B19="fr"),Skemaoplysninger!$S$37,"")</f>
        <v/>
      </c>
      <c r="CN19" s="382" t="str">
        <f>IF(AND(C19="Skema 3",B19="ma"),Skemaoplysninger!$Y$37,"")</f>
        <v/>
      </c>
      <c r="CO19" s="382" t="str">
        <f>IF(AND(C19="Skema 3",B19="ti"),Skemaoplysninger!$Z$37,"")</f>
        <v/>
      </c>
      <c r="CP19" s="382" t="str">
        <f>IF(AND(C19="Skema 3",B19="on"),Skemaoplysninger!$AA$37,"")</f>
        <v/>
      </c>
      <c r="CQ19" s="382" t="str">
        <f>IF(AND(C19="Skema 3",B19="to"),Skemaoplysninger!$AB$37,"")</f>
        <v/>
      </c>
      <c r="CR19" s="382" t="str">
        <f>IF(AND(C19="Skema 3",B19="fr"),Skemaoplysninger!$AC$37,"")</f>
        <v/>
      </c>
      <c r="CS19" s="382" t="str">
        <f>IF(AND(C19="Skema 4",B19="ma"),Skemaoplysninger!$AI$37,"")</f>
        <v/>
      </c>
      <c r="CT19" s="382" t="str">
        <f>IF(AND(C19="Skema 4",B19="ti"),Skemaoplysninger!$AJ$37,"")</f>
        <v/>
      </c>
      <c r="CU19" s="382" t="str">
        <f>IF(AND(C19="Skema 4",B19="on"),Skemaoplysninger!$AK$37,"")</f>
        <v/>
      </c>
      <c r="CV19" s="382" t="str">
        <f>IF(AND(C19="Skema 4",B19="to"),Skemaoplysninger!$AL$37,"")</f>
        <v/>
      </c>
      <c r="CW19" s="382" t="str">
        <f>IF(AND(C19="Skema 4",B19="fr"),Skemaoplysninger!$AM$37,"")</f>
        <v/>
      </c>
      <c r="CX19" s="457">
        <f>IF(Stamoplysninger!$H$29="NEJ",SUM(CB19:CW19),0)</f>
        <v>0.33333333333333331</v>
      </c>
      <c r="CY19" s="457">
        <f>IF(C19="Skema 1",Stamoplysninger!$H$30/200,0)</f>
        <v>1</v>
      </c>
      <c r="CZ19" s="457">
        <f>IF(C19="Skema 2",Stamoplysninger!$H$30/200,0)</f>
        <v>0</v>
      </c>
      <c r="DA19" s="457">
        <f>IF(C19="Skema 3",Stamoplysninger!$H$30/200,0)</f>
        <v>0</v>
      </c>
      <c r="DB19" s="457">
        <f>IF(C19="Skema 4",Stamoplysninger!$H$30/200,0)</f>
        <v>0</v>
      </c>
      <c r="DC19" s="457">
        <f>IF(C19="fagdag",Stamoplysninger!$H$30/200,0)</f>
        <v>0</v>
      </c>
      <c r="DD19" s="457">
        <f>IF(C19="emnedag",Stamoplysninger!$H$30/200,0)</f>
        <v>0</v>
      </c>
      <c r="DE19" s="457">
        <f>IF(C19="lejrskole",Stamoplysninger!$H$30/200,0)</f>
        <v>0</v>
      </c>
      <c r="DF19" s="457">
        <f>IF(C19="ekskursion",Stamoplysninger!$H$30/200,0)</f>
        <v>0</v>
      </c>
      <c r="DG19" s="457">
        <f t="shared" si="22"/>
        <v>1</v>
      </c>
    </row>
    <row r="20" spans="1:111">
      <c r="A20" s="443">
        <f>IF(ISNUMBER(A19),A19+1,1)</f>
        <v>12</v>
      </c>
      <c r="B20" s="218" t="str">
        <f t="shared" si="0"/>
        <v>lø</v>
      </c>
      <c r="C20" s="219" t="s">
        <v>138</v>
      </c>
      <c r="D20" s="220" t="str">
        <f t="shared" si="1"/>
        <v/>
      </c>
      <c r="E20" s="906"/>
      <c r="F20" s="907"/>
      <c r="G20" s="908"/>
      <c r="H20" s="526"/>
      <c r="I20" s="726"/>
      <c r="J20" s="726"/>
      <c r="K20" s="669"/>
      <c r="L20" s="669"/>
      <c r="M20" s="669"/>
      <c r="N20" s="557">
        <f t="shared" si="14"/>
        <v>0</v>
      </c>
      <c r="O20" s="557">
        <f t="shared" si="15"/>
        <v>0</v>
      </c>
      <c r="P20" s="557">
        <f>IF(Stamoplysninger!$H$29="JA",November!DG20,CX20)</f>
        <v>0</v>
      </c>
      <c r="Q20" s="557">
        <f t="shared" si="16"/>
        <v>0</v>
      </c>
      <c r="R20" s="558"/>
      <c r="S20" s="564"/>
      <c r="T20" s="565"/>
      <c r="U20" s="565"/>
      <c r="V20" s="753"/>
      <c r="W20" s="559"/>
      <c r="X20" s="760"/>
      <c r="Y20">
        <f t="shared" si="17"/>
        <v>0</v>
      </c>
      <c r="Z20" s="759">
        <f t="shared" si="18"/>
        <v>0</v>
      </c>
      <c r="AA20" s="1">
        <f t="shared" si="2"/>
        <v>0</v>
      </c>
      <c r="AB20" s="1">
        <f t="shared" si="3"/>
        <v>0</v>
      </c>
      <c r="AC20" s="1">
        <f t="shared" si="4"/>
        <v>0</v>
      </c>
      <c r="AD20" s="1">
        <f t="shared" si="5"/>
        <v>0</v>
      </c>
      <c r="AE20" s="1">
        <f t="shared" si="6"/>
        <v>0</v>
      </c>
      <c r="AF20" s="1">
        <f>IF(C20="Orlov",7.4*Stamoplysninger!$E$15,0)</f>
        <v>0</v>
      </c>
      <c r="AG20" s="383" t="str">
        <f>IF(AND(C20="Skema 1",B20="ma"),Arbejdstidsoversigt!$E$44,"")</f>
        <v/>
      </c>
      <c r="AH20" s="383" t="str">
        <f>IF(AND(C20="Skema 1",B20="ti"),Arbejdstidsoversigt!$E$45,"")</f>
        <v/>
      </c>
      <c r="AI20" s="383" t="str">
        <f>IF(AND(C20="Skema 1",B20="on"),Arbejdstidsoversigt!$E$46,"")</f>
        <v/>
      </c>
      <c r="AJ20" s="383" t="str">
        <f>IF(AND(C20="Skema 1",B20="to"),Arbejdstidsoversigt!$E$47,"")</f>
        <v/>
      </c>
      <c r="AK20" s="383" t="str">
        <f>IF(AND(C20="Skema 1",B20="fr"),Arbejdstidsoversigt!$E$48,"")</f>
        <v/>
      </c>
      <c r="AL20" s="383" t="str">
        <f>IF(AND(C20="Skema 2",B20="ma"),Arbejdstidsoversigt!$E$53,"")</f>
        <v/>
      </c>
      <c r="AM20" s="383" t="str">
        <f>IF(AND(C20="Skema 2",B20="ti"),Arbejdstidsoversigt!$E$54,"")</f>
        <v/>
      </c>
      <c r="AN20" s="383" t="str">
        <f>IF(AND(C20="Skema 2",B20="on"),Arbejdstidsoversigt!$E$55,"")</f>
        <v/>
      </c>
      <c r="AO20" s="383" t="str">
        <f>IF(AND(C20="Skema 2",B20="to"),Arbejdstidsoversigt!$E$56,"")</f>
        <v/>
      </c>
      <c r="AP20" s="383" t="str">
        <f>IF(AND(C20="Skema 2",B20="fr"),Arbejdstidsoversigt!$E$57,"")</f>
        <v/>
      </c>
      <c r="AQ20" s="383" t="str">
        <f>IF(AND(C20="Skema 3",B20="ma"),Arbejdstidsoversigt!$E$62,"")</f>
        <v/>
      </c>
      <c r="AR20" s="383" t="str">
        <f>IF(AND(C20="Skema 3",B20="ti"),Arbejdstidsoversigt!$E$63,"")</f>
        <v/>
      </c>
      <c r="AS20" s="383" t="str">
        <f>IF(AND(C20="Skema 3",B20="on"),Arbejdstidsoversigt!$E$64,"")</f>
        <v/>
      </c>
      <c r="AT20" s="383" t="str">
        <f>IF(AND(C20="Skema 3",B20="to"),Arbejdstidsoversigt!$E$65,"")</f>
        <v/>
      </c>
      <c r="AU20" s="383" t="str">
        <f>IF(AND(C20="Skema 3",B20="fr"),Arbejdstidsoversigt!$E$66,"")</f>
        <v/>
      </c>
      <c r="AV20" s="383" t="str">
        <f>IF(AND(C20="Skema 4",B20="ma"),Arbejdstidsoversigt!$E$71,"")</f>
        <v/>
      </c>
      <c r="AW20" s="383" t="str">
        <f>IF(AND(C20="Skema 4",B20="ti"),Arbejdstidsoversigt!$E$72,"")</f>
        <v/>
      </c>
      <c r="AX20" s="383" t="str">
        <f>IF(AND(C20="Skema 4",B20="on"),Arbejdstidsoversigt!$E$73,"")</f>
        <v/>
      </c>
      <c r="AY20" s="383" t="str">
        <f>IF(AND(C20="Skema 4",B20="to"),Arbejdstidsoversigt!$E$74,"")</f>
        <v/>
      </c>
      <c r="AZ20" s="383" t="str">
        <f>IF(AND(C20="Skema 4",B20="fr"),Arbejdstidsoversigt!$E$75,"")</f>
        <v/>
      </c>
      <c r="BA20" s="1">
        <f t="shared" si="19"/>
        <v>0</v>
      </c>
      <c r="BB20" s="421">
        <f t="shared" si="7"/>
        <v>0</v>
      </c>
      <c r="BC20" s="1">
        <f t="shared" si="20"/>
        <v>0</v>
      </c>
      <c r="BD20" s="1">
        <f t="shared" si="8"/>
        <v>0</v>
      </c>
      <c r="BE20" s="1">
        <f t="shared" si="9"/>
        <v>0</v>
      </c>
      <c r="BF20" s="1">
        <f t="shared" si="10"/>
        <v>0</v>
      </c>
      <c r="BG20" s="382" t="str">
        <f>IF(AND(C20="Skema 1",B20="ma"),Skemaoplysninger!$E$28,"")</f>
        <v/>
      </c>
      <c r="BH20" s="382" t="str">
        <f>IF(AND(C20="Skema 1",B20="ti"),Skemaoplysninger!$F$28,"")</f>
        <v/>
      </c>
      <c r="BI20" s="382" t="str">
        <f>IF(AND(C20="Skema 1",B20="on"),Skemaoplysninger!$G$28,"")</f>
        <v/>
      </c>
      <c r="BJ20" s="382" t="str">
        <f>IF(AND(C20="Skema 1",B20="to"),Skemaoplysninger!$H$28,"")</f>
        <v/>
      </c>
      <c r="BK20" s="382" t="str">
        <f>IF(AND(C20="Skema 1",B20="fr"),Skemaoplysninger!$I$28,"")</f>
        <v/>
      </c>
      <c r="BL20" s="382" t="str">
        <f>IF(AND(C20="Skema 2",B20="ma"),Skemaoplysninger!$O$28,"")</f>
        <v/>
      </c>
      <c r="BM20" s="382" t="str">
        <f>IF(AND(C20="Skema 2",B20="ti"),Skemaoplysninger!$P$28,"")</f>
        <v/>
      </c>
      <c r="BN20" s="382" t="str">
        <f>IF(AND(C20="Skema 2",B20="on"),Skemaoplysninger!$Q$28,"")</f>
        <v/>
      </c>
      <c r="BO20" s="382" t="str">
        <f>IF(AND(C20="Skema 2",B20="to"),Skemaoplysninger!$R$28,"")</f>
        <v/>
      </c>
      <c r="BP20" s="382" t="str">
        <f>IF(AND(C20="Skema 2",B20="fr"),Skemaoplysninger!$S$28,"")</f>
        <v/>
      </c>
      <c r="BQ20" s="382" t="str">
        <f>IF(AND(C20="Skema 3",B20="ma"),Skemaoplysninger!$Y$28,"")</f>
        <v/>
      </c>
      <c r="BR20" s="382" t="str">
        <f>IF(AND(C20="Skema 3",B20="ti"),Skemaoplysninger!$Z$28,"")</f>
        <v/>
      </c>
      <c r="BS20" s="382" t="str">
        <f>IF(AND(C20="Skema 3",B20="on"),Skemaoplysninger!$AA$28,"")</f>
        <v/>
      </c>
      <c r="BT20" s="382" t="str">
        <f>IF(AND(C20="Skema 3",B20="to"),Skemaoplysninger!$AB$28,"")</f>
        <v/>
      </c>
      <c r="BU20" s="382" t="str">
        <f>IF(AND(C20="Skema 3",B20="fr"),Skemaoplysninger!$AC$28,"")</f>
        <v/>
      </c>
      <c r="BV20" s="382" t="str">
        <f>IF(AND(C20="Skema 4",B20="ma"),Skemaoplysninger!$AI$28,"")</f>
        <v/>
      </c>
      <c r="BW20" s="382" t="str">
        <f>IF(AND(C20="Skema 4",B20="ti"),Skemaoplysninger!$AJ$28,"")</f>
        <v/>
      </c>
      <c r="BX20" s="382" t="str">
        <f>IF(AND(C20="Skema 4",B20="on"),Skemaoplysninger!$AK$28,"")</f>
        <v/>
      </c>
      <c r="BY20" s="382" t="str">
        <f>IF(AND(C20="Skema 4",B20="to"),Skemaoplysninger!$AL$28,"")</f>
        <v/>
      </c>
      <c r="BZ20" s="382" t="str">
        <f>IF(AND(C20="Skema 4",B20="fr"),Skemaoplysninger!$AM$28,"")</f>
        <v/>
      </c>
      <c r="CA20" s="1">
        <f t="shared" si="21"/>
        <v>0</v>
      </c>
      <c r="CB20" s="1">
        <f t="shared" si="11"/>
        <v>0</v>
      </c>
      <c r="CC20" s="1">
        <f t="shared" si="12"/>
        <v>0</v>
      </c>
      <c r="CD20" s="382" t="str">
        <f>IF(AND(C20="Skema 1",B20="ma"),Skemaoplysninger!$E$37,"")</f>
        <v/>
      </c>
      <c r="CE20" s="382" t="str">
        <f>IF(AND(C20="Skema 1",B20="ti"),Skemaoplysninger!$F$37,"")</f>
        <v/>
      </c>
      <c r="CF20" s="382" t="str">
        <f>IF(AND(C20="Skema 1",B20="on"),Skemaoplysninger!$G$37,"")</f>
        <v/>
      </c>
      <c r="CG20" s="382" t="str">
        <f>IF(AND(C20="Skema 1",B20="to"),Skemaoplysninger!$H$37,"")</f>
        <v/>
      </c>
      <c r="CH20" s="382" t="str">
        <f>IF(AND(C20="Skema 1",B20="fr"),Skemaoplysninger!$I$37,"")</f>
        <v/>
      </c>
      <c r="CI20" s="382" t="str">
        <f>IF(AND(C20="Skema 2",B20="ma"),Skemaoplysninger!$O$37,"")</f>
        <v/>
      </c>
      <c r="CJ20" s="382" t="str">
        <f>IF(AND(C20="Skema 2",B20="ti"),Skemaoplysninger!$P$37,"")</f>
        <v/>
      </c>
      <c r="CK20" s="382" t="str">
        <f>IF(AND(C20="Skema 2",B20="on"),Skemaoplysninger!$Q$37,"")</f>
        <v/>
      </c>
      <c r="CL20" s="382" t="str">
        <f>IF(AND(C20="Skema 2",B20="to"),Skemaoplysninger!$R$37,"")</f>
        <v/>
      </c>
      <c r="CM20" s="382" t="str">
        <f>IF(AND(C20="Skema 2",B20="fr"),Skemaoplysninger!$S$37,"")</f>
        <v/>
      </c>
      <c r="CN20" s="382" t="str">
        <f>IF(AND(C20="Skema 3",B20="ma"),Skemaoplysninger!$Y$37,"")</f>
        <v/>
      </c>
      <c r="CO20" s="382" t="str">
        <f>IF(AND(C20="Skema 3",B20="ti"),Skemaoplysninger!$Z$37,"")</f>
        <v/>
      </c>
      <c r="CP20" s="382" t="str">
        <f>IF(AND(C20="Skema 3",B20="on"),Skemaoplysninger!$AA$37,"")</f>
        <v/>
      </c>
      <c r="CQ20" s="382" t="str">
        <f>IF(AND(C20="Skema 3",B20="to"),Skemaoplysninger!$AB$37,"")</f>
        <v/>
      </c>
      <c r="CR20" s="382" t="str">
        <f>IF(AND(C20="Skema 3",B20="fr"),Skemaoplysninger!$AC$37,"")</f>
        <v/>
      </c>
      <c r="CS20" s="382" t="str">
        <f>IF(AND(C20="Skema 4",B20="ma"),Skemaoplysninger!$AI$37,"")</f>
        <v/>
      </c>
      <c r="CT20" s="382" t="str">
        <f>IF(AND(C20="Skema 4",B20="ti"),Skemaoplysninger!$AJ$37,"")</f>
        <v/>
      </c>
      <c r="CU20" s="382" t="str">
        <f>IF(AND(C20="Skema 4",B20="on"),Skemaoplysninger!$AK$37,"")</f>
        <v/>
      </c>
      <c r="CV20" s="382" t="str">
        <f>IF(AND(C20="Skema 4",B20="to"),Skemaoplysninger!$AL$37,"")</f>
        <v/>
      </c>
      <c r="CW20" s="382" t="str">
        <f>IF(AND(C20="Skema 4",B20="fr"),Skemaoplysninger!$AM$37,"")</f>
        <v/>
      </c>
      <c r="CX20" s="457">
        <f>IF(Stamoplysninger!$H$29="NEJ",SUM(CB20:CW20),0)</f>
        <v>0</v>
      </c>
      <c r="CY20" s="457">
        <f>IF(C20="Skema 1",Stamoplysninger!$H$30/200,0)</f>
        <v>0</v>
      </c>
      <c r="CZ20" s="457">
        <f>IF(C20="Skema 2",Stamoplysninger!$H$30/200,0)</f>
        <v>0</v>
      </c>
      <c r="DA20" s="457">
        <f>IF(C20="Skema 3",Stamoplysninger!$H$30/200,0)</f>
        <v>0</v>
      </c>
      <c r="DB20" s="457">
        <f>IF(C20="Skema 4",Stamoplysninger!$H$30/200,0)</f>
        <v>0</v>
      </c>
      <c r="DC20" s="457">
        <f>IF(C20="fagdag",Stamoplysninger!$H$30/200,0)</f>
        <v>0</v>
      </c>
      <c r="DD20" s="457">
        <f>IF(C20="emnedag",Stamoplysninger!$H$30/200,0)</f>
        <v>0</v>
      </c>
      <c r="DE20" s="457">
        <f>IF(C20="lejrskole",Stamoplysninger!$H$30/200,0)</f>
        <v>0</v>
      </c>
      <c r="DF20" s="457">
        <f>IF(C20="ekskursion",Stamoplysninger!$H$30/200,0)</f>
        <v>0</v>
      </c>
      <c r="DG20" s="457">
        <f t="shared" si="22"/>
        <v>0</v>
      </c>
    </row>
    <row r="21" spans="1:111">
      <c r="A21" s="443">
        <f>IF(ISNUMBER(A20),A20+1,1)</f>
        <v>13</v>
      </c>
      <c r="B21" s="218" t="str">
        <f t="shared" si="0"/>
        <v>sø</v>
      </c>
      <c r="C21" s="219" t="s">
        <v>138</v>
      </c>
      <c r="D21" s="220" t="str">
        <f t="shared" si="1"/>
        <v/>
      </c>
      <c r="E21" s="909"/>
      <c r="F21" s="910"/>
      <c r="G21" s="911"/>
      <c r="H21" s="525"/>
      <c r="I21" s="726"/>
      <c r="J21" s="726"/>
      <c r="K21" s="669"/>
      <c r="L21" s="669"/>
      <c r="M21" s="669"/>
      <c r="N21" s="557">
        <f t="shared" si="14"/>
        <v>0</v>
      </c>
      <c r="O21" s="557">
        <f t="shared" si="15"/>
        <v>0</v>
      </c>
      <c r="P21" s="557">
        <f>IF(Stamoplysninger!$H$29="JA",November!DG21,CX21)</f>
        <v>0</v>
      </c>
      <c r="Q21" s="557">
        <f t="shared" si="16"/>
        <v>0</v>
      </c>
      <c r="R21" s="558"/>
      <c r="S21" s="564"/>
      <c r="T21" s="565"/>
      <c r="U21" s="565"/>
      <c r="V21" s="753"/>
      <c r="W21" s="559"/>
      <c r="X21" s="760"/>
      <c r="Y21">
        <f t="shared" si="17"/>
        <v>0</v>
      </c>
      <c r="Z21" s="759">
        <f t="shared" si="18"/>
        <v>0</v>
      </c>
      <c r="AA21" s="1">
        <f t="shared" si="2"/>
        <v>0</v>
      </c>
      <c r="AB21" s="1">
        <f t="shared" si="3"/>
        <v>0</v>
      </c>
      <c r="AC21" s="1">
        <f t="shared" si="4"/>
        <v>0</v>
      </c>
      <c r="AD21" s="1">
        <f t="shared" si="5"/>
        <v>0</v>
      </c>
      <c r="AE21" s="1">
        <f t="shared" si="6"/>
        <v>0</v>
      </c>
      <c r="AF21" s="1">
        <f>IF(C21="Orlov",7.4*Stamoplysninger!$E$15,0)</f>
        <v>0</v>
      </c>
      <c r="AG21" s="383" t="str">
        <f>IF(AND(C21="Skema 1",B21="ma"),Arbejdstidsoversigt!$E$44,"")</f>
        <v/>
      </c>
      <c r="AH21" s="383" t="str">
        <f>IF(AND(C21="Skema 1",B21="ti"),Arbejdstidsoversigt!$E$45,"")</f>
        <v/>
      </c>
      <c r="AI21" s="383" t="str">
        <f>IF(AND(C21="Skema 1",B21="on"),Arbejdstidsoversigt!$E$46,"")</f>
        <v/>
      </c>
      <c r="AJ21" s="383" t="str">
        <f>IF(AND(C21="Skema 1",B21="to"),Arbejdstidsoversigt!$E$47,"")</f>
        <v/>
      </c>
      <c r="AK21" s="383" t="str">
        <f>IF(AND(C21="Skema 1",B21="fr"),Arbejdstidsoversigt!$E$48,"")</f>
        <v/>
      </c>
      <c r="AL21" s="383" t="str">
        <f>IF(AND(C21="Skema 2",B21="ma"),Arbejdstidsoversigt!$E$53,"")</f>
        <v/>
      </c>
      <c r="AM21" s="383" t="str">
        <f>IF(AND(C21="Skema 2",B21="ti"),Arbejdstidsoversigt!$E$54,"")</f>
        <v/>
      </c>
      <c r="AN21" s="383" t="str">
        <f>IF(AND(C21="Skema 2",B21="on"),Arbejdstidsoversigt!$E$55,"")</f>
        <v/>
      </c>
      <c r="AO21" s="383" t="str">
        <f>IF(AND(C21="Skema 2",B21="to"),Arbejdstidsoversigt!$E$56,"")</f>
        <v/>
      </c>
      <c r="AP21" s="383" t="str">
        <f>IF(AND(C21="Skema 2",B21="fr"),Arbejdstidsoversigt!$E$57,"")</f>
        <v/>
      </c>
      <c r="AQ21" s="383" t="str">
        <f>IF(AND(C21="Skema 3",B21="ma"),Arbejdstidsoversigt!$E$62,"")</f>
        <v/>
      </c>
      <c r="AR21" s="383" t="str">
        <f>IF(AND(C21="Skema 3",B21="ti"),Arbejdstidsoversigt!$E$63,"")</f>
        <v/>
      </c>
      <c r="AS21" s="383" t="str">
        <f>IF(AND(C21="Skema 3",B21="on"),Arbejdstidsoversigt!$E$64,"")</f>
        <v/>
      </c>
      <c r="AT21" s="383" t="str">
        <f>IF(AND(C21="Skema 3",B21="to"),Arbejdstidsoversigt!$E$65,"")</f>
        <v/>
      </c>
      <c r="AU21" s="383" t="str">
        <f>IF(AND(C21="Skema 3",B21="fr"),Arbejdstidsoversigt!$E$66,"")</f>
        <v/>
      </c>
      <c r="AV21" s="383" t="str">
        <f>IF(AND(C21="Skema 4",B21="ma"),Arbejdstidsoversigt!$E$71,"")</f>
        <v/>
      </c>
      <c r="AW21" s="383" t="str">
        <f>IF(AND(C21="Skema 4",B21="ti"),Arbejdstidsoversigt!$E$72,"")</f>
        <v/>
      </c>
      <c r="AX21" s="383" t="str">
        <f>IF(AND(C21="Skema 4",B21="on"),Arbejdstidsoversigt!$E$73,"")</f>
        <v/>
      </c>
      <c r="AY21" s="383" t="str">
        <f>IF(AND(C21="Skema 4",B21="to"),Arbejdstidsoversigt!$E$74,"")</f>
        <v/>
      </c>
      <c r="AZ21" s="383" t="str">
        <f>IF(AND(C21="Skema 4",B21="fr"),Arbejdstidsoversigt!$E$75,"")</f>
        <v/>
      </c>
      <c r="BA21" s="1">
        <f t="shared" si="19"/>
        <v>0</v>
      </c>
      <c r="BB21" s="421">
        <f t="shared" si="7"/>
        <v>0</v>
      </c>
      <c r="BC21" s="1">
        <f t="shared" si="20"/>
        <v>0</v>
      </c>
      <c r="BD21" s="1">
        <f t="shared" si="8"/>
        <v>0</v>
      </c>
      <c r="BE21" s="1">
        <f t="shared" si="9"/>
        <v>0</v>
      </c>
      <c r="BF21" s="1">
        <f t="shared" si="10"/>
        <v>0</v>
      </c>
      <c r="BG21" s="382" t="str">
        <f>IF(AND(C21="Skema 1",B21="ma"),Skemaoplysninger!$E$28,"")</f>
        <v/>
      </c>
      <c r="BH21" s="382" t="str">
        <f>IF(AND(C21="Skema 1",B21="ti"),Skemaoplysninger!$F$28,"")</f>
        <v/>
      </c>
      <c r="BI21" s="382" t="str">
        <f>IF(AND(C21="Skema 1",B21="on"),Skemaoplysninger!$G$28,"")</f>
        <v/>
      </c>
      <c r="BJ21" s="382" t="str">
        <f>IF(AND(C21="Skema 1",B21="to"),Skemaoplysninger!$H$28,"")</f>
        <v/>
      </c>
      <c r="BK21" s="382" t="str">
        <f>IF(AND(C21="Skema 1",B21="fr"),Skemaoplysninger!$I$28,"")</f>
        <v/>
      </c>
      <c r="BL21" s="382" t="str">
        <f>IF(AND(C21="Skema 2",B21="ma"),Skemaoplysninger!$O$28,"")</f>
        <v/>
      </c>
      <c r="BM21" s="382" t="str">
        <f>IF(AND(C21="Skema 2",B21="ti"),Skemaoplysninger!$P$28,"")</f>
        <v/>
      </c>
      <c r="BN21" s="382" t="str">
        <f>IF(AND(C21="Skema 2",B21="on"),Skemaoplysninger!$Q$28,"")</f>
        <v/>
      </c>
      <c r="BO21" s="382" t="str">
        <f>IF(AND(C21="Skema 2",B21="to"),Skemaoplysninger!$R$28,"")</f>
        <v/>
      </c>
      <c r="BP21" s="382" t="str">
        <f>IF(AND(C21="Skema 2",B21="fr"),Skemaoplysninger!$S$28,"")</f>
        <v/>
      </c>
      <c r="BQ21" s="382" t="str">
        <f>IF(AND(C21="Skema 3",B21="ma"),Skemaoplysninger!$Y$28,"")</f>
        <v/>
      </c>
      <c r="BR21" s="382" t="str">
        <f>IF(AND(C21="Skema 3",B21="ti"),Skemaoplysninger!$Z$28,"")</f>
        <v/>
      </c>
      <c r="BS21" s="382" t="str">
        <f>IF(AND(C21="Skema 3",B21="on"),Skemaoplysninger!$AA$28,"")</f>
        <v/>
      </c>
      <c r="BT21" s="382" t="str">
        <f>IF(AND(C21="Skema 3",B21="to"),Skemaoplysninger!$AB$28,"")</f>
        <v/>
      </c>
      <c r="BU21" s="382" t="str">
        <f>IF(AND(C21="Skema 3",B21="fr"),Skemaoplysninger!$AC$28,"")</f>
        <v/>
      </c>
      <c r="BV21" s="382" t="str">
        <f>IF(AND(C21="Skema 4",B21="ma"),Skemaoplysninger!$AI$28,"")</f>
        <v/>
      </c>
      <c r="BW21" s="382" t="str">
        <f>IF(AND(C21="Skema 4",B21="ti"),Skemaoplysninger!$AJ$28,"")</f>
        <v/>
      </c>
      <c r="BX21" s="382" t="str">
        <f>IF(AND(C21="Skema 4",B21="on"),Skemaoplysninger!$AK$28,"")</f>
        <v/>
      </c>
      <c r="BY21" s="382" t="str">
        <f>IF(AND(C21="Skema 4",B21="to"),Skemaoplysninger!$AL$28,"")</f>
        <v/>
      </c>
      <c r="BZ21" s="382" t="str">
        <f>IF(AND(C21="Skema 4",B21="fr"),Skemaoplysninger!$AM$28,"")</f>
        <v/>
      </c>
      <c r="CA21" s="1">
        <f t="shared" si="21"/>
        <v>0</v>
      </c>
      <c r="CB21" s="1">
        <f t="shared" si="11"/>
        <v>0</v>
      </c>
      <c r="CC21" s="1">
        <f t="shared" si="12"/>
        <v>0</v>
      </c>
      <c r="CD21" s="382" t="str">
        <f>IF(AND(C21="Skema 1",B21="ma"),Skemaoplysninger!$E$37,"")</f>
        <v/>
      </c>
      <c r="CE21" s="382" t="str">
        <f>IF(AND(C21="Skema 1",B21="ti"),Skemaoplysninger!$F$37,"")</f>
        <v/>
      </c>
      <c r="CF21" s="382" t="str">
        <f>IF(AND(C21="Skema 1",B21="on"),Skemaoplysninger!$G$37,"")</f>
        <v/>
      </c>
      <c r="CG21" s="382" t="str">
        <f>IF(AND(C21="Skema 1",B21="to"),Skemaoplysninger!$H$37,"")</f>
        <v/>
      </c>
      <c r="CH21" s="382" t="str">
        <f>IF(AND(C21="Skema 1",B21="fr"),Skemaoplysninger!$I$37,"")</f>
        <v/>
      </c>
      <c r="CI21" s="382" t="str">
        <f>IF(AND(C21="Skema 2",B21="ma"),Skemaoplysninger!$O$37,"")</f>
        <v/>
      </c>
      <c r="CJ21" s="382" t="str">
        <f>IF(AND(C21="Skema 2",B21="ti"),Skemaoplysninger!$P$37,"")</f>
        <v/>
      </c>
      <c r="CK21" s="382" t="str">
        <f>IF(AND(C21="Skema 2",B21="on"),Skemaoplysninger!$Q$37,"")</f>
        <v/>
      </c>
      <c r="CL21" s="382" t="str">
        <f>IF(AND(C21="Skema 2",B21="to"),Skemaoplysninger!$R$37,"")</f>
        <v/>
      </c>
      <c r="CM21" s="382" t="str">
        <f>IF(AND(C21="Skema 2",B21="fr"),Skemaoplysninger!$S$37,"")</f>
        <v/>
      </c>
      <c r="CN21" s="382" t="str">
        <f>IF(AND(C21="Skema 3",B21="ma"),Skemaoplysninger!$Y$37,"")</f>
        <v/>
      </c>
      <c r="CO21" s="382" t="str">
        <f>IF(AND(C21="Skema 3",B21="ti"),Skemaoplysninger!$Z$37,"")</f>
        <v/>
      </c>
      <c r="CP21" s="382" t="str">
        <f>IF(AND(C21="Skema 3",B21="on"),Skemaoplysninger!$AA$37,"")</f>
        <v/>
      </c>
      <c r="CQ21" s="382" t="str">
        <f>IF(AND(C21="Skema 3",B21="to"),Skemaoplysninger!$AB$37,"")</f>
        <v/>
      </c>
      <c r="CR21" s="382" t="str">
        <f>IF(AND(C21="Skema 3",B21="fr"),Skemaoplysninger!$AC$37,"")</f>
        <v/>
      </c>
      <c r="CS21" s="382" t="str">
        <f>IF(AND(C21="Skema 4",B21="ma"),Skemaoplysninger!$AI$37,"")</f>
        <v/>
      </c>
      <c r="CT21" s="382" t="str">
        <f>IF(AND(C21="Skema 4",B21="ti"),Skemaoplysninger!$AJ$37,"")</f>
        <v/>
      </c>
      <c r="CU21" s="382" t="str">
        <f>IF(AND(C21="Skema 4",B21="on"),Skemaoplysninger!$AK$37,"")</f>
        <v/>
      </c>
      <c r="CV21" s="382" t="str">
        <f>IF(AND(C21="Skema 4",B21="to"),Skemaoplysninger!$AL$37,"")</f>
        <v/>
      </c>
      <c r="CW21" s="382" t="str">
        <f>IF(AND(C21="Skema 4",B21="fr"),Skemaoplysninger!$AM$37,"")</f>
        <v/>
      </c>
      <c r="CX21" s="457">
        <f>IF(Stamoplysninger!$H$29="NEJ",SUM(CB21:CW21),0)</f>
        <v>0</v>
      </c>
      <c r="CY21" s="457">
        <f>IF(C21="Skema 1",Stamoplysninger!$H$30/200,0)</f>
        <v>0</v>
      </c>
      <c r="CZ21" s="457">
        <f>IF(C21="Skema 2",Stamoplysninger!$H$30/200,0)</f>
        <v>0</v>
      </c>
      <c r="DA21" s="457">
        <f>IF(C21="Skema 3",Stamoplysninger!$H$30/200,0)</f>
        <v>0</v>
      </c>
      <c r="DB21" s="457">
        <f>IF(C21="Skema 4",Stamoplysninger!$H$30/200,0)</f>
        <v>0</v>
      </c>
      <c r="DC21" s="457">
        <f>IF(C21="fagdag",Stamoplysninger!$H$30/200,0)</f>
        <v>0</v>
      </c>
      <c r="DD21" s="457">
        <f>IF(C21="emnedag",Stamoplysninger!$H$30/200,0)</f>
        <v>0</v>
      </c>
      <c r="DE21" s="457">
        <f>IF(C21="lejrskole",Stamoplysninger!$H$30/200,0)</f>
        <v>0</v>
      </c>
      <c r="DF21" s="457">
        <f>IF(C21="ekskursion",Stamoplysninger!$H$30/200,0)</f>
        <v>0</v>
      </c>
      <c r="DG21" s="457">
        <f t="shared" si="22"/>
        <v>0</v>
      </c>
    </row>
    <row r="22" spans="1:111">
      <c r="A22" s="443">
        <f t="shared" si="13"/>
        <v>14</v>
      </c>
      <c r="B22" s="218" t="str">
        <f t="shared" si="0"/>
        <v>ma</v>
      </c>
      <c r="C22" s="219" t="s">
        <v>241</v>
      </c>
      <c r="D22" s="220">
        <f t="shared" si="1"/>
        <v>46.285714285714285</v>
      </c>
      <c r="E22" s="909"/>
      <c r="F22" s="910"/>
      <c r="G22" s="911"/>
      <c r="H22" s="525"/>
      <c r="I22" s="855"/>
      <c r="J22" s="726"/>
      <c r="K22" s="669"/>
      <c r="L22" s="669"/>
      <c r="M22" s="669"/>
      <c r="N22" s="557">
        <f t="shared" si="14"/>
        <v>8</v>
      </c>
      <c r="O22" s="557">
        <f t="shared" si="15"/>
        <v>3.75</v>
      </c>
      <c r="P22" s="557">
        <f>IF(Stamoplysninger!$H$29="JA",November!DG22,CX22)</f>
        <v>0.91666666666666674</v>
      </c>
      <c r="Q22" s="557">
        <f t="shared" si="16"/>
        <v>3.333333333333333</v>
      </c>
      <c r="R22" s="558"/>
      <c r="S22" s="564"/>
      <c r="T22" s="565"/>
      <c r="U22" s="565"/>
      <c r="V22" s="753"/>
      <c r="W22" s="559"/>
      <c r="X22" s="760"/>
      <c r="Y22">
        <f t="shared" si="17"/>
        <v>0</v>
      </c>
      <c r="Z22" s="759">
        <f t="shared" si="18"/>
        <v>0</v>
      </c>
      <c r="AA22" s="1">
        <f t="shared" si="2"/>
        <v>0</v>
      </c>
      <c r="AB22" s="1">
        <f t="shared" si="3"/>
        <v>0</v>
      </c>
      <c r="AC22" s="1">
        <f t="shared" si="4"/>
        <v>0</v>
      </c>
      <c r="AD22" s="1">
        <f t="shared" si="5"/>
        <v>0</v>
      </c>
      <c r="AE22" s="1">
        <f t="shared" si="6"/>
        <v>0</v>
      </c>
      <c r="AF22" s="1">
        <f>IF(C22="Orlov",7.4*Stamoplysninger!$E$15,0)</f>
        <v>0</v>
      </c>
      <c r="AG22" s="383">
        <f>IF(AND(C22="Skema 1",B22="ma"),Arbejdstidsoversigt!$E$44,"")</f>
        <v>8</v>
      </c>
      <c r="AH22" s="383" t="str">
        <f>IF(AND(C22="Skema 1",B22="ti"),Arbejdstidsoversigt!$E$45,"")</f>
        <v/>
      </c>
      <c r="AI22" s="383" t="str">
        <f>IF(AND(C22="Skema 1",B22="on"),Arbejdstidsoversigt!$E$46,"")</f>
        <v/>
      </c>
      <c r="AJ22" s="383" t="str">
        <f>IF(AND(C22="Skema 1",B22="to"),Arbejdstidsoversigt!$E$47,"")</f>
        <v/>
      </c>
      <c r="AK22" s="383" t="str">
        <f>IF(AND(C22="Skema 1",B22="fr"),Arbejdstidsoversigt!$E$48,"")</f>
        <v/>
      </c>
      <c r="AL22" s="383" t="str">
        <f>IF(AND(C22="Skema 2",B22="ma"),Arbejdstidsoversigt!$E$53,"")</f>
        <v/>
      </c>
      <c r="AM22" s="383" t="str">
        <f>IF(AND(C22="Skema 2",B22="ti"),Arbejdstidsoversigt!$E$54,"")</f>
        <v/>
      </c>
      <c r="AN22" s="383" t="str">
        <f>IF(AND(C22="Skema 2",B22="on"),Arbejdstidsoversigt!$E$55,"")</f>
        <v/>
      </c>
      <c r="AO22" s="383" t="str">
        <f>IF(AND(C22="Skema 2",B22="to"),Arbejdstidsoversigt!$E$56,"")</f>
        <v/>
      </c>
      <c r="AP22" s="383" t="str">
        <f>IF(AND(C22="Skema 2",B22="fr"),Arbejdstidsoversigt!$E$57,"")</f>
        <v/>
      </c>
      <c r="AQ22" s="383" t="str">
        <f>IF(AND(C22="Skema 3",B22="ma"),Arbejdstidsoversigt!$E$62,"")</f>
        <v/>
      </c>
      <c r="AR22" s="383" t="str">
        <f>IF(AND(C22="Skema 3",B22="ti"),Arbejdstidsoversigt!$E$63,"")</f>
        <v/>
      </c>
      <c r="AS22" s="383" t="str">
        <f>IF(AND(C22="Skema 3",B22="on"),Arbejdstidsoversigt!$E$64,"")</f>
        <v/>
      </c>
      <c r="AT22" s="383" t="str">
        <f>IF(AND(C22="Skema 3",B22="to"),Arbejdstidsoversigt!$E$65,"")</f>
        <v/>
      </c>
      <c r="AU22" s="383" t="str">
        <f>IF(AND(C22="Skema 3",B22="fr"),Arbejdstidsoversigt!$E$66,"")</f>
        <v/>
      </c>
      <c r="AV22" s="383" t="str">
        <f>IF(AND(C22="Skema 4",B22="ma"),Arbejdstidsoversigt!$E$71,"")</f>
        <v/>
      </c>
      <c r="AW22" s="383" t="str">
        <f>IF(AND(C22="Skema 4",B22="ti"),Arbejdstidsoversigt!$E$72,"")</f>
        <v/>
      </c>
      <c r="AX22" s="383" t="str">
        <f>IF(AND(C22="Skema 4",B22="on"),Arbejdstidsoversigt!$E$73,"")</f>
        <v/>
      </c>
      <c r="AY22" s="383" t="str">
        <f>IF(AND(C22="Skema 4",B22="to"),Arbejdstidsoversigt!$E$74,"")</f>
        <v/>
      </c>
      <c r="AZ22" s="383" t="str">
        <f>IF(AND(C22="Skema 4",B22="fr"),Arbejdstidsoversigt!$E$75,"")</f>
        <v/>
      </c>
      <c r="BA22" s="1">
        <f t="shared" si="19"/>
        <v>8</v>
      </c>
      <c r="BB22" s="421">
        <f t="shared" si="7"/>
        <v>192</v>
      </c>
      <c r="BC22" s="1">
        <f t="shared" si="20"/>
        <v>0</v>
      </c>
      <c r="BD22" s="1">
        <f t="shared" si="8"/>
        <v>0</v>
      </c>
      <c r="BE22" s="1">
        <f t="shared" si="9"/>
        <v>0</v>
      </c>
      <c r="BF22" s="1">
        <f t="shared" si="10"/>
        <v>0</v>
      </c>
      <c r="BG22" s="382">
        <f>IF(AND(C22="Skema 1",B22="ma"),Skemaoplysninger!$E$28,"")</f>
        <v>0.15625</v>
      </c>
      <c r="BH22" s="382" t="str">
        <f>IF(AND(C22="Skema 1",B22="ti"),Skemaoplysninger!$F$28,"")</f>
        <v/>
      </c>
      <c r="BI22" s="382" t="str">
        <f>IF(AND(C22="Skema 1",B22="on"),Skemaoplysninger!$G$28,"")</f>
        <v/>
      </c>
      <c r="BJ22" s="382" t="str">
        <f>IF(AND(C22="Skema 1",B22="to"),Skemaoplysninger!$H$28,"")</f>
        <v/>
      </c>
      <c r="BK22" s="382" t="str">
        <f>IF(AND(C22="Skema 1",B22="fr"),Skemaoplysninger!$I$28,"")</f>
        <v/>
      </c>
      <c r="BL22" s="382" t="str">
        <f>IF(AND(C22="Skema 2",B22="ma"),Skemaoplysninger!$O$28,"")</f>
        <v/>
      </c>
      <c r="BM22" s="382" t="str">
        <f>IF(AND(C22="Skema 2",B22="ti"),Skemaoplysninger!$P$28,"")</f>
        <v/>
      </c>
      <c r="BN22" s="382" t="str">
        <f>IF(AND(C22="Skema 2",B22="on"),Skemaoplysninger!$Q$28,"")</f>
        <v/>
      </c>
      <c r="BO22" s="382" t="str">
        <f>IF(AND(C22="Skema 2",B22="to"),Skemaoplysninger!$R$28,"")</f>
        <v/>
      </c>
      <c r="BP22" s="382" t="str">
        <f>IF(AND(C22="Skema 2",B22="fr"),Skemaoplysninger!$S$28,"")</f>
        <v/>
      </c>
      <c r="BQ22" s="382" t="str">
        <f>IF(AND(C22="Skema 3",B22="ma"),Skemaoplysninger!$Y$28,"")</f>
        <v/>
      </c>
      <c r="BR22" s="382" t="str">
        <f>IF(AND(C22="Skema 3",B22="ti"),Skemaoplysninger!$Z$28,"")</f>
        <v/>
      </c>
      <c r="BS22" s="382" t="str">
        <f>IF(AND(C22="Skema 3",B22="on"),Skemaoplysninger!$AA$28,"")</f>
        <v/>
      </c>
      <c r="BT22" s="382" t="str">
        <f>IF(AND(C22="Skema 3",B22="to"),Skemaoplysninger!$AB$28,"")</f>
        <v/>
      </c>
      <c r="BU22" s="382" t="str">
        <f>IF(AND(C22="Skema 3",B22="fr"),Skemaoplysninger!$AC$28,"")</f>
        <v/>
      </c>
      <c r="BV22" s="382" t="str">
        <f>IF(AND(C22="Skema 4",B22="ma"),Skemaoplysninger!$AI$28,"")</f>
        <v/>
      </c>
      <c r="BW22" s="382" t="str">
        <f>IF(AND(C22="Skema 4",B22="ti"),Skemaoplysninger!$AJ$28,"")</f>
        <v/>
      </c>
      <c r="BX22" s="382" t="str">
        <f>IF(AND(C22="Skema 4",B22="on"),Skemaoplysninger!$AK$28,"")</f>
        <v/>
      </c>
      <c r="BY22" s="382" t="str">
        <f>IF(AND(C22="Skema 4",B22="to"),Skemaoplysninger!$AL$28,"")</f>
        <v/>
      </c>
      <c r="BZ22" s="382" t="str">
        <f>IF(AND(C22="Skema 4",B22="fr"),Skemaoplysninger!$AM$28,"")</f>
        <v/>
      </c>
      <c r="CA22" s="1">
        <f t="shared" si="21"/>
        <v>3.75</v>
      </c>
      <c r="CB22" s="1">
        <f t="shared" si="11"/>
        <v>0</v>
      </c>
      <c r="CC22" s="1">
        <f t="shared" si="12"/>
        <v>0</v>
      </c>
      <c r="CD22" s="382">
        <f>IF(AND(C22="Skema 1",B22="ma"),Skemaoplysninger!$E$37,"")</f>
        <v>0.91666666666666674</v>
      </c>
      <c r="CE22" s="382" t="str">
        <f>IF(AND(C22="Skema 1",B22="ti"),Skemaoplysninger!$F$37,"")</f>
        <v/>
      </c>
      <c r="CF22" s="382" t="str">
        <f>IF(AND(C22="Skema 1",B22="on"),Skemaoplysninger!$G$37,"")</f>
        <v/>
      </c>
      <c r="CG22" s="382" t="str">
        <f>IF(AND(C22="Skema 1",B22="to"),Skemaoplysninger!$H$37,"")</f>
        <v/>
      </c>
      <c r="CH22" s="382" t="str">
        <f>IF(AND(C22="Skema 1",B22="fr"),Skemaoplysninger!$I$37,"")</f>
        <v/>
      </c>
      <c r="CI22" s="382" t="str">
        <f>IF(AND(C22="Skema 2",B22="ma"),Skemaoplysninger!$O$37,"")</f>
        <v/>
      </c>
      <c r="CJ22" s="382" t="str">
        <f>IF(AND(C22="Skema 2",B22="ti"),Skemaoplysninger!$P$37,"")</f>
        <v/>
      </c>
      <c r="CK22" s="382" t="str">
        <f>IF(AND(C22="Skema 2",B22="on"),Skemaoplysninger!$Q$37,"")</f>
        <v/>
      </c>
      <c r="CL22" s="382" t="str">
        <f>IF(AND(C22="Skema 2",B22="to"),Skemaoplysninger!$R$37,"")</f>
        <v/>
      </c>
      <c r="CM22" s="382" t="str">
        <f>IF(AND(C22="Skema 2",B22="fr"),Skemaoplysninger!$S$37,"")</f>
        <v/>
      </c>
      <c r="CN22" s="382" t="str">
        <f>IF(AND(C22="Skema 3",B22="ma"),Skemaoplysninger!$Y$37,"")</f>
        <v/>
      </c>
      <c r="CO22" s="382" t="str">
        <f>IF(AND(C22="Skema 3",B22="ti"),Skemaoplysninger!$Z$37,"")</f>
        <v/>
      </c>
      <c r="CP22" s="382" t="str">
        <f>IF(AND(C22="Skema 3",B22="on"),Skemaoplysninger!$AA$37,"")</f>
        <v/>
      </c>
      <c r="CQ22" s="382" t="str">
        <f>IF(AND(C22="Skema 3",B22="to"),Skemaoplysninger!$AB$37,"")</f>
        <v/>
      </c>
      <c r="CR22" s="382" t="str">
        <f>IF(AND(C22="Skema 3",B22="fr"),Skemaoplysninger!$AC$37,"")</f>
        <v/>
      </c>
      <c r="CS22" s="382" t="str">
        <f>IF(AND(C22="Skema 4",B22="ma"),Skemaoplysninger!$AI$37,"")</f>
        <v/>
      </c>
      <c r="CT22" s="382" t="str">
        <f>IF(AND(C22="Skema 4",B22="ti"),Skemaoplysninger!$AJ$37,"")</f>
        <v/>
      </c>
      <c r="CU22" s="382" t="str">
        <f>IF(AND(C22="Skema 4",B22="on"),Skemaoplysninger!$AK$37,"")</f>
        <v/>
      </c>
      <c r="CV22" s="382" t="str">
        <f>IF(AND(C22="Skema 4",B22="to"),Skemaoplysninger!$AL$37,"")</f>
        <v/>
      </c>
      <c r="CW22" s="382" t="str">
        <f>IF(AND(C22="Skema 4",B22="fr"),Skemaoplysninger!$AM$37,"")</f>
        <v/>
      </c>
      <c r="CX22" s="457">
        <f>IF(Stamoplysninger!$H$29="NEJ",SUM(CB22:CW22),0)</f>
        <v>0.91666666666666674</v>
      </c>
      <c r="CY22" s="457">
        <f>IF(C22="Skema 1",Stamoplysninger!$H$30/200,0)</f>
        <v>1</v>
      </c>
      <c r="CZ22" s="457">
        <f>IF(C22="Skema 2",Stamoplysninger!$H$30/200,0)</f>
        <v>0</v>
      </c>
      <c r="DA22" s="457">
        <f>IF(C22="Skema 3",Stamoplysninger!$H$30/200,0)</f>
        <v>0</v>
      </c>
      <c r="DB22" s="457">
        <f>IF(C22="Skema 4",Stamoplysninger!$H$30/200,0)</f>
        <v>0</v>
      </c>
      <c r="DC22" s="457">
        <f>IF(C22="fagdag",Stamoplysninger!$H$30/200,0)</f>
        <v>0</v>
      </c>
      <c r="DD22" s="457">
        <f>IF(C22="emnedag",Stamoplysninger!$H$30/200,0)</f>
        <v>0</v>
      </c>
      <c r="DE22" s="457">
        <f>IF(C22="lejrskole",Stamoplysninger!$H$30/200,0)</f>
        <v>0</v>
      </c>
      <c r="DF22" s="457">
        <f>IF(C22="ekskursion",Stamoplysninger!$H$30/200,0)</f>
        <v>0</v>
      </c>
      <c r="DG22" s="457">
        <f t="shared" si="22"/>
        <v>1</v>
      </c>
    </row>
    <row r="23" spans="1:111">
      <c r="A23" s="443">
        <f t="shared" si="13"/>
        <v>15</v>
      </c>
      <c r="B23" s="218" t="str">
        <f t="shared" si="0"/>
        <v>ti</v>
      </c>
      <c r="C23" s="219" t="s">
        <v>241</v>
      </c>
      <c r="D23" s="220" t="str">
        <f t="shared" si="1"/>
        <v/>
      </c>
      <c r="E23" s="909"/>
      <c r="F23" s="910"/>
      <c r="G23" s="911"/>
      <c r="H23" s="525"/>
      <c r="I23" s="855"/>
      <c r="J23" s="726"/>
      <c r="K23" s="669"/>
      <c r="L23" s="669"/>
      <c r="M23" s="669"/>
      <c r="N23" s="557">
        <f t="shared" si="14"/>
        <v>8</v>
      </c>
      <c r="O23" s="557">
        <f t="shared" si="15"/>
        <v>5.25</v>
      </c>
      <c r="P23" s="557">
        <f>IF(Stamoplysninger!$H$29="JA",November!DG23,CX23)</f>
        <v>1.0833333333333335</v>
      </c>
      <c r="Q23" s="557">
        <f t="shared" si="16"/>
        <v>1.6666666666666665</v>
      </c>
      <c r="R23" s="558"/>
      <c r="S23" s="564"/>
      <c r="T23" s="565"/>
      <c r="U23" s="565"/>
      <c r="V23" s="753"/>
      <c r="W23" s="559"/>
      <c r="X23" s="760"/>
      <c r="Y23">
        <f t="shared" si="17"/>
        <v>0</v>
      </c>
      <c r="Z23" s="759">
        <f t="shared" si="18"/>
        <v>0</v>
      </c>
      <c r="AA23" s="1">
        <f t="shared" si="2"/>
        <v>0</v>
      </c>
      <c r="AB23" s="1">
        <f t="shared" si="3"/>
        <v>0</v>
      </c>
      <c r="AC23" s="1">
        <f t="shared" si="4"/>
        <v>0</v>
      </c>
      <c r="AD23" s="1">
        <f t="shared" si="5"/>
        <v>0</v>
      </c>
      <c r="AE23" s="1">
        <f t="shared" si="6"/>
        <v>0</v>
      </c>
      <c r="AF23" s="1">
        <f>IF(C23="Orlov",7.4*Stamoplysninger!$E$15,0)</f>
        <v>0</v>
      </c>
      <c r="AG23" s="383" t="str">
        <f>IF(AND(C23="Skema 1",B23="ma"),Arbejdstidsoversigt!$E$44,"")</f>
        <v/>
      </c>
      <c r="AH23" s="383">
        <f>IF(AND(C23="Skema 1",B23="ti"),Arbejdstidsoversigt!$E$45,"")</f>
        <v>8</v>
      </c>
      <c r="AI23" s="383" t="str">
        <f>IF(AND(C23="Skema 1",B23="on"),Arbejdstidsoversigt!$E$46,"")</f>
        <v/>
      </c>
      <c r="AJ23" s="383" t="str">
        <f>IF(AND(C23="Skema 1",B23="to"),Arbejdstidsoversigt!$E$47,"")</f>
        <v/>
      </c>
      <c r="AK23" s="383" t="str">
        <f>IF(AND(C23="Skema 1",B23="fr"),Arbejdstidsoversigt!$E$48,"")</f>
        <v/>
      </c>
      <c r="AL23" s="383" t="str">
        <f>IF(AND(C23="Skema 2",B23="ma"),Arbejdstidsoversigt!$E$53,"")</f>
        <v/>
      </c>
      <c r="AM23" s="383" t="str">
        <f>IF(AND(C23="Skema 2",B23="ti"),Arbejdstidsoversigt!$E$54,"")</f>
        <v/>
      </c>
      <c r="AN23" s="383" t="str">
        <f>IF(AND(C23="Skema 2",B23="on"),Arbejdstidsoversigt!$E$55,"")</f>
        <v/>
      </c>
      <c r="AO23" s="383" t="str">
        <f>IF(AND(C23="Skema 2",B23="to"),Arbejdstidsoversigt!$E$56,"")</f>
        <v/>
      </c>
      <c r="AP23" s="383" t="str">
        <f>IF(AND(C23="Skema 2",B23="fr"),Arbejdstidsoversigt!$E$57,"")</f>
        <v/>
      </c>
      <c r="AQ23" s="383" t="str">
        <f>IF(AND(C23="Skema 3",B23="ma"),Arbejdstidsoversigt!$E$62,"")</f>
        <v/>
      </c>
      <c r="AR23" s="383" t="str">
        <f>IF(AND(C23="Skema 3",B23="ti"),Arbejdstidsoversigt!$E$63,"")</f>
        <v/>
      </c>
      <c r="AS23" s="383" t="str">
        <f>IF(AND(C23="Skema 3",B23="on"),Arbejdstidsoversigt!$E$64,"")</f>
        <v/>
      </c>
      <c r="AT23" s="383" t="str">
        <f>IF(AND(C23="Skema 3",B23="to"),Arbejdstidsoversigt!$E$65,"")</f>
        <v/>
      </c>
      <c r="AU23" s="383" t="str">
        <f>IF(AND(C23="Skema 3",B23="fr"),Arbejdstidsoversigt!$E$66,"")</f>
        <v/>
      </c>
      <c r="AV23" s="383" t="str">
        <f>IF(AND(C23="Skema 4",B23="ma"),Arbejdstidsoversigt!$E$71,"")</f>
        <v/>
      </c>
      <c r="AW23" s="383" t="str">
        <f>IF(AND(C23="Skema 4",B23="ti"),Arbejdstidsoversigt!$E$72,"")</f>
        <v/>
      </c>
      <c r="AX23" s="383" t="str">
        <f>IF(AND(C23="Skema 4",B23="on"),Arbejdstidsoversigt!$E$73,"")</f>
        <v/>
      </c>
      <c r="AY23" s="383" t="str">
        <f>IF(AND(C23="Skema 4",B23="to"),Arbejdstidsoversigt!$E$74,"")</f>
        <v/>
      </c>
      <c r="AZ23" s="383" t="str">
        <f>IF(AND(C23="Skema 4",B23="fr"),Arbejdstidsoversigt!$E$75,"")</f>
        <v/>
      </c>
      <c r="BA23" s="1">
        <f t="shared" si="19"/>
        <v>8</v>
      </c>
      <c r="BB23" s="421">
        <f t="shared" si="7"/>
        <v>192</v>
      </c>
      <c r="BC23" s="1">
        <f t="shared" si="20"/>
        <v>0</v>
      </c>
      <c r="BD23" s="1">
        <f t="shared" si="8"/>
        <v>0</v>
      </c>
      <c r="BE23" s="1">
        <f t="shared" si="9"/>
        <v>0</v>
      </c>
      <c r="BF23" s="1">
        <f t="shared" si="10"/>
        <v>0</v>
      </c>
      <c r="BG23" s="382" t="str">
        <f>IF(AND(C23="Skema 1",B23="ma"),Skemaoplysninger!$E$28,"")</f>
        <v/>
      </c>
      <c r="BH23" s="382">
        <f>IF(AND(C23="Skema 1",B23="ti"),Skemaoplysninger!$F$28,"")</f>
        <v>0.21875</v>
      </c>
      <c r="BI23" s="382" t="str">
        <f>IF(AND(C23="Skema 1",B23="on"),Skemaoplysninger!$G$28,"")</f>
        <v/>
      </c>
      <c r="BJ23" s="382" t="str">
        <f>IF(AND(C23="Skema 1",B23="to"),Skemaoplysninger!$H$28,"")</f>
        <v/>
      </c>
      <c r="BK23" s="382" t="str">
        <f>IF(AND(C23="Skema 1",B23="fr"),Skemaoplysninger!$I$28,"")</f>
        <v/>
      </c>
      <c r="BL23" s="382" t="str">
        <f>IF(AND(C23="Skema 2",B23="ma"),Skemaoplysninger!$O$28,"")</f>
        <v/>
      </c>
      <c r="BM23" s="382" t="str">
        <f>IF(AND(C23="Skema 2",B23="ti"),Skemaoplysninger!$P$28,"")</f>
        <v/>
      </c>
      <c r="BN23" s="382" t="str">
        <f>IF(AND(C23="Skema 2",B23="on"),Skemaoplysninger!$Q$28,"")</f>
        <v/>
      </c>
      <c r="BO23" s="382" t="str">
        <f>IF(AND(C23="Skema 2",B23="to"),Skemaoplysninger!$R$28,"")</f>
        <v/>
      </c>
      <c r="BP23" s="382" t="str">
        <f>IF(AND(C23="Skema 2",B23="fr"),Skemaoplysninger!$S$28,"")</f>
        <v/>
      </c>
      <c r="BQ23" s="382" t="str">
        <f>IF(AND(C23="Skema 3",B23="ma"),Skemaoplysninger!$Y$28,"")</f>
        <v/>
      </c>
      <c r="BR23" s="382" t="str">
        <f>IF(AND(C23="Skema 3",B23="ti"),Skemaoplysninger!$Z$28,"")</f>
        <v/>
      </c>
      <c r="BS23" s="382" t="str">
        <f>IF(AND(C23="Skema 3",B23="on"),Skemaoplysninger!$AA$28,"")</f>
        <v/>
      </c>
      <c r="BT23" s="382" t="str">
        <f>IF(AND(C23="Skema 3",B23="to"),Skemaoplysninger!$AB$28,"")</f>
        <v/>
      </c>
      <c r="BU23" s="382" t="str">
        <f>IF(AND(C23="Skema 3",B23="fr"),Skemaoplysninger!$AC$28,"")</f>
        <v/>
      </c>
      <c r="BV23" s="382" t="str">
        <f>IF(AND(C23="Skema 4",B23="ma"),Skemaoplysninger!$AI$28,"")</f>
        <v/>
      </c>
      <c r="BW23" s="382" t="str">
        <f>IF(AND(C23="Skema 4",B23="ti"),Skemaoplysninger!$AJ$28,"")</f>
        <v/>
      </c>
      <c r="BX23" s="382" t="str">
        <f>IF(AND(C23="Skema 4",B23="on"),Skemaoplysninger!$AK$28,"")</f>
        <v/>
      </c>
      <c r="BY23" s="382" t="str">
        <f>IF(AND(C23="Skema 4",B23="to"),Skemaoplysninger!$AL$28,"")</f>
        <v/>
      </c>
      <c r="BZ23" s="382" t="str">
        <f>IF(AND(C23="Skema 4",B23="fr"),Skemaoplysninger!$AM$28,"")</f>
        <v/>
      </c>
      <c r="CA23" s="1">
        <f t="shared" si="21"/>
        <v>5.25</v>
      </c>
      <c r="CB23" s="1">
        <f t="shared" si="11"/>
        <v>0</v>
      </c>
      <c r="CC23" s="1">
        <f t="shared" si="12"/>
        <v>0</v>
      </c>
      <c r="CD23" s="382" t="str">
        <f>IF(AND(C23="Skema 1",B23="ma"),Skemaoplysninger!$E$37,"")</f>
        <v/>
      </c>
      <c r="CE23" s="382">
        <f>IF(AND(C23="Skema 1",B23="ti"),Skemaoplysninger!$F$37,"")</f>
        <v>1.0833333333333335</v>
      </c>
      <c r="CF23" s="382" t="str">
        <f>IF(AND(C23="Skema 1",B23="on"),Skemaoplysninger!$G$37,"")</f>
        <v/>
      </c>
      <c r="CG23" s="382" t="str">
        <f>IF(AND(C23="Skema 1",B23="to"),Skemaoplysninger!$H$37,"")</f>
        <v/>
      </c>
      <c r="CH23" s="382" t="str">
        <f>IF(AND(C23="Skema 1",B23="fr"),Skemaoplysninger!$I$37,"")</f>
        <v/>
      </c>
      <c r="CI23" s="382" t="str">
        <f>IF(AND(C23="Skema 2",B23="ma"),Skemaoplysninger!$O$37,"")</f>
        <v/>
      </c>
      <c r="CJ23" s="382" t="str">
        <f>IF(AND(C23="Skema 2",B23="ti"),Skemaoplysninger!$P$37,"")</f>
        <v/>
      </c>
      <c r="CK23" s="382" t="str">
        <f>IF(AND(C23="Skema 2",B23="on"),Skemaoplysninger!$Q$37,"")</f>
        <v/>
      </c>
      <c r="CL23" s="382" t="str">
        <f>IF(AND(C23="Skema 2",B23="to"),Skemaoplysninger!$R$37,"")</f>
        <v/>
      </c>
      <c r="CM23" s="382" t="str">
        <f>IF(AND(C23="Skema 2",B23="fr"),Skemaoplysninger!$S$37,"")</f>
        <v/>
      </c>
      <c r="CN23" s="382" t="str">
        <f>IF(AND(C23="Skema 3",B23="ma"),Skemaoplysninger!$Y$37,"")</f>
        <v/>
      </c>
      <c r="CO23" s="382" t="str">
        <f>IF(AND(C23="Skema 3",B23="ti"),Skemaoplysninger!$Z$37,"")</f>
        <v/>
      </c>
      <c r="CP23" s="382" t="str">
        <f>IF(AND(C23="Skema 3",B23="on"),Skemaoplysninger!$AA$37,"")</f>
        <v/>
      </c>
      <c r="CQ23" s="382" t="str">
        <f>IF(AND(C23="Skema 3",B23="to"),Skemaoplysninger!$AB$37,"")</f>
        <v/>
      </c>
      <c r="CR23" s="382" t="str">
        <f>IF(AND(C23="Skema 3",B23="fr"),Skemaoplysninger!$AC$37,"")</f>
        <v/>
      </c>
      <c r="CS23" s="382" t="str">
        <f>IF(AND(C23="Skema 4",B23="ma"),Skemaoplysninger!$AI$37,"")</f>
        <v/>
      </c>
      <c r="CT23" s="382" t="str">
        <f>IF(AND(C23="Skema 4",B23="ti"),Skemaoplysninger!$AJ$37,"")</f>
        <v/>
      </c>
      <c r="CU23" s="382" t="str">
        <f>IF(AND(C23="Skema 4",B23="on"),Skemaoplysninger!$AK$37,"")</f>
        <v/>
      </c>
      <c r="CV23" s="382" t="str">
        <f>IF(AND(C23="Skema 4",B23="to"),Skemaoplysninger!$AL$37,"")</f>
        <v/>
      </c>
      <c r="CW23" s="382" t="str">
        <f>IF(AND(C23="Skema 4",B23="fr"),Skemaoplysninger!$AM$37,"")</f>
        <v/>
      </c>
      <c r="CX23" s="457">
        <f>IF(Stamoplysninger!$H$29="NEJ",SUM(CB23:CW23),0)</f>
        <v>1.0833333333333335</v>
      </c>
      <c r="CY23" s="457">
        <f>IF(C23="Skema 1",Stamoplysninger!$H$30/200,0)</f>
        <v>1</v>
      </c>
      <c r="CZ23" s="457">
        <f>IF(C23="Skema 2",Stamoplysninger!$H$30/200,0)</f>
        <v>0</v>
      </c>
      <c r="DA23" s="457">
        <f>IF(C23="Skema 3",Stamoplysninger!$H$30/200,0)</f>
        <v>0</v>
      </c>
      <c r="DB23" s="457">
        <f>IF(C23="Skema 4",Stamoplysninger!$H$30/200,0)</f>
        <v>0</v>
      </c>
      <c r="DC23" s="457">
        <f>IF(C23="fagdag",Stamoplysninger!$H$30/200,0)</f>
        <v>0</v>
      </c>
      <c r="DD23" s="457">
        <f>IF(C23="emnedag",Stamoplysninger!$H$30/200,0)</f>
        <v>0</v>
      </c>
      <c r="DE23" s="457">
        <f>IF(C23="lejrskole",Stamoplysninger!$H$30/200,0)</f>
        <v>0</v>
      </c>
      <c r="DF23" s="457">
        <f>IF(C23="ekskursion",Stamoplysninger!$H$30/200,0)</f>
        <v>0</v>
      </c>
      <c r="DG23" s="457">
        <f t="shared" si="22"/>
        <v>1</v>
      </c>
    </row>
    <row r="24" spans="1:111">
      <c r="A24" s="443">
        <f>IF(ISNUMBER(A23),A23+1,1)</f>
        <v>16</v>
      </c>
      <c r="B24" s="218" t="str">
        <f t="shared" si="0"/>
        <v>on</v>
      </c>
      <c r="C24" s="219" t="s">
        <v>241</v>
      </c>
      <c r="D24" s="220" t="str">
        <f t="shared" si="1"/>
        <v/>
      </c>
      <c r="E24" s="906"/>
      <c r="F24" s="907"/>
      <c r="G24" s="908"/>
      <c r="H24" s="526"/>
      <c r="I24" s="855"/>
      <c r="J24" s="726"/>
      <c r="K24" s="669"/>
      <c r="L24" s="669"/>
      <c r="M24" s="669"/>
      <c r="N24" s="557">
        <f t="shared" si="14"/>
        <v>8</v>
      </c>
      <c r="O24" s="557">
        <f t="shared" si="15"/>
        <v>3.75</v>
      </c>
      <c r="P24" s="557">
        <f>IF(Stamoplysninger!$H$29="JA",November!DG24,CX24)</f>
        <v>0.91666666666666674</v>
      </c>
      <c r="Q24" s="557">
        <f t="shared" si="16"/>
        <v>3.333333333333333</v>
      </c>
      <c r="R24" s="558"/>
      <c r="S24" s="564"/>
      <c r="T24" s="565"/>
      <c r="U24" s="565"/>
      <c r="V24" s="753"/>
      <c r="W24" s="559"/>
      <c r="X24" s="760"/>
      <c r="Y24">
        <f t="shared" si="17"/>
        <v>0</v>
      </c>
      <c r="Z24" s="759">
        <f t="shared" si="18"/>
        <v>0</v>
      </c>
      <c r="AA24" s="1">
        <f t="shared" si="2"/>
        <v>0</v>
      </c>
      <c r="AB24" s="1">
        <f t="shared" si="3"/>
        <v>0</v>
      </c>
      <c r="AC24" s="1">
        <f t="shared" si="4"/>
        <v>0</v>
      </c>
      <c r="AD24" s="1">
        <f t="shared" si="5"/>
        <v>0</v>
      </c>
      <c r="AE24" s="1">
        <f t="shared" si="6"/>
        <v>0</v>
      </c>
      <c r="AF24" s="1">
        <f>IF(C24="Orlov",7.4*Stamoplysninger!$E$15,0)</f>
        <v>0</v>
      </c>
      <c r="AG24" s="383" t="str">
        <f>IF(AND(C24="Skema 1",B24="ma"),Arbejdstidsoversigt!$E$44,"")</f>
        <v/>
      </c>
      <c r="AH24" s="383" t="str">
        <f>IF(AND(C24="Skema 1",B24="ti"),Arbejdstidsoversigt!$E$45,"")</f>
        <v/>
      </c>
      <c r="AI24" s="383">
        <f>IF(AND(C24="Skema 1",B24="on"),Arbejdstidsoversigt!$E$46,"")</f>
        <v>8</v>
      </c>
      <c r="AJ24" s="383" t="str">
        <f>IF(AND(C24="Skema 1",B24="to"),Arbejdstidsoversigt!$E$47,"")</f>
        <v/>
      </c>
      <c r="AK24" s="383" t="str">
        <f>IF(AND(C24="Skema 1",B24="fr"),Arbejdstidsoversigt!$E$48,"")</f>
        <v/>
      </c>
      <c r="AL24" s="383" t="str">
        <f>IF(AND(C24="Skema 2",B24="ma"),Arbejdstidsoversigt!$E$53,"")</f>
        <v/>
      </c>
      <c r="AM24" s="383" t="str">
        <f>IF(AND(C24="Skema 2",B24="ti"),Arbejdstidsoversigt!$E$54,"")</f>
        <v/>
      </c>
      <c r="AN24" s="383" t="str">
        <f>IF(AND(C24="Skema 2",B24="on"),Arbejdstidsoversigt!$E$55,"")</f>
        <v/>
      </c>
      <c r="AO24" s="383" t="str">
        <f>IF(AND(C24="Skema 2",B24="to"),Arbejdstidsoversigt!$E$56,"")</f>
        <v/>
      </c>
      <c r="AP24" s="383" t="str">
        <f>IF(AND(C24="Skema 2",B24="fr"),Arbejdstidsoversigt!$E$57,"")</f>
        <v/>
      </c>
      <c r="AQ24" s="383" t="str">
        <f>IF(AND(C24="Skema 3",B24="ma"),Arbejdstidsoversigt!$E$62,"")</f>
        <v/>
      </c>
      <c r="AR24" s="383" t="str">
        <f>IF(AND(C24="Skema 3",B24="ti"),Arbejdstidsoversigt!$E$63,"")</f>
        <v/>
      </c>
      <c r="AS24" s="383" t="str">
        <f>IF(AND(C24="Skema 3",B24="on"),Arbejdstidsoversigt!$E$64,"")</f>
        <v/>
      </c>
      <c r="AT24" s="383" t="str">
        <f>IF(AND(C24="Skema 3",B24="to"),Arbejdstidsoversigt!$E$65,"")</f>
        <v/>
      </c>
      <c r="AU24" s="383" t="str">
        <f>IF(AND(C24="Skema 3",B24="fr"),Arbejdstidsoversigt!$E$66,"")</f>
        <v/>
      </c>
      <c r="AV24" s="383" t="str">
        <f>IF(AND(C24="Skema 4",B24="ma"),Arbejdstidsoversigt!$E$71,"")</f>
        <v/>
      </c>
      <c r="AW24" s="383" t="str">
        <f>IF(AND(C24="Skema 4",B24="ti"),Arbejdstidsoversigt!$E$72,"")</f>
        <v/>
      </c>
      <c r="AX24" s="383" t="str">
        <f>IF(AND(C24="Skema 4",B24="on"),Arbejdstidsoversigt!$E$73,"")</f>
        <v/>
      </c>
      <c r="AY24" s="383" t="str">
        <f>IF(AND(C24="Skema 4",B24="to"),Arbejdstidsoversigt!$E$74,"")</f>
        <v/>
      </c>
      <c r="AZ24" s="383" t="str">
        <f>IF(AND(C24="Skema 4",B24="fr"),Arbejdstidsoversigt!$E$75,"")</f>
        <v/>
      </c>
      <c r="BA24" s="1">
        <f t="shared" si="19"/>
        <v>8</v>
      </c>
      <c r="BB24" s="421">
        <f t="shared" si="7"/>
        <v>192</v>
      </c>
      <c r="BC24" s="1">
        <f t="shared" si="20"/>
        <v>0</v>
      </c>
      <c r="BD24" s="1">
        <f t="shared" si="8"/>
        <v>0</v>
      </c>
      <c r="BE24" s="1">
        <f t="shared" si="9"/>
        <v>0</v>
      </c>
      <c r="BF24" s="1">
        <f t="shared" si="10"/>
        <v>0</v>
      </c>
      <c r="BG24" s="382" t="str">
        <f>IF(AND(C24="Skema 1",B24="ma"),Skemaoplysninger!$E$28,"")</f>
        <v/>
      </c>
      <c r="BH24" s="382" t="str">
        <f>IF(AND(C24="Skema 1",B24="ti"),Skemaoplysninger!$F$28,"")</f>
        <v/>
      </c>
      <c r="BI24" s="382">
        <f>IF(AND(C24="Skema 1",B24="on"),Skemaoplysninger!$G$28,"")</f>
        <v>0.15625</v>
      </c>
      <c r="BJ24" s="382" t="str">
        <f>IF(AND(C24="Skema 1",B24="to"),Skemaoplysninger!$H$28,"")</f>
        <v/>
      </c>
      <c r="BK24" s="382" t="str">
        <f>IF(AND(C24="Skema 1",B24="fr"),Skemaoplysninger!$I$28,"")</f>
        <v/>
      </c>
      <c r="BL24" s="382" t="str">
        <f>IF(AND(C24="Skema 2",B24="ma"),Skemaoplysninger!$O$28,"")</f>
        <v/>
      </c>
      <c r="BM24" s="382" t="str">
        <f>IF(AND(C24="Skema 2",B24="ti"),Skemaoplysninger!$P$28,"")</f>
        <v/>
      </c>
      <c r="BN24" s="382" t="str">
        <f>IF(AND(C24="Skema 2",B24="on"),Skemaoplysninger!$Q$28,"")</f>
        <v/>
      </c>
      <c r="BO24" s="382" t="str">
        <f>IF(AND(C24="Skema 2",B24="to"),Skemaoplysninger!$R$28,"")</f>
        <v/>
      </c>
      <c r="BP24" s="382" t="str">
        <f>IF(AND(C24="Skema 2",B24="fr"),Skemaoplysninger!$S$28,"")</f>
        <v/>
      </c>
      <c r="BQ24" s="382" t="str">
        <f>IF(AND(C24="Skema 3",B24="ma"),Skemaoplysninger!$Y$28,"")</f>
        <v/>
      </c>
      <c r="BR24" s="382" t="str">
        <f>IF(AND(C24="Skema 3",B24="ti"),Skemaoplysninger!$Z$28,"")</f>
        <v/>
      </c>
      <c r="BS24" s="382" t="str">
        <f>IF(AND(C24="Skema 3",B24="on"),Skemaoplysninger!$AA$28,"")</f>
        <v/>
      </c>
      <c r="BT24" s="382" t="str">
        <f>IF(AND(C24="Skema 3",B24="to"),Skemaoplysninger!$AB$28,"")</f>
        <v/>
      </c>
      <c r="BU24" s="382" t="str">
        <f>IF(AND(C24="Skema 3",B24="fr"),Skemaoplysninger!$AC$28,"")</f>
        <v/>
      </c>
      <c r="BV24" s="382" t="str">
        <f>IF(AND(C24="Skema 4",B24="ma"),Skemaoplysninger!$AI$28,"")</f>
        <v/>
      </c>
      <c r="BW24" s="382" t="str">
        <f>IF(AND(C24="Skema 4",B24="ti"),Skemaoplysninger!$AJ$28,"")</f>
        <v/>
      </c>
      <c r="BX24" s="382" t="str">
        <f>IF(AND(C24="Skema 4",B24="on"),Skemaoplysninger!$AK$28,"")</f>
        <v/>
      </c>
      <c r="BY24" s="382" t="str">
        <f>IF(AND(C24="Skema 4",B24="to"),Skemaoplysninger!$AL$28,"")</f>
        <v/>
      </c>
      <c r="BZ24" s="382" t="str">
        <f>IF(AND(C24="Skema 4",B24="fr"),Skemaoplysninger!$AM$28,"")</f>
        <v/>
      </c>
      <c r="CA24" s="1">
        <f t="shared" si="21"/>
        <v>3.75</v>
      </c>
      <c r="CB24" s="1">
        <f t="shared" si="11"/>
        <v>0</v>
      </c>
      <c r="CC24" s="1">
        <f t="shared" si="12"/>
        <v>0</v>
      </c>
      <c r="CD24" s="382" t="str">
        <f>IF(AND(C24="Skema 1",B24="ma"),Skemaoplysninger!$E$37,"")</f>
        <v/>
      </c>
      <c r="CE24" s="382" t="str">
        <f>IF(AND(C24="Skema 1",B24="ti"),Skemaoplysninger!$F$37,"")</f>
        <v/>
      </c>
      <c r="CF24" s="382">
        <f>IF(AND(C24="Skema 1",B24="on"),Skemaoplysninger!$G$37,"")</f>
        <v>0.91666666666666674</v>
      </c>
      <c r="CG24" s="382" t="str">
        <f>IF(AND(C24="Skema 1",B24="to"),Skemaoplysninger!$H$37,"")</f>
        <v/>
      </c>
      <c r="CH24" s="382" t="str">
        <f>IF(AND(C24="Skema 1",B24="fr"),Skemaoplysninger!$I$37,"")</f>
        <v/>
      </c>
      <c r="CI24" s="382" t="str">
        <f>IF(AND(C24="Skema 2",B24="ma"),Skemaoplysninger!$O$37,"")</f>
        <v/>
      </c>
      <c r="CJ24" s="382" t="str">
        <f>IF(AND(C24="Skema 2",B24="ti"),Skemaoplysninger!$P$37,"")</f>
        <v/>
      </c>
      <c r="CK24" s="382" t="str">
        <f>IF(AND(C24="Skema 2",B24="on"),Skemaoplysninger!$Q$37,"")</f>
        <v/>
      </c>
      <c r="CL24" s="382" t="str">
        <f>IF(AND(C24="Skema 2",B24="to"),Skemaoplysninger!$R$37,"")</f>
        <v/>
      </c>
      <c r="CM24" s="382" t="str">
        <f>IF(AND(C24="Skema 2",B24="fr"),Skemaoplysninger!$S$37,"")</f>
        <v/>
      </c>
      <c r="CN24" s="382" t="str">
        <f>IF(AND(C24="Skema 3",B24="ma"),Skemaoplysninger!$Y$37,"")</f>
        <v/>
      </c>
      <c r="CO24" s="382" t="str">
        <f>IF(AND(C24="Skema 3",B24="ti"),Skemaoplysninger!$Z$37,"")</f>
        <v/>
      </c>
      <c r="CP24" s="382" t="str">
        <f>IF(AND(C24="Skema 3",B24="on"),Skemaoplysninger!$AA$37,"")</f>
        <v/>
      </c>
      <c r="CQ24" s="382" t="str">
        <f>IF(AND(C24="Skema 3",B24="to"),Skemaoplysninger!$AB$37,"")</f>
        <v/>
      </c>
      <c r="CR24" s="382" t="str">
        <f>IF(AND(C24="Skema 3",B24="fr"),Skemaoplysninger!$AC$37,"")</f>
        <v/>
      </c>
      <c r="CS24" s="382" t="str">
        <f>IF(AND(C24="Skema 4",B24="ma"),Skemaoplysninger!$AI$37,"")</f>
        <v/>
      </c>
      <c r="CT24" s="382" t="str">
        <f>IF(AND(C24="Skema 4",B24="ti"),Skemaoplysninger!$AJ$37,"")</f>
        <v/>
      </c>
      <c r="CU24" s="382" t="str">
        <f>IF(AND(C24="Skema 4",B24="on"),Skemaoplysninger!$AK$37,"")</f>
        <v/>
      </c>
      <c r="CV24" s="382" t="str">
        <f>IF(AND(C24="Skema 4",B24="to"),Skemaoplysninger!$AL$37,"")</f>
        <v/>
      </c>
      <c r="CW24" s="382" t="str">
        <f>IF(AND(C24="Skema 4",B24="fr"),Skemaoplysninger!$AM$37,"")</f>
        <v/>
      </c>
      <c r="CX24" s="457">
        <f>IF(Stamoplysninger!$H$29="NEJ",SUM(CB24:CW24),0)</f>
        <v>0.91666666666666674</v>
      </c>
      <c r="CY24" s="457">
        <f>IF(C24="Skema 1",Stamoplysninger!$H$30/200,0)</f>
        <v>1</v>
      </c>
      <c r="CZ24" s="457">
        <f>IF(C24="Skema 2",Stamoplysninger!$H$30/200,0)</f>
        <v>0</v>
      </c>
      <c r="DA24" s="457">
        <f>IF(C24="Skema 3",Stamoplysninger!$H$30/200,0)</f>
        <v>0</v>
      </c>
      <c r="DB24" s="457">
        <f>IF(C24="Skema 4",Stamoplysninger!$H$30/200,0)</f>
        <v>0</v>
      </c>
      <c r="DC24" s="457">
        <f>IF(C24="fagdag",Stamoplysninger!$H$30/200,0)</f>
        <v>0</v>
      </c>
      <c r="DD24" s="457">
        <f>IF(C24="emnedag",Stamoplysninger!$H$30/200,0)</f>
        <v>0</v>
      </c>
      <c r="DE24" s="457">
        <f>IF(C24="lejrskole",Stamoplysninger!$H$30/200,0)</f>
        <v>0</v>
      </c>
      <c r="DF24" s="457">
        <f>IF(C24="ekskursion",Stamoplysninger!$H$30/200,0)</f>
        <v>0</v>
      </c>
      <c r="DG24" s="457">
        <f t="shared" si="22"/>
        <v>1</v>
      </c>
    </row>
    <row r="25" spans="1:111">
      <c r="A25" s="443">
        <f t="shared" si="13"/>
        <v>17</v>
      </c>
      <c r="B25" s="218" t="str">
        <f t="shared" si="0"/>
        <v>to</v>
      </c>
      <c r="C25" s="219" t="s">
        <v>241</v>
      </c>
      <c r="D25" s="220" t="str">
        <f t="shared" si="1"/>
        <v/>
      </c>
      <c r="E25" s="906"/>
      <c r="F25" s="907"/>
      <c r="G25" s="908"/>
      <c r="H25" s="526"/>
      <c r="I25" s="855"/>
      <c r="J25" s="726"/>
      <c r="K25" s="669"/>
      <c r="L25" s="669"/>
      <c r="M25" s="669"/>
      <c r="N25" s="557">
        <f t="shared" si="14"/>
        <v>8</v>
      </c>
      <c r="O25" s="557">
        <f t="shared" si="15"/>
        <v>3.75</v>
      </c>
      <c r="P25" s="557">
        <f>IF(Stamoplysninger!$H$29="JA",November!DG25,CX25)</f>
        <v>0.91666666666666674</v>
      </c>
      <c r="Q25" s="557">
        <f t="shared" si="16"/>
        <v>3.333333333333333</v>
      </c>
      <c r="R25" s="558"/>
      <c r="S25" s="564"/>
      <c r="T25" s="565"/>
      <c r="U25" s="565"/>
      <c r="V25" s="753"/>
      <c r="W25" s="559"/>
      <c r="X25" s="760"/>
      <c r="Y25">
        <f t="shared" si="17"/>
        <v>0</v>
      </c>
      <c r="Z25" s="759">
        <f t="shared" si="18"/>
        <v>0</v>
      </c>
      <c r="AA25" s="1">
        <f t="shared" si="2"/>
        <v>0</v>
      </c>
      <c r="AB25" s="1">
        <f t="shared" si="3"/>
        <v>0</v>
      </c>
      <c r="AC25" s="1">
        <f t="shared" si="4"/>
        <v>0</v>
      </c>
      <c r="AD25" s="1">
        <f t="shared" si="5"/>
        <v>0</v>
      </c>
      <c r="AE25" s="1">
        <f t="shared" si="6"/>
        <v>0</v>
      </c>
      <c r="AF25" s="1">
        <f>IF(C25="Orlov",7.4*Stamoplysninger!$E$15,0)</f>
        <v>0</v>
      </c>
      <c r="AG25" s="383" t="str">
        <f>IF(AND(C25="Skema 1",B25="ma"),Arbejdstidsoversigt!$E$44,"")</f>
        <v/>
      </c>
      <c r="AH25" s="383" t="str">
        <f>IF(AND(C25="Skema 1",B25="ti"),Arbejdstidsoversigt!$E$45,"")</f>
        <v/>
      </c>
      <c r="AI25" s="383" t="str">
        <f>IF(AND(C25="Skema 1",B25="on"),Arbejdstidsoversigt!$E$46,"")</f>
        <v/>
      </c>
      <c r="AJ25" s="383">
        <f>IF(AND(C25="Skema 1",B25="to"),Arbejdstidsoversigt!$E$47,"")</f>
        <v>8</v>
      </c>
      <c r="AK25" s="383" t="str">
        <f>IF(AND(C25="Skema 1",B25="fr"),Arbejdstidsoversigt!$E$48,"")</f>
        <v/>
      </c>
      <c r="AL25" s="383" t="str">
        <f>IF(AND(C25="Skema 2",B25="ma"),Arbejdstidsoversigt!$E$53,"")</f>
        <v/>
      </c>
      <c r="AM25" s="383" t="str">
        <f>IF(AND(C25="Skema 2",B25="ti"),Arbejdstidsoversigt!$E$54,"")</f>
        <v/>
      </c>
      <c r="AN25" s="383" t="str">
        <f>IF(AND(C25="Skema 2",B25="on"),Arbejdstidsoversigt!$E$55,"")</f>
        <v/>
      </c>
      <c r="AO25" s="383" t="str">
        <f>IF(AND(C25="Skema 2",B25="to"),Arbejdstidsoversigt!$E$56,"")</f>
        <v/>
      </c>
      <c r="AP25" s="383" t="str">
        <f>IF(AND(C25="Skema 2",B25="fr"),Arbejdstidsoversigt!$E$57,"")</f>
        <v/>
      </c>
      <c r="AQ25" s="383" t="str">
        <f>IF(AND(C25="Skema 3",B25="ma"),Arbejdstidsoversigt!$E$62,"")</f>
        <v/>
      </c>
      <c r="AR25" s="383" t="str">
        <f>IF(AND(C25="Skema 3",B25="ti"),Arbejdstidsoversigt!$E$63,"")</f>
        <v/>
      </c>
      <c r="AS25" s="383" t="str">
        <f>IF(AND(C25="Skema 3",B25="on"),Arbejdstidsoversigt!$E$64,"")</f>
        <v/>
      </c>
      <c r="AT25" s="383" t="str">
        <f>IF(AND(C25="Skema 3",B25="to"),Arbejdstidsoversigt!$E$65,"")</f>
        <v/>
      </c>
      <c r="AU25" s="383" t="str">
        <f>IF(AND(C25="Skema 3",B25="fr"),Arbejdstidsoversigt!$E$66,"")</f>
        <v/>
      </c>
      <c r="AV25" s="383" t="str">
        <f>IF(AND(C25="Skema 4",B25="ma"),Arbejdstidsoversigt!$E$71,"")</f>
        <v/>
      </c>
      <c r="AW25" s="383" t="str">
        <f>IF(AND(C25="Skema 4",B25="ti"),Arbejdstidsoversigt!$E$72,"")</f>
        <v/>
      </c>
      <c r="AX25" s="383" t="str">
        <f>IF(AND(C25="Skema 4",B25="on"),Arbejdstidsoversigt!$E$73,"")</f>
        <v/>
      </c>
      <c r="AY25" s="383" t="str">
        <f>IF(AND(C25="Skema 4",B25="to"),Arbejdstidsoversigt!$E$74,"")</f>
        <v/>
      </c>
      <c r="AZ25" s="383" t="str">
        <f>IF(AND(C25="Skema 4",B25="fr"),Arbejdstidsoversigt!$E$75,"")</f>
        <v/>
      </c>
      <c r="BA25" s="1">
        <f t="shared" si="19"/>
        <v>8</v>
      </c>
      <c r="BB25" s="421">
        <f t="shared" si="7"/>
        <v>192</v>
      </c>
      <c r="BC25" s="1">
        <f t="shared" si="20"/>
        <v>0</v>
      </c>
      <c r="BD25" s="1">
        <f t="shared" si="8"/>
        <v>0</v>
      </c>
      <c r="BE25" s="1">
        <f t="shared" si="9"/>
        <v>0</v>
      </c>
      <c r="BF25" s="1">
        <f t="shared" si="10"/>
        <v>0</v>
      </c>
      <c r="BG25" s="382" t="str">
        <f>IF(AND(C25="Skema 1",B25="ma"),Skemaoplysninger!$E$28,"")</f>
        <v/>
      </c>
      <c r="BH25" s="382" t="str">
        <f>IF(AND(C25="Skema 1",B25="ti"),Skemaoplysninger!$F$28,"")</f>
        <v/>
      </c>
      <c r="BI25" s="382" t="str">
        <f>IF(AND(C25="Skema 1",B25="on"),Skemaoplysninger!$G$28,"")</f>
        <v/>
      </c>
      <c r="BJ25" s="382">
        <f>IF(AND(C25="Skema 1",B25="to"),Skemaoplysninger!$H$28,"")</f>
        <v>0.15625</v>
      </c>
      <c r="BK25" s="382" t="str">
        <f>IF(AND(C25="Skema 1",B25="fr"),Skemaoplysninger!$I$28,"")</f>
        <v/>
      </c>
      <c r="BL25" s="382" t="str">
        <f>IF(AND(C25="Skema 2",B25="ma"),Skemaoplysninger!$O$28,"")</f>
        <v/>
      </c>
      <c r="BM25" s="382" t="str">
        <f>IF(AND(C25="Skema 2",B25="ti"),Skemaoplysninger!$P$28,"")</f>
        <v/>
      </c>
      <c r="BN25" s="382" t="str">
        <f>IF(AND(C25="Skema 2",B25="on"),Skemaoplysninger!$Q$28,"")</f>
        <v/>
      </c>
      <c r="BO25" s="382" t="str">
        <f>IF(AND(C25="Skema 2",B25="to"),Skemaoplysninger!$R$28,"")</f>
        <v/>
      </c>
      <c r="BP25" s="382" t="str">
        <f>IF(AND(C25="Skema 2",B25="fr"),Skemaoplysninger!$S$28,"")</f>
        <v/>
      </c>
      <c r="BQ25" s="382" t="str">
        <f>IF(AND(C25="Skema 3",B25="ma"),Skemaoplysninger!$Y$28,"")</f>
        <v/>
      </c>
      <c r="BR25" s="382" t="str">
        <f>IF(AND(C25="Skema 3",B25="ti"),Skemaoplysninger!$Z$28,"")</f>
        <v/>
      </c>
      <c r="BS25" s="382" t="str">
        <f>IF(AND(C25="Skema 3",B25="on"),Skemaoplysninger!$AA$28,"")</f>
        <v/>
      </c>
      <c r="BT25" s="382" t="str">
        <f>IF(AND(C25="Skema 3",B25="to"),Skemaoplysninger!$AB$28,"")</f>
        <v/>
      </c>
      <c r="BU25" s="382" t="str">
        <f>IF(AND(C25="Skema 3",B25="fr"),Skemaoplysninger!$AC$28,"")</f>
        <v/>
      </c>
      <c r="BV25" s="382" t="str">
        <f>IF(AND(C25="Skema 4",B25="ma"),Skemaoplysninger!$AI$28,"")</f>
        <v/>
      </c>
      <c r="BW25" s="382" t="str">
        <f>IF(AND(C25="Skema 4",B25="ti"),Skemaoplysninger!$AJ$28,"")</f>
        <v/>
      </c>
      <c r="BX25" s="382" t="str">
        <f>IF(AND(C25="Skema 4",B25="on"),Skemaoplysninger!$AK$28,"")</f>
        <v/>
      </c>
      <c r="BY25" s="382" t="str">
        <f>IF(AND(C25="Skema 4",B25="to"),Skemaoplysninger!$AL$28,"")</f>
        <v/>
      </c>
      <c r="BZ25" s="382" t="str">
        <f>IF(AND(C25="Skema 4",B25="fr"),Skemaoplysninger!$AM$28,"")</f>
        <v/>
      </c>
      <c r="CA25" s="1">
        <f t="shared" si="21"/>
        <v>3.75</v>
      </c>
      <c r="CB25" s="1">
        <f t="shared" si="11"/>
        <v>0</v>
      </c>
      <c r="CC25" s="1">
        <f t="shared" si="12"/>
        <v>0</v>
      </c>
      <c r="CD25" s="382" t="str">
        <f>IF(AND(C25="Skema 1",B25="ma"),Skemaoplysninger!$E$37,"")</f>
        <v/>
      </c>
      <c r="CE25" s="382" t="str">
        <f>IF(AND(C25="Skema 1",B25="ti"),Skemaoplysninger!$F$37,"")</f>
        <v/>
      </c>
      <c r="CF25" s="382" t="str">
        <f>IF(AND(C25="Skema 1",B25="on"),Skemaoplysninger!$G$37,"")</f>
        <v/>
      </c>
      <c r="CG25" s="382">
        <f>IF(AND(C25="Skema 1",B25="to"),Skemaoplysninger!$H$37,"")</f>
        <v>0.91666666666666674</v>
      </c>
      <c r="CH25" s="382" t="str">
        <f>IF(AND(C25="Skema 1",B25="fr"),Skemaoplysninger!$I$37,"")</f>
        <v/>
      </c>
      <c r="CI25" s="382" t="str">
        <f>IF(AND(C25="Skema 2",B25="ma"),Skemaoplysninger!$O$37,"")</f>
        <v/>
      </c>
      <c r="CJ25" s="382" t="str">
        <f>IF(AND(C25="Skema 2",B25="ti"),Skemaoplysninger!$P$37,"")</f>
        <v/>
      </c>
      <c r="CK25" s="382" t="str">
        <f>IF(AND(C25="Skema 2",B25="on"),Skemaoplysninger!$Q$37,"")</f>
        <v/>
      </c>
      <c r="CL25" s="382" t="str">
        <f>IF(AND(C25="Skema 2",B25="to"),Skemaoplysninger!$R$37,"")</f>
        <v/>
      </c>
      <c r="CM25" s="382" t="str">
        <f>IF(AND(C25="Skema 2",B25="fr"),Skemaoplysninger!$S$37,"")</f>
        <v/>
      </c>
      <c r="CN25" s="382" t="str">
        <f>IF(AND(C25="Skema 3",B25="ma"),Skemaoplysninger!$Y$37,"")</f>
        <v/>
      </c>
      <c r="CO25" s="382" t="str">
        <f>IF(AND(C25="Skema 3",B25="ti"),Skemaoplysninger!$Z$37,"")</f>
        <v/>
      </c>
      <c r="CP25" s="382" t="str">
        <f>IF(AND(C25="Skema 3",B25="on"),Skemaoplysninger!$AA$37,"")</f>
        <v/>
      </c>
      <c r="CQ25" s="382" t="str">
        <f>IF(AND(C25="Skema 3",B25="to"),Skemaoplysninger!$AB$37,"")</f>
        <v/>
      </c>
      <c r="CR25" s="382" t="str">
        <f>IF(AND(C25="Skema 3",B25="fr"),Skemaoplysninger!$AC$37,"")</f>
        <v/>
      </c>
      <c r="CS25" s="382" t="str">
        <f>IF(AND(C25="Skema 4",B25="ma"),Skemaoplysninger!$AI$37,"")</f>
        <v/>
      </c>
      <c r="CT25" s="382" t="str">
        <f>IF(AND(C25="Skema 4",B25="ti"),Skemaoplysninger!$AJ$37,"")</f>
        <v/>
      </c>
      <c r="CU25" s="382" t="str">
        <f>IF(AND(C25="Skema 4",B25="on"),Skemaoplysninger!$AK$37,"")</f>
        <v/>
      </c>
      <c r="CV25" s="382" t="str">
        <f>IF(AND(C25="Skema 4",B25="to"),Skemaoplysninger!$AL$37,"")</f>
        <v/>
      </c>
      <c r="CW25" s="382" t="str">
        <f>IF(AND(C25="Skema 4",B25="fr"),Skemaoplysninger!$AM$37,"")</f>
        <v/>
      </c>
      <c r="CX25" s="457">
        <f>IF(Stamoplysninger!$H$29="NEJ",SUM(CB25:CW25),0)</f>
        <v>0.91666666666666674</v>
      </c>
      <c r="CY25" s="457">
        <f>IF(C25="Skema 1",Stamoplysninger!$H$30/200,0)</f>
        <v>1</v>
      </c>
      <c r="CZ25" s="457">
        <f>IF(C25="Skema 2",Stamoplysninger!$H$30/200,0)</f>
        <v>0</v>
      </c>
      <c r="DA25" s="457">
        <f>IF(C25="Skema 3",Stamoplysninger!$H$30/200,0)</f>
        <v>0</v>
      </c>
      <c r="DB25" s="457">
        <f>IF(C25="Skema 4",Stamoplysninger!$H$30/200,0)</f>
        <v>0</v>
      </c>
      <c r="DC25" s="457">
        <f>IF(C25="fagdag",Stamoplysninger!$H$30/200,0)</f>
        <v>0</v>
      </c>
      <c r="DD25" s="457">
        <f>IF(C25="emnedag",Stamoplysninger!$H$30/200,0)</f>
        <v>0</v>
      </c>
      <c r="DE25" s="457">
        <f>IF(C25="lejrskole",Stamoplysninger!$H$30/200,0)</f>
        <v>0</v>
      </c>
      <c r="DF25" s="457">
        <f>IF(C25="ekskursion",Stamoplysninger!$H$30/200,0)</f>
        <v>0</v>
      </c>
      <c r="DG25" s="457">
        <f t="shared" si="22"/>
        <v>1</v>
      </c>
    </row>
    <row r="26" spans="1:111">
      <c r="A26" s="443">
        <f t="shared" si="13"/>
        <v>18</v>
      </c>
      <c r="B26" s="218" t="str">
        <f t="shared" si="0"/>
        <v>fr</v>
      </c>
      <c r="C26" s="219" t="s">
        <v>241</v>
      </c>
      <c r="D26" s="220" t="str">
        <f t="shared" si="1"/>
        <v/>
      </c>
      <c r="E26" s="906"/>
      <c r="F26" s="907"/>
      <c r="G26" s="908"/>
      <c r="H26" s="526"/>
      <c r="I26" s="855"/>
      <c r="J26" s="726"/>
      <c r="K26" s="669"/>
      <c r="L26" s="669"/>
      <c r="M26" s="669"/>
      <c r="N26" s="557">
        <f t="shared" si="14"/>
        <v>7</v>
      </c>
      <c r="O26" s="557">
        <f t="shared" si="15"/>
        <v>2.25</v>
      </c>
      <c r="P26" s="557">
        <f>IF(Stamoplysninger!$H$29="JA",November!DG26,CX26)</f>
        <v>0.33333333333333331</v>
      </c>
      <c r="Q26" s="557">
        <f t="shared" si="16"/>
        <v>4.416666666666667</v>
      </c>
      <c r="R26" s="558"/>
      <c r="S26" s="564"/>
      <c r="T26" s="565"/>
      <c r="U26" s="565"/>
      <c r="V26" s="753"/>
      <c r="W26" s="559"/>
      <c r="X26" s="760"/>
      <c r="Y26">
        <f t="shared" si="17"/>
        <v>0</v>
      </c>
      <c r="Z26" s="759">
        <f t="shared" si="18"/>
        <v>0</v>
      </c>
      <c r="AA26" s="1">
        <f t="shared" si="2"/>
        <v>0</v>
      </c>
      <c r="AB26" s="1">
        <f t="shared" si="3"/>
        <v>0</v>
      </c>
      <c r="AC26" s="1">
        <f t="shared" si="4"/>
        <v>0</v>
      </c>
      <c r="AD26" s="1">
        <f t="shared" si="5"/>
        <v>0</v>
      </c>
      <c r="AE26" s="1">
        <f t="shared" si="6"/>
        <v>0</v>
      </c>
      <c r="AF26" s="1">
        <f>IF(C26="Orlov",7.4*Stamoplysninger!$E$15,0)</f>
        <v>0</v>
      </c>
      <c r="AG26" s="383" t="str">
        <f>IF(AND(C26="Skema 1",B26="ma"),Arbejdstidsoversigt!$E$44,"")</f>
        <v/>
      </c>
      <c r="AH26" s="383" t="str">
        <f>IF(AND(C26="Skema 1",B26="ti"),Arbejdstidsoversigt!$E$45,"")</f>
        <v/>
      </c>
      <c r="AI26" s="383" t="str">
        <f>IF(AND(C26="Skema 1",B26="on"),Arbejdstidsoversigt!$E$46,"")</f>
        <v/>
      </c>
      <c r="AJ26" s="383" t="str">
        <f>IF(AND(C26="Skema 1",B26="to"),Arbejdstidsoversigt!$E$47,"")</f>
        <v/>
      </c>
      <c r="AK26" s="383">
        <f>IF(AND(C26="Skema 1",B26="fr"),Arbejdstidsoversigt!$E$48,"")</f>
        <v>7</v>
      </c>
      <c r="AL26" s="383" t="str">
        <f>IF(AND(C26="Skema 2",B26="ma"),Arbejdstidsoversigt!$E$53,"")</f>
        <v/>
      </c>
      <c r="AM26" s="383" t="str">
        <f>IF(AND(C26="Skema 2",B26="ti"),Arbejdstidsoversigt!$E$54,"")</f>
        <v/>
      </c>
      <c r="AN26" s="383" t="str">
        <f>IF(AND(C26="Skema 2",B26="on"),Arbejdstidsoversigt!$E$55,"")</f>
        <v/>
      </c>
      <c r="AO26" s="383" t="str">
        <f>IF(AND(C26="Skema 2",B26="to"),Arbejdstidsoversigt!$E$56,"")</f>
        <v/>
      </c>
      <c r="AP26" s="383" t="str">
        <f>IF(AND(C26="Skema 2",B26="fr"),Arbejdstidsoversigt!$E$57,"")</f>
        <v/>
      </c>
      <c r="AQ26" s="383" t="str">
        <f>IF(AND(C26="Skema 3",B26="ma"),Arbejdstidsoversigt!$E$62,"")</f>
        <v/>
      </c>
      <c r="AR26" s="383" t="str">
        <f>IF(AND(C26="Skema 3",B26="ti"),Arbejdstidsoversigt!$E$63,"")</f>
        <v/>
      </c>
      <c r="AS26" s="383" t="str">
        <f>IF(AND(C26="Skema 3",B26="on"),Arbejdstidsoversigt!$E$64,"")</f>
        <v/>
      </c>
      <c r="AT26" s="383" t="str">
        <f>IF(AND(C26="Skema 3",B26="to"),Arbejdstidsoversigt!$E$65,"")</f>
        <v/>
      </c>
      <c r="AU26" s="383" t="str">
        <f>IF(AND(C26="Skema 3",B26="fr"),Arbejdstidsoversigt!$E$66,"")</f>
        <v/>
      </c>
      <c r="AV26" s="383" t="str">
        <f>IF(AND(C26="Skema 4",B26="ma"),Arbejdstidsoversigt!$E$71,"")</f>
        <v/>
      </c>
      <c r="AW26" s="383" t="str">
        <f>IF(AND(C26="Skema 4",B26="ti"),Arbejdstidsoversigt!$E$72,"")</f>
        <v/>
      </c>
      <c r="AX26" s="383" t="str">
        <f>IF(AND(C26="Skema 4",B26="on"),Arbejdstidsoversigt!$E$73,"")</f>
        <v/>
      </c>
      <c r="AY26" s="383" t="str">
        <f>IF(AND(C26="Skema 4",B26="to"),Arbejdstidsoversigt!$E$74,"")</f>
        <v/>
      </c>
      <c r="AZ26" s="383" t="str">
        <f>IF(AND(C26="Skema 4",B26="fr"),Arbejdstidsoversigt!$E$75,"")</f>
        <v/>
      </c>
      <c r="BA26" s="1">
        <f t="shared" si="19"/>
        <v>7</v>
      </c>
      <c r="BB26" s="421">
        <f t="shared" si="7"/>
        <v>168</v>
      </c>
      <c r="BC26" s="1">
        <f t="shared" si="20"/>
        <v>0</v>
      </c>
      <c r="BD26" s="1">
        <f t="shared" si="8"/>
        <v>0</v>
      </c>
      <c r="BE26" s="1">
        <f t="shared" si="9"/>
        <v>0</v>
      </c>
      <c r="BF26" s="1">
        <f t="shared" si="10"/>
        <v>0</v>
      </c>
      <c r="BG26" s="382" t="str">
        <f>IF(AND(C26="Skema 1",B26="ma"),Skemaoplysninger!$E$28,"")</f>
        <v/>
      </c>
      <c r="BH26" s="382" t="str">
        <f>IF(AND(C26="Skema 1",B26="ti"),Skemaoplysninger!$F$28,"")</f>
        <v/>
      </c>
      <c r="BI26" s="382" t="str">
        <f>IF(AND(C26="Skema 1",B26="on"),Skemaoplysninger!$G$28,"")</f>
        <v/>
      </c>
      <c r="BJ26" s="382" t="str">
        <f>IF(AND(C26="Skema 1",B26="to"),Skemaoplysninger!$H$28,"")</f>
        <v/>
      </c>
      <c r="BK26" s="382">
        <f>IF(AND(C26="Skema 1",B26="fr"),Skemaoplysninger!$I$28,"")</f>
        <v>9.375E-2</v>
      </c>
      <c r="BL26" s="382" t="str">
        <f>IF(AND(C26="Skema 2",B26="ma"),Skemaoplysninger!$O$28,"")</f>
        <v/>
      </c>
      <c r="BM26" s="382" t="str">
        <f>IF(AND(C26="Skema 2",B26="ti"),Skemaoplysninger!$P$28,"")</f>
        <v/>
      </c>
      <c r="BN26" s="382" t="str">
        <f>IF(AND(C26="Skema 2",B26="on"),Skemaoplysninger!$Q$28,"")</f>
        <v/>
      </c>
      <c r="BO26" s="382" t="str">
        <f>IF(AND(C26="Skema 2",B26="to"),Skemaoplysninger!$R$28,"")</f>
        <v/>
      </c>
      <c r="BP26" s="382" t="str">
        <f>IF(AND(C26="Skema 2",B26="fr"),Skemaoplysninger!$S$28,"")</f>
        <v/>
      </c>
      <c r="BQ26" s="382" t="str">
        <f>IF(AND(C26="Skema 3",B26="ma"),Skemaoplysninger!$Y$28,"")</f>
        <v/>
      </c>
      <c r="BR26" s="382" t="str">
        <f>IF(AND(C26="Skema 3",B26="ti"),Skemaoplysninger!$Z$28,"")</f>
        <v/>
      </c>
      <c r="BS26" s="382" t="str">
        <f>IF(AND(C26="Skema 3",B26="on"),Skemaoplysninger!$AA$28,"")</f>
        <v/>
      </c>
      <c r="BT26" s="382" t="str">
        <f>IF(AND(C26="Skema 3",B26="to"),Skemaoplysninger!$AB$28,"")</f>
        <v/>
      </c>
      <c r="BU26" s="382" t="str">
        <f>IF(AND(C26="Skema 3",B26="fr"),Skemaoplysninger!$AC$28,"")</f>
        <v/>
      </c>
      <c r="BV26" s="382" t="str">
        <f>IF(AND(C26="Skema 4",B26="ma"),Skemaoplysninger!$AI$28,"")</f>
        <v/>
      </c>
      <c r="BW26" s="382" t="str">
        <f>IF(AND(C26="Skema 4",B26="ti"),Skemaoplysninger!$AJ$28,"")</f>
        <v/>
      </c>
      <c r="BX26" s="382" t="str">
        <f>IF(AND(C26="Skema 4",B26="on"),Skemaoplysninger!$AK$28,"")</f>
        <v/>
      </c>
      <c r="BY26" s="382" t="str">
        <f>IF(AND(C26="Skema 4",B26="to"),Skemaoplysninger!$AL$28,"")</f>
        <v/>
      </c>
      <c r="BZ26" s="382" t="str">
        <f>IF(AND(C26="Skema 4",B26="fr"),Skemaoplysninger!$AM$28,"")</f>
        <v/>
      </c>
      <c r="CA26" s="1">
        <f t="shared" si="21"/>
        <v>2.25</v>
      </c>
      <c r="CB26" s="1">
        <f t="shared" si="11"/>
        <v>0</v>
      </c>
      <c r="CC26" s="1">
        <f t="shared" si="12"/>
        <v>0</v>
      </c>
      <c r="CD26" s="382" t="str">
        <f>IF(AND(C26="Skema 1",B26="ma"),Skemaoplysninger!$E$37,"")</f>
        <v/>
      </c>
      <c r="CE26" s="382" t="str">
        <f>IF(AND(C26="Skema 1",B26="ti"),Skemaoplysninger!$F$37,"")</f>
        <v/>
      </c>
      <c r="CF26" s="382" t="str">
        <f>IF(AND(C26="Skema 1",B26="on"),Skemaoplysninger!$G$37,"")</f>
        <v/>
      </c>
      <c r="CG26" s="382" t="str">
        <f>IF(AND(C26="Skema 1",B26="to"),Skemaoplysninger!$H$37,"")</f>
        <v/>
      </c>
      <c r="CH26" s="382">
        <f>IF(AND(C26="Skema 1",B26="fr"),Skemaoplysninger!$I$37,"")</f>
        <v>0.33333333333333331</v>
      </c>
      <c r="CI26" s="382" t="str">
        <f>IF(AND(C26="Skema 2",B26="ma"),Skemaoplysninger!$O$37,"")</f>
        <v/>
      </c>
      <c r="CJ26" s="382" t="str">
        <f>IF(AND(C26="Skema 2",B26="ti"),Skemaoplysninger!$P$37,"")</f>
        <v/>
      </c>
      <c r="CK26" s="382" t="str">
        <f>IF(AND(C26="Skema 2",B26="on"),Skemaoplysninger!$Q$37,"")</f>
        <v/>
      </c>
      <c r="CL26" s="382" t="str">
        <f>IF(AND(C26="Skema 2",B26="to"),Skemaoplysninger!$R$37,"")</f>
        <v/>
      </c>
      <c r="CM26" s="382" t="str">
        <f>IF(AND(C26="Skema 2",B26="fr"),Skemaoplysninger!$S$37,"")</f>
        <v/>
      </c>
      <c r="CN26" s="382" t="str">
        <f>IF(AND(C26="Skema 3",B26="ma"),Skemaoplysninger!$Y$37,"")</f>
        <v/>
      </c>
      <c r="CO26" s="382" t="str">
        <f>IF(AND(C26="Skema 3",B26="ti"),Skemaoplysninger!$Z$37,"")</f>
        <v/>
      </c>
      <c r="CP26" s="382" t="str">
        <f>IF(AND(C26="Skema 3",B26="on"),Skemaoplysninger!$AA$37,"")</f>
        <v/>
      </c>
      <c r="CQ26" s="382" t="str">
        <f>IF(AND(C26="Skema 3",B26="to"),Skemaoplysninger!$AB$37,"")</f>
        <v/>
      </c>
      <c r="CR26" s="382" t="str">
        <f>IF(AND(C26="Skema 3",B26="fr"),Skemaoplysninger!$AC$37,"")</f>
        <v/>
      </c>
      <c r="CS26" s="382" t="str">
        <f>IF(AND(C26="Skema 4",B26="ma"),Skemaoplysninger!$AI$37,"")</f>
        <v/>
      </c>
      <c r="CT26" s="382" t="str">
        <f>IF(AND(C26="Skema 4",B26="ti"),Skemaoplysninger!$AJ$37,"")</f>
        <v/>
      </c>
      <c r="CU26" s="382" t="str">
        <f>IF(AND(C26="Skema 4",B26="on"),Skemaoplysninger!$AK$37,"")</f>
        <v/>
      </c>
      <c r="CV26" s="382" t="str">
        <f>IF(AND(C26="Skema 4",B26="to"),Skemaoplysninger!$AL$37,"")</f>
        <v/>
      </c>
      <c r="CW26" s="382" t="str">
        <f>IF(AND(C26="Skema 4",B26="fr"),Skemaoplysninger!$AM$37,"")</f>
        <v/>
      </c>
      <c r="CX26" s="457">
        <f>IF(Stamoplysninger!$H$29="NEJ",SUM(CB26:CW26),0)</f>
        <v>0.33333333333333331</v>
      </c>
      <c r="CY26" s="457">
        <f>IF(C26="Skema 1",Stamoplysninger!$H$30/200,0)</f>
        <v>1</v>
      </c>
      <c r="CZ26" s="457">
        <f>IF(C26="Skema 2",Stamoplysninger!$H$30/200,0)</f>
        <v>0</v>
      </c>
      <c r="DA26" s="457">
        <f>IF(C26="Skema 3",Stamoplysninger!$H$30/200,0)</f>
        <v>0</v>
      </c>
      <c r="DB26" s="457">
        <f>IF(C26="Skema 4",Stamoplysninger!$H$30/200,0)</f>
        <v>0</v>
      </c>
      <c r="DC26" s="457">
        <f>IF(C26="fagdag",Stamoplysninger!$H$30/200,0)</f>
        <v>0</v>
      </c>
      <c r="DD26" s="457">
        <f>IF(C26="emnedag",Stamoplysninger!$H$30/200,0)</f>
        <v>0</v>
      </c>
      <c r="DE26" s="457">
        <f>IF(C26="lejrskole",Stamoplysninger!$H$30/200,0)</f>
        <v>0</v>
      </c>
      <c r="DF26" s="457">
        <f>IF(C26="ekskursion",Stamoplysninger!$H$30/200,0)</f>
        <v>0</v>
      </c>
      <c r="DG26" s="457">
        <f t="shared" si="22"/>
        <v>1</v>
      </c>
    </row>
    <row r="27" spans="1:111">
      <c r="A27" s="443">
        <f t="shared" si="13"/>
        <v>19</v>
      </c>
      <c r="B27" s="218" t="str">
        <f t="shared" si="0"/>
        <v>lø</v>
      </c>
      <c r="C27" s="219" t="s">
        <v>138</v>
      </c>
      <c r="D27" s="220" t="str">
        <f t="shared" si="1"/>
        <v/>
      </c>
      <c r="E27" s="906"/>
      <c r="F27" s="907"/>
      <c r="G27" s="908"/>
      <c r="H27" s="526"/>
      <c r="I27" s="726"/>
      <c r="J27" s="726"/>
      <c r="K27" s="669"/>
      <c r="L27" s="669"/>
      <c r="M27" s="669"/>
      <c r="N27" s="557">
        <f t="shared" si="14"/>
        <v>0</v>
      </c>
      <c r="O27" s="557">
        <f t="shared" si="15"/>
        <v>0</v>
      </c>
      <c r="P27" s="557">
        <f>IF(Stamoplysninger!$H$29="JA",November!DG27,CX27)</f>
        <v>0</v>
      </c>
      <c r="Q27" s="557">
        <f t="shared" si="16"/>
        <v>0</v>
      </c>
      <c r="R27" s="558"/>
      <c r="S27" s="564"/>
      <c r="T27" s="565"/>
      <c r="U27" s="565"/>
      <c r="V27" s="753"/>
      <c r="W27" s="559"/>
      <c r="X27" s="760"/>
      <c r="Y27">
        <f t="shared" si="17"/>
        <v>0</v>
      </c>
      <c r="Z27" s="759">
        <f t="shared" si="18"/>
        <v>0</v>
      </c>
      <c r="AA27" s="1">
        <f t="shared" si="2"/>
        <v>0</v>
      </c>
      <c r="AB27" s="1">
        <f t="shared" si="3"/>
        <v>0</v>
      </c>
      <c r="AC27" s="1">
        <f t="shared" si="4"/>
        <v>0</v>
      </c>
      <c r="AD27" s="1">
        <f t="shared" si="5"/>
        <v>0</v>
      </c>
      <c r="AE27" s="1">
        <f t="shared" si="6"/>
        <v>0</v>
      </c>
      <c r="AF27" s="1">
        <f>IF(C27="Orlov",7.4*Stamoplysninger!$E$15,0)</f>
        <v>0</v>
      </c>
      <c r="AG27" s="383" t="str">
        <f>IF(AND(C27="Skema 1",B27="ma"),Arbejdstidsoversigt!$E$44,"")</f>
        <v/>
      </c>
      <c r="AH27" s="383" t="str">
        <f>IF(AND(C27="Skema 1",B27="ti"),Arbejdstidsoversigt!$E$45,"")</f>
        <v/>
      </c>
      <c r="AI27" s="383" t="str">
        <f>IF(AND(C27="Skema 1",B27="on"),Arbejdstidsoversigt!$E$46,"")</f>
        <v/>
      </c>
      <c r="AJ27" s="383" t="str">
        <f>IF(AND(C27="Skema 1",B27="to"),Arbejdstidsoversigt!$E$47,"")</f>
        <v/>
      </c>
      <c r="AK27" s="383" t="str">
        <f>IF(AND(C27="Skema 1",B27="fr"),Arbejdstidsoversigt!$E$48,"")</f>
        <v/>
      </c>
      <c r="AL27" s="383" t="str">
        <f>IF(AND(C27="Skema 2",B27="ma"),Arbejdstidsoversigt!$E$53,"")</f>
        <v/>
      </c>
      <c r="AM27" s="383" t="str">
        <f>IF(AND(C27="Skema 2",B27="ti"),Arbejdstidsoversigt!$E$54,"")</f>
        <v/>
      </c>
      <c r="AN27" s="383" t="str">
        <f>IF(AND(C27="Skema 2",B27="on"),Arbejdstidsoversigt!$E$55,"")</f>
        <v/>
      </c>
      <c r="AO27" s="383" t="str">
        <f>IF(AND(C27="Skema 2",B27="to"),Arbejdstidsoversigt!$E$56,"")</f>
        <v/>
      </c>
      <c r="AP27" s="383" t="str">
        <f>IF(AND(C27="Skema 2",B27="fr"),Arbejdstidsoversigt!$E$57,"")</f>
        <v/>
      </c>
      <c r="AQ27" s="383" t="str">
        <f>IF(AND(C27="Skema 3",B27="ma"),Arbejdstidsoversigt!$E$62,"")</f>
        <v/>
      </c>
      <c r="AR27" s="383" t="str">
        <f>IF(AND(C27="Skema 3",B27="ti"),Arbejdstidsoversigt!$E$63,"")</f>
        <v/>
      </c>
      <c r="AS27" s="383" t="str">
        <f>IF(AND(C27="Skema 3",B27="on"),Arbejdstidsoversigt!$E$64,"")</f>
        <v/>
      </c>
      <c r="AT27" s="383" t="str">
        <f>IF(AND(C27="Skema 3",B27="to"),Arbejdstidsoversigt!$E$65,"")</f>
        <v/>
      </c>
      <c r="AU27" s="383" t="str">
        <f>IF(AND(C27="Skema 3",B27="fr"),Arbejdstidsoversigt!$E$66,"")</f>
        <v/>
      </c>
      <c r="AV27" s="383" t="str">
        <f>IF(AND(C27="Skema 4",B27="ma"),Arbejdstidsoversigt!$E$71,"")</f>
        <v/>
      </c>
      <c r="AW27" s="383" t="str">
        <f>IF(AND(C27="Skema 4",B27="ti"),Arbejdstidsoversigt!$E$72,"")</f>
        <v/>
      </c>
      <c r="AX27" s="383" t="str">
        <f>IF(AND(C27="Skema 4",B27="on"),Arbejdstidsoversigt!$E$73,"")</f>
        <v/>
      </c>
      <c r="AY27" s="383" t="str">
        <f>IF(AND(C27="Skema 4",B27="to"),Arbejdstidsoversigt!$E$74,"")</f>
        <v/>
      </c>
      <c r="AZ27" s="383" t="str">
        <f>IF(AND(C27="Skema 4",B27="fr"),Arbejdstidsoversigt!$E$75,"")</f>
        <v/>
      </c>
      <c r="BA27" s="1">
        <f t="shared" si="19"/>
        <v>0</v>
      </c>
      <c r="BB27" s="421">
        <f t="shared" si="7"/>
        <v>0</v>
      </c>
      <c r="BC27" s="1">
        <f t="shared" si="20"/>
        <v>0</v>
      </c>
      <c r="BD27" s="1">
        <f t="shared" si="8"/>
        <v>0</v>
      </c>
      <c r="BE27" s="1">
        <f t="shared" si="9"/>
        <v>0</v>
      </c>
      <c r="BF27" s="1">
        <f t="shared" si="10"/>
        <v>0</v>
      </c>
      <c r="BG27" s="382" t="str">
        <f>IF(AND(C27="Skema 1",B27="ma"),Skemaoplysninger!$E$28,"")</f>
        <v/>
      </c>
      <c r="BH27" s="382" t="str">
        <f>IF(AND(C27="Skema 1",B27="ti"),Skemaoplysninger!$F$28,"")</f>
        <v/>
      </c>
      <c r="BI27" s="382" t="str">
        <f>IF(AND(C27="Skema 1",B27="on"),Skemaoplysninger!$G$28,"")</f>
        <v/>
      </c>
      <c r="BJ27" s="382" t="str">
        <f>IF(AND(C27="Skema 1",B27="to"),Skemaoplysninger!$H$28,"")</f>
        <v/>
      </c>
      <c r="BK27" s="382" t="str">
        <f>IF(AND(C27="Skema 1",B27="fr"),Skemaoplysninger!$I$28,"")</f>
        <v/>
      </c>
      <c r="BL27" s="382" t="str">
        <f>IF(AND(C27="Skema 2",B27="ma"),Skemaoplysninger!$O$28,"")</f>
        <v/>
      </c>
      <c r="BM27" s="382" t="str">
        <f>IF(AND(C27="Skema 2",B27="ti"),Skemaoplysninger!$P$28,"")</f>
        <v/>
      </c>
      <c r="BN27" s="382" t="str">
        <f>IF(AND(C27="Skema 2",B27="on"),Skemaoplysninger!$Q$28,"")</f>
        <v/>
      </c>
      <c r="BO27" s="382" t="str">
        <f>IF(AND(C27="Skema 2",B27="to"),Skemaoplysninger!$R$28,"")</f>
        <v/>
      </c>
      <c r="BP27" s="382" t="str">
        <f>IF(AND(C27="Skema 2",B27="fr"),Skemaoplysninger!$S$28,"")</f>
        <v/>
      </c>
      <c r="BQ27" s="382" t="str">
        <f>IF(AND(C27="Skema 3",B27="ma"),Skemaoplysninger!$Y$28,"")</f>
        <v/>
      </c>
      <c r="BR27" s="382" t="str">
        <f>IF(AND(C27="Skema 3",B27="ti"),Skemaoplysninger!$Z$28,"")</f>
        <v/>
      </c>
      <c r="BS27" s="382" t="str">
        <f>IF(AND(C27="Skema 3",B27="on"),Skemaoplysninger!$AA$28,"")</f>
        <v/>
      </c>
      <c r="BT27" s="382" t="str">
        <f>IF(AND(C27="Skema 3",B27="to"),Skemaoplysninger!$AB$28,"")</f>
        <v/>
      </c>
      <c r="BU27" s="382" t="str">
        <f>IF(AND(C27="Skema 3",B27="fr"),Skemaoplysninger!$AC$28,"")</f>
        <v/>
      </c>
      <c r="BV27" s="382" t="str">
        <f>IF(AND(C27="Skema 4",B27="ma"),Skemaoplysninger!$AI$28,"")</f>
        <v/>
      </c>
      <c r="BW27" s="382" t="str">
        <f>IF(AND(C27="Skema 4",B27="ti"),Skemaoplysninger!$AJ$28,"")</f>
        <v/>
      </c>
      <c r="BX27" s="382" t="str">
        <f>IF(AND(C27="Skema 4",B27="on"),Skemaoplysninger!$AK$28,"")</f>
        <v/>
      </c>
      <c r="BY27" s="382" t="str">
        <f>IF(AND(C27="Skema 4",B27="to"),Skemaoplysninger!$AL$28,"")</f>
        <v/>
      </c>
      <c r="BZ27" s="382" t="str">
        <f>IF(AND(C27="Skema 4",B27="fr"),Skemaoplysninger!$AM$28,"")</f>
        <v/>
      </c>
      <c r="CA27" s="1">
        <f t="shared" si="21"/>
        <v>0</v>
      </c>
      <c r="CB27" s="1">
        <f t="shared" si="11"/>
        <v>0</v>
      </c>
      <c r="CC27" s="1">
        <f t="shared" si="12"/>
        <v>0</v>
      </c>
      <c r="CD27" s="382" t="str">
        <f>IF(AND(C27="Skema 1",B27="ma"),Skemaoplysninger!$E$37,"")</f>
        <v/>
      </c>
      <c r="CE27" s="382" t="str">
        <f>IF(AND(C27="Skema 1",B27="ti"),Skemaoplysninger!$F$37,"")</f>
        <v/>
      </c>
      <c r="CF27" s="382" t="str">
        <f>IF(AND(C27="Skema 1",B27="on"),Skemaoplysninger!$G$37,"")</f>
        <v/>
      </c>
      <c r="CG27" s="382" t="str">
        <f>IF(AND(C27="Skema 1",B27="to"),Skemaoplysninger!$H$37,"")</f>
        <v/>
      </c>
      <c r="CH27" s="382" t="str">
        <f>IF(AND(C27="Skema 1",B27="fr"),Skemaoplysninger!$I$37,"")</f>
        <v/>
      </c>
      <c r="CI27" s="382" t="str">
        <f>IF(AND(C27="Skema 2",B27="ma"),Skemaoplysninger!$O$37,"")</f>
        <v/>
      </c>
      <c r="CJ27" s="382" t="str">
        <f>IF(AND(C27="Skema 2",B27="ti"),Skemaoplysninger!$P$37,"")</f>
        <v/>
      </c>
      <c r="CK27" s="382" t="str">
        <f>IF(AND(C27="Skema 2",B27="on"),Skemaoplysninger!$Q$37,"")</f>
        <v/>
      </c>
      <c r="CL27" s="382" t="str">
        <f>IF(AND(C27="Skema 2",B27="to"),Skemaoplysninger!$R$37,"")</f>
        <v/>
      </c>
      <c r="CM27" s="382" t="str">
        <f>IF(AND(C27="Skema 2",B27="fr"),Skemaoplysninger!$S$37,"")</f>
        <v/>
      </c>
      <c r="CN27" s="382" t="str">
        <f>IF(AND(C27="Skema 3",B27="ma"),Skemaoplysninger!$Y$37,"")</f>
        <v/>
      </c>
      <c r="CO27" s="382" t="str">
        <f>IF(AND(C27="Skema 3",B27="ti"),Skemaoplysninger!$Z$37,"")</f>
        <v/>
      </c>
      <c r="CP27" s="382" t="str">
        <f>IF(AND(C27="Skema 3",B27="on"),Skemaoplysninger!$AA$37,"")</f>
        <v/>
      </c>
      <c r="CQ27" s="382" t="str">
        <f>IF(AND(C27="Skema 3",B27="to"),Skemaoplysninger!$AB$37,"")</f>
        <v/>
      </c>
      <c r="CR27" s="382" t="str">
        <f>IF(AND(C27="Skema 3",B27="fr"),Skemaoplysninger!$AC$37,"")</f>
        <v/>
      </c>
      <c r="CS27" s="382" t="str">
        <f>IF(AND(C27="Skema 4",B27="ma"),Skemaoplysninger!$AI$37,"")</f>
        <v/>
      </c>
      <c r="CT27" s="382" t="str">
        <f>IF(AND(C27="Skema 4",B27="ti"),Skemaoplysninger!$AJ$37,"")</f>
        <v/>
      </c>
      <c r="CU27" s="382" t="str">
        <f>IF(AND(C27="Skema 4",B27="on"),Skemaoplysninger!$AK$37,"")</f>
        <v/>
      </c>
      <c r="CV27" s="382" t="str">
        <f>IF(AND(C27="Skema 4",B27="to"),Skemaoplysninger!$AL$37,"")</f>
        <v/>
      </c>
      <c r="CW27" s="382" t="str">
        <f>IF(AND(C27="Skema 4",B27="fr"),Skemaoplysninger!$AM$37,"")</f>
        <v/>
      </c>
      <c r="CX27" s="457">
        <f>IF(Stamoplysninger!$H$29="NEJ",SUM(CB27:CW27),0)</f>
        <v>0</v>
      </c>
      <c r="CY27" s="457">
        <f>IF(C27="Skema 1",Stamoplysninger!$H$30/200,0)</f>
        <v>0</v>
      </c>
      <c r="CZ27" s="457">
        <f>IF(C27="Skema 2",Stamoplysninger!$H$30/200,0)</f>
        <v>0</v>
      </c>
      <c r="DA27" s="457">
        <f>IF(C27="Skema 3",Stamoplysninger!$H$30/200,0)</f>
        <v>0</v>
      </c>
      <c r="DB27" s="457">
        <f>IF(C27="Skema 4",Stamoplysninger!$H$30/200,0)</f>
        <v>0</v>
      </c>
      <c r="DC27" s="457">
        <f>IF(C27="fagdag",Stamoplysninger!$H$30/200,0)</f>
        <v>0</v>
      </c>
      <c r="DD27" s="457">
        <f>IF(C27="emnedag",Stamoplysninger!$H$30/200,0)</f>
        <v>0</v>
      </c>
      <c r="DE27" s="457">
        <f>IF(C27="lejrskole",Stamoplysninger!$H$30/200,0)</f>
        <v>0</v>
      </c>
      <c r="DF27" s="457">
        <f>IF(C27="ekskursion",Stamoplysninger!$H$30/200,0)</f>
        <v>0</v>
      </c>
      <c r="DG27" s="457">
        <f t="shared" si="22"/>
        <v>0</v>
      </c>
    </row>
    <row r="28" spans="1:111">
      <c r="A28" s="443">
        <f t="shared" si="13"/>
        <v>20</v>
      </c>
      <c r="B28" s="218" t="str">
        <f t="shared" si="0"/>
        <v>sø</v>
      </c>
      <c r="C28" s="219" t="s">
        <v>138</v>
      </c>
      <c r="D28" s="220" t="str">
        <f t="shared" si="1"/>
        <v/>
      </c>
      <c r="E28" s="906"/>
      <c r="F28" s="907"/>
      <c r="G28" s="908"/>
      <c r="H28" s="526"/>
      <c r="I28" s="726"/>
      <c r="J28" s="726"/>
      <c r="K28" s="669"/>
      <c r="L28" s="669"/>
      <c r="M28" s="669"/>
      <c r="N28" s="557">
        <f t="shared" si="14"/>
        <v>0</v>
      </c>
      <c r="O28" s="557">
        <f t="shared" si="15"/>
        <v>0</v>
      </c>
      <c r="P28" s="557">
        <f>IF(Stamoplysninger!$H$29="JA",November!DG28,CX28)</f>
        <v>0</v>
      </c>
      <c r="Q28" s="557">
        <f t="shared" si="16"/>
        <v>0</v>
      </c>
      <c r="R28" s="558"/>
      <c r="S28" s="564"/>
      <c r="T28" s="565"/>
      <c r="U28" s="565"/>
      <c r="V28" s="753"/>
      <c r="W28" s="559"/>
      <c r="X28" s="760"/>
      <c r="Y28">
        <f t="shared" si="17"/>
        <v>0</v>
      </c>
      <c r="Z28" s="759">
        <f t="shared" si="18"/>
        <v>0</v>
      </c>
      <c r="AA28" s="1">
        <f t="shared" si="2"/>
        <v>0</v>
      </c>
      <c r="AB28" s="1">
        <f t="shared" si="3"/>
        <v>0</v>
      </c>
      <c r="AC28" s="1">
        <f t="shared" si="4"/>
        <v>0</v>
      </c>
      <c r="AD28" s="1">
        <f t="shared" si="5"/>
        <v>0</v>
      </c>
      <c r="AE28" s="1">
        <f t="shared" si="6"/>
        <v>0</v>
      </c>
      <c r="AF28" s="1">
        <f>IF(C28="Orlov",7.4*Stamoplysninger!$E$15,0)</f>
        <v>0</v>
      </c>
      <c r="AG28" s="383" t="str">
        <f>IF(AND(C28="Skema 1",B28="ma"),Arbejdstidsoversigt!$E$44,"")</f>
        <v/>
      </c>
      <c r="AH28" s="383" t="str">
        <f>IF(AND(C28="Skema 1",B28="ti"),Arbejdstidsoversigt!$E$45,"")</f>
        <v/>
      </c>
      <c r="AI28" s="383" t="str">
        <f>IF(AND(C28="Skema 1",B28="on"),Arbejdstidsoversigt!$E$46,"")</f>
        <v/>
      </c>
      <c r="AJ28" s="383" t="str">
        <f>IF(AND(C28="Skema 1",B28="to"),Arbejdstidsoversigt!$E$47,"")</f>
        <v/>
      </c>
      <c r="AK28" s="383" t="str">
        <f>IF(AND(C28="Skema 1",B28="fr"),Arbejdstidsoversigt!$E$48,"")</f>
        <v/>
      </c>
      <c r="AL28" s="383" t="str">
        <f>IF(AND(C28="Skema 2",B28="ma"),Arbejdstidsoversigt!$E$53,"")</f>
        <v/>
      </c>
      <c r="AM28" s="383" t="str">
        <f>IF(AND(C28="Skema 2",B28="ti"),Arbejdstidsoversigt!$E$54,"")</f>
        <v/>
      </c>
      <c r="AN28" s="383" t="str">
        <f>IF(AND(C28="Skema 2",B28="on"),Arbejdstidsoversigt!$E$55,"")</f>
        <v/>
      </c>
      <c r="AO28" s="383" t="str">
        <f>IF(AND(C28="Skema 2",B28="to"),Arbejdstidsoversigt!$E$56,"")</f>
        <v/>
      </c>
      <c r="AP28" s="383" t="str">
        <f>IF(AND(C28="Skema 2",B28="fr"),Arbejdstidsoversigt!$E$57,"")</f>
        <v/>
      </c>
      <c r="AQ28" s="383" t="str">
        <f>IF(AND(C28="Skema 3",B28="ma"),Arbejdstidsoversigt!$E$62,"")</f>
        <v/>
      </c>
      <c r="AR28" s="383" t="str">
        <f>IF(AND(C28="Skema 3",B28="ti"),Arbejdstidsoversigt!$E$63,"")</f>
        <v/>
      </c>
      <c r="AS28" s="383" t="str">
        <f>IF(AND(C28="Skema 3",B28="on"),Arbejdstidsoversigt!$E$64,"")</f>
        <v/>
      </c>
      <c r="AT28" s="383" t="str">
        <f>IF(AND(C28="Skema 3",B28="to"),Arbejdstidsoversigt!$E$65,"")</f>
        <v/>
      </c>
      <c r="AU28" s="383" t="str">
        <f>IF(AND(C28="Skema 3",B28="fr"),Arbejdstidsoversigt!$E$66,"")</f>
        <v/>
      </c>
      <c r="AV28" s="383" t="str">
        <f>IF(AND(C28="Skema 4",B28="ma"),Arbejdstidsoversigt!$E$71,"")</f>
        <v/>
      </c>
      <c r="AW28" s="383" t="str">
        <f>IF(AND(C28="Skema 4",B28="ti"),Arbejdstidsoversigt!$E$72,"")</f>
        <v/>
      </c>
      <c r="AX28" s="383" t="str">
        <f>IF(AND(C28="Skema 4",B28="on"),Arbejdstidsoversigt!$E$73,"")</f>
        <v/>
      </c>
      <c r="AY28" s="383" t="str">
        <f>IF(AND(C28="Skema 4",B28="to"),Arbejdstidsoversigt!$E$74,"")</f>
        <v/>
      </c>
      <c r="AZ28" s="383" t="str">
        <f>IF(AND(C28="Skema 4",B28="fr"),Arbejdstidsoversigt!$E$75,"")</f>
        <v/>
      </c>
      <c r="BA28" s="1">
        <f t="shared" si="19"/>
        <v>0</v>
      </c>
      <c r="BB28" s="421">
        <f t="shared" si="7"/>
        <v>0</v>
      </c>
      <c r="BC28" s="1">
        <f t="shared" si="20"/>
        <v>0</v>
      </c>
      <c r="BD28" s="1">
        <f t="shared" si="8"/>
        <v>0</v>
      </c>
      <c r="BE28" s="1">
        <f t="shared" si="9"/>
        <v>0</v>
      </c>
      <c r="BF28" s="1">
        <f t="shared" si="10"/>
        <v>0</v>
      </c>
      <c r="BG28" s="382" t="str">
        <f>IF(AND(C28="Skema 1",B28="ma"),Skemaoplysninger!$E$28,"")</f>
        <v/>
      </c>
      <c r="BH28" s="382" t="str">
        <f>IF(AND(C28="Skema 1",B28="ti"),Skemaoplysninger!$F$28,"")</f>
        <v/>
      </c>
      <c r="BI28" s="382" t="str">
        <f>IF(AND(C28="Skema 1",B28="on"),Skemaoplysninger!$G$28,"")</f>
        <v/>
      </c>
      <c r="BJ28" s="382" t="str">
        <f>IF(AND(C28="Skema 1",B28="to"),Skemaoplysninger!$H$28,"")</f>
        <v/>
      </c>
      <c r="BK28" s="382" t="str">
        <f>IF(AND(C28="Skema 1",B28="fr"),Skemaoplysninger!$I$28,"")</f>
        <v/>
      </c>
      <c r="BL28" s="382" t="str">
        <f>IF(AND(C28="Skema 2",B28="ma"),Skemaoplysninger!$O$28,"")</f>
        <v/>
      </c>
      <c r="BM28" s="382" t="str">
        <f>IF(AND(C28="Skema 2",B28="ti"),Skemaoplysninger!$P$28,"")</f>
        <v/>
      </c>
      <c r="BN28" s="382" t="str">
        <f>IF(AND(C28="Skema 2",B28="on"),Skemaoplysninger!$Q$28,"")</f>
        <v/>
      </c>
      <c r="BO28" s="382" t="str">
        <f>IF(AND(C28="Skema 2",B28="to"),Skemaoplysninger!$R$28,"")</f>
        <v/>
      </c>
      <c r="BP28" s="382" t="str">
        <f>IF(AND(C28="Skema 2",B28="fr"),Skemaoplysninger!$S$28,"")</f>
        <v/>
      </c>
      <c r="BQ28" s="382" t="str">
        <f>IF(AND(C28="Skema 3",B28="ma"),Skemaoplysninger!$Y$28,"")</f>
        <v/>
      </c>
      <c r="BR28" s="382" t="str">
        <f>IF(AND(C28="Skema 3",B28="ti"),Skemaoplysninger!$Z$28,"")</f>
        <v/>
      </c>
      <c r="BS28" s="382" t="str">
        <f>IF(AND(C28="Skema 3",B28="on"),Skemaoplysninger!$AA$28,"")</f>
        <v/>
      </c>
      <c r="BT28" s="382" t="str">
        <f>IF(AND(C28="Skema 3",B28="to"),Skemaoplysninger!$AB$28,"")</f>
        <v/>
      </c>
      <c r="BU28" s="382" t="str">
        <f>IF(AND(C28="Skema 3",B28="fr"),Skemaoplysninger!$AC$28,"")</f>
        <v/>
      </c>
      <c r="BV28" s="382" t="str">
        <f>IF(AND(C28="Skema 4",B28="ma"),Skemaoplysninger!$AI$28,"")</f>
        <v/>
      </c>
      <c r="BW28" s="382" t="str">
        <f>IF(AND(C28="Skema 4",B28="ti"),Skemaoplysninger!$AJ$28,"")</f>
        <v/>
      </c>
      <c r="BX28" s="382" t="str">
        <f>IF(AND(C28="Skema 4",B28="on"),Skemaoplysninger!$AK$28,"")</f>
        <v/>
      </c>
      <c r="BY28" s="382" t="str">
        <f>IF(AND(C28="Skema 4",B28="to"),Skemaoplysninger!$AL$28,"")</f>
        <v/>
      </c>
      <c r="BZ28" s="382" t="str">
        <f>IF(AND(C28="Skema 4",B28="fr"),Skemaoplysninger!$AM$28,"")</f>
        <v/>
      </c>
      <c r="CA28" s="1">
        <f t="shared" si="21"/>
        <v>0</v>
      </c>
      <c r="CB28" s="1">
        <f t="shared" si="11"/>
        <v>0</v>
      </c>
      <c r="CC28" s="1">
        <f t="shared" si="12"/>
        <v>0</v>
      </c>
      <c r="CD28" s="382" t="str">
        <f>IF(AND(C28="Skema 1",B28="ma"),Skemaoplysninger!$E$37,"")</f>
        <v/>
      </c>
      <c r="CE28" s="382" t="str">
        <f>IF(AND(C28="Skema 1",B28="ti"),Skemaoplysninger!$F$37,"")</f>
        <v/>
      </c>
      <c r="CF28" s="382" t="str">
        <f>IF(AND(C28="Skema 1",B28="on"),Skemaoplysninger!$G$37,"")</f>
        <v/>
      </c>
      <c r="CG28" s="382" t="str">
        <f>IF(AND(C28="Skema 1",B28="to"),Skemaoplysninger!$H$37,"")</f>
        <v/>
      </c>
      <c r="CH28" s="382" t="str">
        <f>IF(AND(C28="Skema 1",B28="fr"),Skemaoplysninger!$I$37,"")</f>
        <v/>
      </c>
      <c r="CI28" s="382" t="str">
        <f>IF(AND(C28="Skema 2",B28="ma"),Skemaoplysninger!$O$37,"")</f>
        <v/>
      </c>
      <c r="CJ28" s="382" t="str">
        <f>IF(AND(C28="Skema 2",B28="ti"),Skemaoplysninger!$P$37,"")</f>
        <v/>
      </c>
      <c r="CK28" s="382" t="str">
        <f>IF(AND(C28="Skema 2",B28="on"),Skemaoplysninger!$Q$37,"")</f>
        <v/>
      </c>
      <c r="CL28" s="382" t="str">
        <f>IF(AND(C28="Skema 2",B28="to"),Skemaoplysninger!$R$37,"")</f>
        <v/>
      </c>
      <c r="CM28" s="382" t="str">
        <f>IF(AND(C28="Skema 2",B28="fr"),Skemaoplysninger!$S$37,"")</f>
        <v/>
      </c>
      <c r="CN28" s="382" t="str">
        <f>IF(AND(C28="Skema 3",B28="ma"),Skemaoplysninger!$Y$37,"")</f>
        <v/>
      </c>
      <c r="CO28" s="382" t="str">
        <f>IF(AND(C28="Skema 3",B28="ti"),Skemaoplysninger!$Z$37,"")</f>
        <v/>
      </c>
      <c r="CP28" s="382" t="str">
        <f>IF(AND(C28="Skema 3",B28="on"),Skemaoplysninger!$AA$37,"")</f>
        <v/>
      </c>
      <c r="CQ28" s="382" t="str">
        <f>IF(AND(C28="Skema 3",B28="to"),Skemaoplysninger!$AB$37,"")</f>
        <v/>
      </c>
      <c r="CR28" s="382" t="str">
        <f>IF(AND(C28="Skema 3",B28="fr"),Skemaoplysninger!$AC$37,"")</f>
        <v/>
      </c>
      <c r="CS28" s="382" t="str">
        <f>IF(AND(C28="Skema 4",B28="ma"),Skemaoplysninger!$AI$37,"")</f>
        <v/>
      </c>
      <c r="CT28" s="382" t="str">
        <f>IF(AND(C28="Skema 4",B28="ti"),Skemaoplysninger!$AJ$37,"")</f>
        <v/>
      </c>
      <c r="CU28" s="382" t="str">
        <f>IF(AND(C28="Skema 4",B28="on"),Skemaoplysninger!$AK$37,"")</f>
        <v/>
      </c>
      <c r="CV28" s="382" t="str">
        <f>IF(AND(C28="Skema 4",B28="to"),Skemaoplysninger!$AL$37,"")</f>
        <v/>
      </c>
      <c r="CW28" s="382" t="str">
        <f>IF(AND(C28="Skema 4",B28="fr"),Skemaoplysninger!$AM$37,"")</f>
        <v/>
      </c>
      <c r="CX28" s="457">
        <f>IF(Stamoplysninger!$H$29="NEJ",SUM(CB28:CW28),0)</f>
        <v>0</v>
      </c>
      <c r="CY28" s="457">
        <f>IF(C28="Skema 1",Stamoplysninger!$H$30/200,0)</f>
        <v>0</v>
      </c>
      <c r="CZ28" s="457">
        <f>IF(C28="Skema 2",Stamoplysninger!$H$30/200,0)</f>
        <v>0</v>
      </c>
      <c r="DA28" s="457">
        <f>IF(C28="Skema 3",Stamoplysninger!$H$30/200,0)</f>
        <v>0</v>
      </c>
      <c r="DB28" s="457">
        <f>IF(C28="Skema 4",Stamoplysninger!$H$30/200,0)</f>
        <v>0</v>
      </c>
      <c r="DC28" s="457">
        <f>IF(C28="fagdag",Stamoplysninger!$H$30/200,0)</f>
        <v>0</v>
      </c>
      <c r="DD28" s="457">
        <f>IF(C28="emnedag",Stamoplysninger!$H$30/200,0)</f>
        <v>0</v>
      </c>
      <c r="DE28" s="457">
        <f>IF(C28="lejrskole",Stamoplysninger!$H$30/200,0)</f>
        <v>0</v>
      </c>
      <c r="DF28" s="457">
        <f>IF(C28="ekskursion",Stamoplysninger!$H$30/200,0)</f>
        <v>0</v>
      </c>
      <c r="DG28" s="457">
        <f t="shared" si="22"/>
        <v>0</v>
      </c>
    </row>
    <row r="29" spans="1:111">
      <c r="A29" s="443">
        <f t="shared" si="13"/>
        <v>21</v>
      </c>
      <c r="B29" s="218" t="str">
        <f t="shared" si="0"/>
        <v>ma</v>
      </c>
      <c r="C29" s="219" t="s">
        <v>241</v>
      </c>
      <c r="D29" s="220">
        <f t="shared" si="1"/>
        <v>47.285714285714285</v>
      </c>
      <c r="E29" s="906"/>
      <c r="F29" s="907"/>
      <c r="G29" s="908"/>
      <c r="H29" s="526"/>
      <c r="I29" s="855"/>
      <c r="J29" s="726"/>
      <c r="K29" s="669"/>
      <c r="L29" s="669"/>
      <c r="M29" s="669"/>
      <c r="N29" s="557">
        <f t="shared" si="14"/>
        <v>8</v>
      </c>
      <c r="O29" s="557">
        <f t="shared" si="15"/>
        <v>3.75</v>
      </c>
      <c r="P29" s="557">
        <f>IF(Stamoplysninger!$H$29="JA",November!DG29,CX29)</f>
        <v>0.91666666666666674</v>
      </c>
      <c r="Q29" s="557">
        <f t="shared" si="16"/>
        <v>3.333333333333333</v>
      </c>
      <c r="R29" s="558"/>
      <c r="S29" s="564"/>
      <c r="T29" s="565"/>
      <c r="U29" s="565"/>
      <c r="V29" s="753"/>
      <c r="W29" s="559"/>
      <c r="X29" s="760"/>
      <c r="Y29">
        <f t="shared" si="17"/>
        <v>0</v>
      </c>
      <c r="Z29" s="759">
        <f t="shared" si="18"/>
        <v>0</v>
      </c>
      <c r="AA29" s="1">
        <f t="shared" si="2"/>
        <v>0</v>
      </c>
      <c r="AB29" s="1">
        <f t="shared" si="3"/>
        <v>0</v>
      </c>
      <c r="AC29" s="1">
        <f t="shared" si="4"/>
        <v>0</v>
      </c>
      <c r="AD29" s="1">
        <f t="shared" si="5"/>
        <v>0</v>
      </c>
      <c r="AE29" s="1">
        <f t="shared" si="6"/>
        <v>0</v>
      </c>
      <c r="AF29" s="1">
        <f>IF(C29="Orlov",7.4*Stamoplysninger!$E$15,0)</f>
        <v>0</v>
      </c>
      <c r="AG29" s="383">
        <f>IF(AND(C29="Skema 1",B29="ma"),Arbejdstidsoversigt!$E$44,"")</f>
        <v>8</v>
      </c>
      <c r="AH29" s="383" t="str">
        <f>IF(AND(C29="Skema 1",B29="ti"),Arbejdstidsoversigt!$E$45,"")</f>
        <v/>
      </c>
      <c r="AI29" s="383" t="str">
        <f>IF(AND(C29="Skema 1",B29="on"),Arbejdstidsoversigt!$E$46,"")</f>
        <v/>
      </c>
      <c r="AJ29" s="383" t="str">
        <f>IF(AND(C29="Skema 1",B29="to"),Arbejdstidsoversigt!$E$47,"")</f>
        <v/>
      </c>
      <c r="AK29" s="383" t="str">
        <f>IF(AND(C29="Skema 1",B29="fr"),Arbejdstidsoversigt!$E$48,"")</f>
        <v/>
      </c>
      <c r="AL29" s="383" t="str">
        <f>IF(AND(C29="Skema 2",B29="ma"),Arbejdstidsoversigt!$E$53,"")</f>
        <v/>
      </c>
      <c r="AM29" s="383" t="str">
        <f>IF(AND(C29="Skema 2",B29="ti"),Arbejdstidsoversigt!$E$54,"")</f>
        <v/>
      </c>
      <c r="AN29" s="383" t="str">
        <f>IF(AND(C29="Skema 2",B29="on"),Arbejdstidsoversigt!$E$55,"")</f>
        <v/>
      </c>
      <c r="AO29" s="383" t="str">
        <f>IF(AND(C29="Skema 2",B29="to"),Arbejdstidsoversigt!$E$56,"")</f>
        <v/>
      </c>
      <c r="AP29" s="383" t="str">
        <f>IF(AND(C29="Skema 2",B29="fr"),Arbejdstidsoversigt!$E$57,"")</f>
        <v/>
      </c>
      <c r="AQ29" s="383" t="str">
        <f>IF(AND(C29="Skema 3",B29="ma"),Arbejdstidsoversigt!$E$62,"")</f>
        <v/>
      </c>
      <c r="AR29" s="383" t="str">
        <f>IF(AND(C29="Skema 3",B29="ti"),Arbejdstidsoversigt!$E$63,"")</f>
        <v/>
      </c>
      <c r="AS29" s="383" t="str">
        <f>IF(AND(C29="Skema 3",B29="on"),Arbejdstidsoversigt!$E$64,"")</f>
        <v/>
      </c>
      <c r="AT29" s="383" t="str">
        <f>IF(AND(C29="Skema 3",B29="to"),Arbejdstidsoversigt!$E$65,"")</f>
        <v/>
      </c>
      <c r="AU29" s="383" t="str">
        <f>IF(AND(C29="Skema 3",B29="fr"),Arbejdstidsoversigt!$E$66,"")</f>
        <v/>
      </c>
      <c r="AV29" s="383" t="str">
        <f>IF(AND(C29="Skema 4",B29="ma"),Arbejdstidsoversigt!$E$71,"")</f>
        <v/>
      </c>
      <c r="AW29" s="383" t="str">
        <f>IF(AND(C29="Skema 4",B29="ti"),Arbejdstidsoversigt!$E$72,"")</f>
        <v/>
      </c>
      <c r="AX29" s="383" t="str">
        <f>IF(AND(C29="Skema 4",B29="on"),Arbejdstidsoversigt!$E$73,"")</f>
        <v/>
      </c>
      <c r="AY29" s="383" t="str">
        <f>IF(AND(C29="Skema 4",B29="to"),Arbejdstidsoversigt!$E$74,"")</f>
        <v/>
      </c>
      <c r="AZ29" s="383" t="str">
        <f>IF(AND(C29="Skema 4",B29="fr"),Arbejdstidsoversigt!$E$75,"")</f>
        <v/>
      </c>
      <c r="BA29" s="1">
        <f t="shared" si="19"/>
        <v>8</v>
      </c>
      <c r="BB29" s="421">
        <f t="shared" si="7"/>
        <v>192</v>
      </c>
      <c r="BC29" s="1">
        <f t="shared" si="20"/>
        <v>0</v>
      </c>
      <c r="BD29" s="1">
        <f t="shared" si="8"/>
        <v>0</v>
      </c>
      <c r="BE29" s="1">
        <f t="shared" si="9"/>
        <v>0</v>
      </c>
      <c r="BF29" s="1">
        <f t="shared" si="10"/>
        <v>0</v>
      </c>
      <c r="BG29" s="382">
        <f>IF(AND(C29="Skema 1",B29="ma"),Skemaoplysninger!$E$28,"")</f>
        <v>0.15625</v>
      </c>
      <c r="BH29" s="382" t="str">
        <f>IF(AND(C29="Skema 1",B29="ti"),Skemaoplysninger!$F$28,"")</f>
        <v/>
      </c>
      <c r="BI29" s="382" t="str">
        <f>IF(AND(C29="Skema 1",B29="on"),Skemaoplysninger!$G$28,"")</f>
        <v/>
      </c>
      <c r="BJ29" s="382" t="str">
        <f>IF(AND(C29="Skema 1",B29="to"),Skemaoplysninger!$H$28,"")</f>
        <v/>
      </c>
      <c r="BK29" s="382" t="str">
        <f>IF(AND(C29="Skema 1",B29="fr"),Skemaoplysninger!$I$28,"")</f>
        <v/>
      </c>
      <c r="BL29" s="382" t="str">
        <f>IF(AND(C29="Skema 2",B29="ma"),Skemaoplysninger!$O$28,"")</f>
        <v/>
      </c>
      <c r="BM29" s="382" t="str">
        <f>IF(AND(C29="Skema 2",B29="ti"),Skemaoplysninger!$P$28,"")</f>
        <v/>
      </c>
      <c r="BN29" s="382" t="str">
        <f>IF(AND(C29="Skema 2",B29="on"),Skemaoplysninger!$Q$28,"")</f>
        <v/>
      </c>
      <c r="BO29" s="382" t="str">
        <f>IF(AND(C29="Skema 2",B29="to"),Skemaoplysninger!$R$28,"")</f>
        <v/>
      </c>
      <c r="BP29" s="382" t="str">
        <f>IF(AND(C29="Skema 2",B29="fr"),Skemaoplysninger!$S$28,"")</f>
        <v/>
      </c>
      <c r="BQ29" s="382" t="str">
        <f>IF(AND(C29="Skema 3",B29="ma"),Skemaoplysninger!$Y$28,"")</f>
        <v/>
      </c>
      <c r="BR29" s="382" t="str">
        <f>IF(AND(C29="Skema 3",B29="ti"),Skemaoplysninger!$Z$28,"")</f>
        <v/>
      </c>
      <c r="BS29" s="382" t="str">
        <f>IF(AND(C29="Skema 3",B29="on"),Skemaoplysninger!$AA$28,"")</f>
        <v/>
      </c>
      <c r="BT29" s="382" t="str">
        <f>IF(AND(C29="Skema 3",B29="to"),Skemaoplysninger!$AB$28,"")</f>
        <v/>
      </c>
      <c r="BU29" s="382" t="str">
        <f>IF(AND(C29="Skema 3",B29="fr"),Skemaoplysninger!$AC$28,"")</f>
        <v/>
      </c>
      <c r="BV29" s="382" t="str">
        <f>IF(AND(C29="Skema 4",B29="ma"),Skemaoplysninger!$AI$28,"")</f>
        <v/>
      </c>
      <c r="BW29" s="382" t="str">
        <f>IF(AND(C29="Skema 4",B29="ti"),Skemaoplysninger!$AJ$28,"")</f>
        <v/>
      </c>
      <c r="BX29" s="382" t="str">
        <f>IF(AND(C29="Skema 4",B29="on"),Skemaoplysninger!$AK$28,"")</f>
        <v/>
      </c>
      <c r="BY29" s="382" t="str">
        <f>IF(AND(C29="Skema 4",B29="to"),Skemaoplysninger!$AL$28,"")</f>
        <v/>
      </c>
      <c r="BZ29" s="382" t="str">
        <f>IF(AND(C29="Skema 4",B29="fr"),Skemaoplysninger!$AM$28,"")</f>
        <v/>
      </c>
      <c r="CA29" s="1">
        <f t="shared" si="21"/>
        <v>3.75</v>
      </c>
      <c r="CB29" s="1">
        <f t="shared" si="11"/>
        <v>0</v>
      </c>
      <c r="CC29" s="1">
        <f t="shared" si="12"/>
        <v>0</v>
      </c>
      <c r="CD29" s="382">
        <f>IF(AND(C29="Skema 1",B29="ma"),Skemaoplysninger!$E$37,"")</f>
        <v>0.91666666666666674</v>
      </c>
      <c r="CE29" s="382" t="str">
        <f>IF(AND(C29="Skema 1",B29="ti"),Skemaoplysninger!$F$37,"")</f>
        <v/>
      </c>
      <c r="CF29" s="382" t="str">
        <f>IF(AND(C29="Skema 1",B29="on"),Skemaoplysninger!$G$37,"")</f>
        <v/>
      </c>
      <c r="CG29" s="382" t="str">
        <f>IF(AND(C29="Skema 1",B29="to"),Skemaoplysninger!$H$37,"")</f>
        <v/>
      </c>
      <c r="CH29" s="382" t="str">
        <f>IF(AND(C29="Skema 1",B29="fr"),Skemaoplysninger!$I$37,"")</f>
        <v/>
      </c>
      <c r="CI29" s="382" t="str">
        <f>IF(AND(C29="Skema 2",B29="ma"),Skemaoplysninger!$O$37,"")</f>
        <v/>
      </c>
      <c r="CJ29" s="382" t="str">
        <f>IF(AND(C29="Skema 2",B29="ti"),Skemaoplysninger!$P$37,"")</f>
        <v/>
      </c>
      <c r="CK29" s="382" t="str">
        <f>IF(AND(C29="Skema 2",B29="on"),Skemaoplysninger!$Q$37,"")</f>
        <v/>
      </c>
      <c r="CL29" s="382" t="str">
        <f>IF(AND(C29="Skema 2",B29="to"),Skemaoplysninger!$R$37,"")</f>
        <v/>
      </c>
      <c r="CM29" s="382" t="str">
        <f>IF(AND(C29="Skema 2",B29="fr"),Skemaoplysninger!$S$37,"")</f>
        <v/>
      </c>
      <c r="CN29" s="382" t="str">
        <f>IF(AND(C29="Skema 3",B29="ma"),Skemaoplysninger!$Y$37,"")</f>
        <v/>
      </c>
      <c r="CO29" s="382" t="str">
        <f>IF(AND(C29="Skema 3",B29="ti"),Skemaoplysninger!$Z$37,"")</f>
        <v/>
      </c>
      <c r="CP29" s="382" t="str">
        <f>IF(AND(C29="Skema 3",B29="on"),Skemaoplysninger!$AA$37,"")</f>
        <v/>
      </c>
      <c r="CQ29" s="382" t="str">
        <f>IF(AND(C29="Skema 3",B29="to"),Skemaoplysninger!$AB$37,"")</f>
        <v/>
      </c>
      <c r="CR29" s="382" t="str">
        <f>IF(AND(C29="Skema 3",B29="fr"),Skemaoplysninger!$AC$37,"")</f>
        <v/>
      </c>
      <c r="CS29" s="382" t="str">
        <f>IF(AND(C29="Skema 4",B29="ma"),Skemaoplysninger!$AI$37,"")</f>
        <v/>
      </c>
      <c r="CT29" s="382" t="str">
        <f>IF(AND(C29="Skema 4",B29="ti"),Skemaoplysninger!$AJ$37,"")</f>
        <v/>
      </c>
      <c r="CU29" s="382" t="str">
        <f>IF(AND(C29="Skema 4",B29="on"),Skemaoplysninger!$AK$37,"")</f>
        <v/>
      </c>
      <c r="CV29" s="382" t="str">
        <f>IF(AND(C29="Skema 4",B29="to"),Skemaoplysninger!$AL$37,"")</f>
        <v/>
      </c>
      <c r="CW29" s="382" t="str">
        <f>IF(AND(C29="Skema 4",B29="fr"),Skemaoplysninger!$AM$37,"")</f>
        <v/>
      </c>
      <c r="CX29" s="457">
        <f>IF(Stamoplysninger!$H$29="NEJ",SUM(CB29:CW29),0)</f>
        <v>0.91666666666666674</v>
      </c>
      <c r="CY29" s="457">
        <f>IF(C29="Skema 1",Stamoplysninger!$H$30/200,0)</f>
        <v>1</v>
      </c>
      <c r="CZ29" s="457">
        <f>IF(C29="Skema 2",Stamoplysninger!$H$30/200,0)</f>
        <v>0</v>
      </c>
      <c r="DA29" s="457">
        <f>IF(C29="Skema 3",Stamoplysninger!$H$30/200,0)</f>
        <v>0</v>
      </c>
      <c r="DB29" s="457">
        <f>IF(C29="Skema 4",Stamoplysninger!$H$30/200,0)</f>
        <v>0</v>
      </c>
      <c r="DC29" s="457">
        <f>IF(C29="fagdag",Stamoplysninger!$H$30/200,0)</f>
        <v>0</v>
      </c>
      <c r="DD29" s="457">
        <f>IF(C29="emnedag",Stamoplysninger!$H$30/200,0)</f>
        <v>0</v>
      </c>
      <c r="DE29" s="457">
        <f>IF(C29="lejrskole",Stamoplysninger!$H$30/200,0)</f>
        <v>0</v>
      </c>
      <c r="DF29" s="457">
        <f>IF(C29="ekskursion",Stamoplysninger!$H$30/200,0)</f>
        <v>0</v>
      </c>
      <c r="DG29" s="457">
        <f t="shared" si="22"/>
        <v>1</v>
      </c>
    </row>
    <row r="30" spans="1:111">
      <c r="A30" s="443">
        <f t="shared" si="13"/>
        <v>22</v>
      </c>
      <c r="B30" s="218" t="str">
        <f t="shared" si="0"/>
        <v>ti</v>
      </c>
      <c r="C30" s="219" t="s">
        <v>241</v>
      </c>
      <c r="D30" s="220" t="str">
        <f t="shared" si="1"/>
        <v/>
      </c>
      <c r="E30" s="906"/>
      <c r="F30" s="907"/>
      <c r="G30" s="908"/>
      <c r="H30" s="526"/>
      <c r="I30" s="855"/>
      <c r="J30" s="726"/>
      <c r="K30" s="669"/>
      <c r="L30" s="669"/>
      <c r="M30" s="669"/>
      <c r="N30" s="557">
        <f t="shared" si="14"/>
        <v>8</v>
      </c>
      <c r="O30" s="557">
        <f t="shared" si="15"/>
        <v>5.25</v>
      </c>
      <c r="P30" s="557">
        <f>IF(Stamoplysninger!$H$29="JA",November!DG30,CX30)</f>
        <v>1.0833333333333335</v>
      </c>
      <c r="Q30" s="557">
        <f t="shared" si="16"/>
        <v>1.6666666666666665</v>
      </c>
      <c r="R30" s="558"/>
      <c r="S30" s="564"/>
      <c r="T30" s="565"/>
      <c r="U30" s="565"/>
      <c r="V30" s="753"/>
      <c r="W30" s="559"/>
      <c r="X30" s="760"/>
      <c r="Y30">
        <f t="shared" si="17"/>
        <v>0</v>
      </c>
      <c r="Z30" s="759">
        <f t="shared" si="18"/>
        <v>0</v>
      </c>
      <c r="AA30" s="1">
        <f t="shared" si="2"/>
        <v>0</v>
      </c>
      <c r="AB30" s="1">
        <f t="shared" si="3"/>
        <v>0</v>
      </c>
      <c r="AC30" s="1">
        <f t="shared" si="4"/>
        <v>0</v>
      </c>
      <c r="AD30" s="1">
        <f t="shared" si="5"/>
        <v>0</v>
      </c>
      <c r="AE30" s="1">
        <f t="shared" si="6"/>
        <v>0</v>
      </c>
      <c r="AF30" s="1">
        <f>IF(C30="Orlov",7.4*Stamoplysninger!$E$15,0)</f>
        <v>0</v>
      </c>
      <c r="AG30" s="383" t="str">
        <f>IF(AND(C30="Skema 1",B30="ma"),Arbejdstidsoversigt!$E$44,"")</f>
        <v/>
      </c>
      <c r="AH30" s="383">
        <f>IF(AND(C30="Skema 1",B30="ti"),Arbejdstidsoversigt!$E$45,"")</f>
        <v>8</v>
      </c>
      <c r="AI30" s="383" t="str">
        <f>IF(AND(C30="Skema 1",B30="on"),Arbejdstidsoversigt!$E$46,"")</f>
        <v/>
      </c>
      <c r="AJ30" s="383" t="str">
        <f>IF(AND(C30="Skema 1",B30="to"),Arbejdstidsoversigt!$E$47,"")</f>
        <v/>
      </c>
      <c r="AK30" s="383" t="str">
        <f>IF(AND(C30="Skema 1",B30="fr"),Arbejdstidsoversigt!$E$48,"")</f>
        <v/>
      </c>
      <c r="AL30" s="383" t="str">
        <f>IF(AND(C30="Skema 2",B30="ma"),Arbejdstidsoversigt!$E$53,"")</f>
        <v/>
      </c>
      <c r="AM30" s="383" t="str">
        <f>IF(AND(C30="Skema 2",B30="ti"),Arbejdstidsoversigt!$E$54,"")</f>
        <v/>
      </c>
      <c r="AN30" s="383" t="str">
        <f>IF(AND(C30="Skema 2",B30="on"),Arbejdstidsoversigt!$E$55,"")</f>
        <v/>
      </c>
      <c r="AO30" s="383" t="str">
        <f>IF(AND(C30="Skema 2",B30="to"),Arbejdstidsoversigt!$E$56,"")</f>
        <v/>
      </c>
      <c r="AP30" s="383" t="str">
        <f>IF(AND(C30="Skema 2",B30="fr"),Arbejdstidsoversigt!$E$57,"")</f>
        <v/>
      </c>
      <c r="AQ30" s="383" t="str">
        <f>IF(AND(C30="Skema 3",B30="ma"),Arbejdstidsoversigt!$E$62,"")</f>
        <v/>
      </c>
      <c r="AR30" s="383" t="str">
        <f>IF(AND(C30="Skema 3",B30="ti"),Arbejdstidsoversigt!$E$63,"")</f>
        <v/>
      </c>
      <c r="AS30" s="383" t="str">
        <f>IF(AND(C30="Skema 3",B30="on"),Arbejdstidsoversigt!$E$64,"")</f>
        <v/>
      </c>
      <c r="AT30" s="383" t="str">
        <f>IF(AND(C30="Skema 3",B30="to"),Arbejdstidsoversigt!$E$65,"")</f>
        <v/>
      </c>
      <c r="AU30" s="383" t="str">
        <f>IF(AND(C30="Skema 3",B30="fr"),Arbejdstidsoversigt!$E$66,"")</f>
        <v/>
      </c>
      <c r="AV30" s="383" t="str">
        <f>IF(AND(C30="Skema 4",B30="ma"),Arbejdstidsoversigt!$E$71,"")</f>
        <v/>
      </c>
      <c r="AW30" s="383" t="str">
        <f>IF(AND(C30="Skema 4",B30="ti"),Arbejdstidsoversigt!$E$72,"")</f>
        <v/>
      </c>
      <c r="AX30" s="383" t="str">
        <f>IF(AND(C30="Skema 4",B30="on"),Arbejdstidsoversigt!$E$73,"")</f>
        <v/>
      </c>
      <c r="AY30" s="383" t="str">
        <f>IF(AND(C30="Skema 4",B30="to"),Arbejdstidsoversigt!$E$74,"")</f>
        <v/>
      </c>
      <c r="AZ30" s="383" t="str">
        <f>IF(AND(C30="Skema 4",B30="fr"),Arbejdstidsoversigt!$E$75,"")</f>
        <v/>
      </c>
      <c r="BA30" s="1">
        <f t="shared" si="19"/>
        <v>8</v>
      </c>
      <c r="BB30" s="421">
        <f t="shared" si="7"/>
        <v>192</v>
      </c>
      <c r="BC30" s="1">
        <f t="shared" si="20"/>
        <v>0</v>
      </c>
      <c r="BD30" s="1">
        <f t="shared" si="8"/>
        <v>0</v>
      </c>
      <c r="BE30" s="1">
        <f t="shared" si="9"/>
        <v>0</v>
      </c>
      <c r="BF30" s="1">
        <f t="shared" si="10"/>
        <v>0</v>
      </c>
      <c r="BG30" s="382" t="str">
        <f>IF(AND(C30="Skema 1",B30="ma"),Skemaoplysninger!$E$28,"")</f>
        <v/>
      </c>
      <c r="BH30" s="382">
        <f>IF(AND(C30="Skema 1",B30="ti"),Skemaoplysninger!$F$28,"")</f>
        <v>0.21875</v>
      </c>
      <c r="BI30" s="382" t="str">
        <f>IF(AND(C30="Skema 1",B30="on"),Skemaoplysninger!$G$28,"")</f>
        <v/>
      </c>
      <c r="BJ30" s="382" t="str">
        <f>IF(AND(C30="Skema 1",B30="to"),Skemaoplysninger!$H$28,"")</f>
        <v/>
      </c>
      <c r="BK30" s="382" t="str">
        <f>IF(AND(C30="Skema 1",B30="fr"),Skemaoplysninger!$I$28,"")</f>
        <v/>
      </c>
      <c r="BL30" s="382" t="str">
        <f>IF(AND(C30="Skema 2",B30="ma"),Skemaoplysninger!$O$28,"")</f>
        <v/>
      </c>
      <c r="BM30" s="382" t="str">
        <f>IF(AND(C30="Skema 2",B30="ti"),Skemaoplysninger!$P$28,"")</f>
        <v/>
      </c>
      <c r="BN30" s="382" t="str">
        <f>IF(AND(C30="Skema 2",B30="on"),Skemaoplysninger!$Q$28,"")</f>
        <v/>
      </c>
      <c r="BO30" s="382" t="str">
        <f>IF(AND(C30="Skema 2",B30="to"),Skemaoplysninger!$R$28,"")</f>
        <v/>
      </c>
      <c r="BP30" s="382" t="str">
        <f>IF(AND(C30="Skema 2",B30="fr"),Skemaoplysninger!$S$28,"")</f>
        <v/>
      </c>
      <c r="BQ30" s="382" t="str">
        <f>IF(AND(C30="Skema 3",B30="ma"),Skemaoplysninger!$Y$28,"")</f>
        <v/>
      </c>
      <c r="BR30" s="382" t="str">
        <f>IF(AND(C30="Skema 3",B30="ti"),Skemaoplysninger!$Z$28,"")</f>
        <v/>
      </c>
      <c r="BS30" s="382" t="str">
        <f>IF(AND(C30="Skema 3",B30="on"),Skemaoplysninger!$AA$28,"")</f>
        <v/>
      </c>
      <c r="BT30" s="382" t="str">
        <f>IF(AND(C30="Skema 3",B30="to"),Skemaoplysninger!$AB$28,"")</f>
        <v/>
      </c>
      <c r="BU30" s="382" t="str">
        <f>IF(AND(C30="Skema 3",B30="fr"),Skemaoplysninger!$AC$28,"")</f>
        <v/>
      </c>
      <c r="BV30" s="382" t="str">
        <f>IF(AND(C30="Skema 4",B30="ma"),Skemaoplysninger!$AI$28,"")</f>
        <v/>
      </c>
      <c r="BW30" s="382" t="str">
        <f>IF(AND(C30="Skema 4",B30="ti"),Skemaoplysninger!$AJ$28,"")</f>
        <v/>
      </c>
      <c r="BX30" s="382" t="str">
        <f>IF(AND(C30="Skema 4",B30="on"),Skemaoplysninger!$AK$28,"")</f>
        <v/>
      </c>
      <c r="BY30" s="382" t="str">
        <f>IF(AND(C30="Skema 4",B30="to"),Skemaoplysninger!$AL$28,"")</f>
        <v/>
      </c>
      <c r="BZ30" s="382" t="str">
        <f>IF(AND(C30="Skema 4",B30="fr"),Skemaoplysninger!$AM$28,"")</f>
        <v/>
      </c>
      <c r="CA30" s="1">
        <f t="shared" si="21"/>
        <v>5.25</v>
      </c>
      <c r="CB30" s="1">
        <f t="shared" si="11"/>
        <v>0</v>
      </c>
      <c r="CC30" s="1">
        <f t="shared" si="12"/>
        <v>0</v>
      </c>
      <c r="CD30" s="382" t="str">
        <f>IF(AND(C30="Skema 1",B30="ma"),Skemaoplysninger!$E$37,"")</f>
        <v/>
      </c>
      <c r="CE30" s="382">
        <f>IF(AND(C30="Skema 1",B30="ti"),Skemaoplysninger!$F$37,"")</f>
        <v>1.0833333333333335</v>
      </c>
      <c r="CF30" s="382" t="str">
        <f>IF(AND(C30="Skema 1",B30="on"),Skemaoplysninger!$G$37,"")</f>
        <v/>
      </c>
      <c r="CG30" s="382" t="str">
        <f>IF(AND(C30="Skema 1",B30="to"),Skemaoplysninger!$H$37,"")</f>
        <v/>
      </c>
      <c r="CH30" s="382" t="str">
        <f>IF(AND(C30="Skema 1",B30="fr"),Skemaoplysninger!$I$37,"")</f>
        <v/>
      </c>
      <c r="CI30" s="382" t="str">
        <f>IF(AND(C30="Skema 2",B30="ma"),Skemaoplysninger!$O$37,"")</f>
        <v/>
      </c>
      <c r="CJ30" s="382" t="str">
        <f>IF(AND(C30="Skema 2",B30="ti"),Skemaoplysninger!$P$37,"")</f>
        <v/>
      </c>
      <c r="CK30" s="382" t="str">
        <f>IF(AND(C30="Skema 2",B30="on"),Skemaoplysninger!$Q$37,"")</f>
        <v/>
      </c>
      <c r="CL30" s="382" t="str">
        <f>IF(AND(C30="Skema 2",B30="to"),Skemaoplysninger!$R$37,"")</f>
        <v/>
      </c>
      <c r="CM30" s="382" t="str">
        <f>IF(AND(C30="Skema 2",B30="fr"),Skemaoplysninger!$S$37,"")</f>
        <v/>
      </c>
      <c r="CN30" s="382" t="str">
        <f>IF(AND(C30="Skema 3",B30="ma"),Skemaoplysninger!$Y$37,"")</f>
        <v/>
      </c>
      <c r="CO30" s="382" t="str">
        <f>IF(AND(C30="Skema 3",B30="ti"),Skemaoplysninger!$Z$37,"")</f>
        <v/>
      </c>
      <c r="CP30" s="382" t="str">
        <f>IF(AND(C30="Skema 3",B30="on"),Skemaoplysninger!$AA$37,"")</f>
        <v/>
      </c>
      <c r="CQ30" s="382" t="str">
        <f>IF(AND(C30="Skema 3",B30="to"),Skemaoplysninger!$AB$37,"")</f>
        <v/>
      </c>
      <c r="CR30" s="382" t="str">
        <f>IF(AND(C30="Skema 3",B30="fr"),Skemaoplysninger!$AC$37,"")</f>
        <v/>
      </c>
      <c r="CS30" s="382" t="str">
        <f>IF(AND(C30="Skema 4",B30="ma"),Skemaoplysninger!$AI$37,"")</f>
        <v/>
      </c>
      <c r="CT30" s="382" t="str">
        <f>IF(AND(C30="Skema 4",B30="ti"),Skemaoplysninger!$AJ$37,"")</f>
        <v/>
      </c>
      <c r="CU30" s="382" t="str">
        <f>IF(AND(C30="Skema 4",B30="on"),Skemaoplysninger!$AK$37,"")</f>
        <v/>
      </c>
      <c r="CV30" s="382" t="str">
        <f>IF(AND(C30="Skema 4",B30="to"),Skemaoplysninger!$AL$37,"")</f>
        <v/>
      </c>
      <c r="CW30" s="382" t="str">
        <f>IF(AND(C30="Skema 4",B30="fr"),Skemaoplysninger!$AM$37,"")</f>
        <v/>
      </c>
      <c r="CX30" s="457">
        <f>IF(Stamoplysninger!$H$29="NEJ",SUM(CB30:CW30),0)</f>
        <v>1.0833333333333335</v>
      </c>
      <c r="CY30" s="457">
        <f>IF(C30="Skema 1",Stamoplysninger!$H$30/200,0)</f>
        <v>1</v>
      </c>
      <c r="CZ30" s="457">
        <f>IF(C30="Skema 2",Stamoplysninger!$H$30/200,0)</f>
        <v>0</v>
      </c>
      <c r="DA30" s="457">
        <f>IF(C30="Skema 3",Stamoplysninger!$H$30/200,0)</f>
        <v>0</v>
      </c>
      <c r="DB30" s="457">
        <f>IF(C30="Skema 4",Stamoplysninger!$H$30/200,0)</f>
        <v>0</v>
      </c>
      <c r="DC30" s="457">
        <f>IF(C30="fagdag",Stamoplysninger!$H$30/200,0)</f>
        <v>0</v>
      </c>
      <c r="DD30" s="457">
        <f>IF(C30="emnedag",Stamoplysninger!$H$30/200,0)</f>
        <v>0</v>
      </c>
      <c r="DE30" s="457">
        <f>IF(C30="lejrskole",Stamoplysninger!$H$30/200,0)</f>
        <v>0</v>
      </c>
      <c r="DF30" s="457">
        <f>IF(C30="ekskursion",Stamoplysninger!$H$30/200,0)</f>
        <v>0</v>
      </c>
      <c r="DG30" s="457">
        <f t="shared" si="22"/>
        <v>1</v>
      </c>
    </row>
    <row r="31" spans="1:111">
      <c r="A31" s="443">
        <f t="shared" si="13"/>
        <v>23</v>
      </c>
      <c r="B31" s="218" t="str">
        <f t="shared" si="0"/>
        <v>on</v>
      </c>
      <c r="C31" s="219" t="s">
        <v>241</v>
      </c>
      <c r="D31" s="220" t="str">
        <f t="shared" si="1"/>
        <v/>
      </c>
      <c r="E31" s="906"/>
      <c r="F31" s="907"/>
      <c r="G31" s="908"/>
      <c r="H31" s="526"/>
      <c r="I31" s="855"/>
      <c r="J31" s="726"/>
      <c r="K31" s="669"/>
      <c r="L31" s="669"/>
      <c r="M31" s="669"/>
      <c r="N31" s="557">
        <f t="shared" si="14"/>
        <v>8</v>
      </c>
      <c r="O31" s="557">
        <f t="shared" si="15"/>
        <v>3.75</v>
      </c>
      <c r="P31" s="557">
        <f>IF(Stamoplysninger!$H$29="JA",November!DG31,CX31)</f>
        <v>0.91666666666666674</v>
      </c>
      <c r="Q31" s="557">
        <f t="shared" si="16"/>
        <v>3.333333333333333</v>
      </c>
      <c r="R31" s="558"/>
      <c r="S31" s="564"/>
      <c r="T31" s="565"/>
      <c r="U31" s="565"/>
      <c r="V31" s="753"/>
      <c r="W31" s="559"/>
      <c r="X31" s="760"/>
      <c r="Y31">
        <f t="shared" si="17"/>
        <v>0</v>
      </c>
      <c r="Z31" s="759">
        <f t="shared" si="18"/>
        <v>0</v>
      </c>
      <c r="AA31" s="1">
        <f t="shared" si="2"/>
        <v>0</v>
      </c>
      <c r="AB31" s="1">
        <f t="shared" si="3"/>
        <v>0</v>
      </c>
      <c r="AC31" s="1">
        <f t="shared" si="4"/>
        <v>0</v>
      </c>
      <c r="AD31" s="1">
        <f t="shared" si="5"/>
        <v>0</v>
      </c>
      <c r="AE31" s="1">
        <f t="shared" si="6"/>
        <v>0</v>
      </c>
      <c r="AF31" s="1">
        <f>IF(C31="Orlov",7.4*Stamoplysninger!$E$15,0)</f>
        <v>0</v>
      </c>
      <c r="AG31" s="383" t="str">
        <f>IF(AND(C31="Skema 1",B31="ma"),Arbejdstidsoversigt!$E$44,"")</f>
        <v/>
      </c>
      <c r="AH31" s="383" t="str">
        <f>IF(AND(C31="Skema 1",B31="ti"),Arbejdstidsoversigt!$E$45,"")</f>
        <v/>
      </c>
      <c r="AI31" s="383">
        <f>IF(AND(C31="Skema 1",B31="on"),Arbejdstidsoversigt!$E$46,"")</f>
        <v>8</v>
      </c>
      <c r="AJ31" s="383" t="str">
        <f>IF(AND(C31="Skema 1",B31="to"),Arbejdstidsoversigt!$E$47,"")</f>
        <v/>
      </c>
      <c r="AK31" s="383" t="str">
        <f>IF(AND(C31="Skema 1",B31="fr"),Arbejdstidsoversigt!$E$48,"")</f>
        <v/>
      </c>
      <c r="AL31" s="383" t="str">
        <f>IF(AND(C31="Skema 2",B31="ma"),Arbejdstidsoversigt!$E$53,"")</f>
        <v/>
      </c>
      <c r="AM31" s="383" t="str">
        <f>IF(AND(C31="Skema 2",B31="ti"),Arbejdstidsoversigt!$E$54,"")</f>
        <v/>
      </c>
      <c r="AN31" s="383" t="str">
        <f>IF(AND(C31="Skema 2",B31="on"),Arbejdstidsoversigt!$E$55,"")</f>
        <v/>
      </c>
      <c r="AO31" s="383" t="str">
        <f>IF(AND(C31="Skema 2",B31="to"),Arbejdstidsoversigt!$E$56,"")</f>
        <v/>
      </c>
      <c r="AP31" s="383" t="str">
        <f>IF(AND(C31="Skema 2",B31="fr"),Arbejdstidsoversigt!$E$57,"")</f>
        <v/>
      </c>
      <c r="AQ31" s="383" t="str">
        <f>IF(AND(C31="Skema 3",B31="ma"),Arbejdstidsoversigt!$E$62,"")</f>
        <v/>
      </c>
      <c r="AR31" s="383" t="str">
        <f>IF(AND(C31="Skema 3",B31="ti"),Arbejdstidsoversigt!$E$63,"")</f>
        <v/>
      </c>
      <c r="AS31" s="383" t="str">
        <f>IF(AND(C31="Skema 3",B31="on"),Arbejdstidsoversigt!$E$64,"")</f>
        <v/>
      </c>
      <c r="AT31" s="383" t="str">
        <f>IF(AND(C31="Skema 3",B31="to"),Arbejdstidsoversigt!$E$65,"")</f>
        <v/>
      </c>
      <c r="AU31" s="383" t="str">
        <f>IF(AND(C31="Skema 3",B31="fr"),Arbejdstidsoversigt!$E$66,"")</f>
        <v/>
      </c>
      <c r="AV31" s="383" t="str">
        <f>IF(AND(C31="Skema 4",B31="ma"),Arbejdstidsoversigt!$E$71,"")</f>
        <v/>
      </c>
      <c r="AW31" s="383" t="str">
        <f>IF(AND(C31="Skema 4",B31="ti"),Arbejdstidsoversigt!$E$72,"")</f>
        <v/>
      </c>
      <c r="AX31" s="383" t="str">
        <f>IF(AND(C31="Skema 4",B31="on"),Arbejdstidsoversigt!$E$73,"")</f>
        <v/>
      </c>
      <c r="AY31" s="383" t="str">
        <f>IF(AND(C31="Skema 4",B31="to"),Arbejdstidsoversigt!$E$74,"")</f>
        <v/>
      </c>
      <c r="AZ31" s="383" t="str">
        <f>IF(AND(C31="Skema 4",B31="fr"),Arbejdstidsoversigt!$E$75,"")</f>
        <v/>
      </c>
      <c r="BA31" s="1">
        <f t="shared" si="19"/>
        <v>8</v>
      </c>
      <c r="BB31" s="421">
        <f t="shared" si="7"/>
        <v>192</v>
      </c>
      <c r="BC31" s="1">
        <f t="shared" si="20"/>
        <v>0</v>
      </c>
      <c r="BD31" s="1">
        <f t="shared" si="8"/>
        <v>0</v>
      </c>
      <c r="BE31" s="1">
        <f t="shared" si="9"/>
        <v>0</v>
      </c>
      <c r="BF31" s="1">
        <f t="shared" si="10"/>
        <v>0</v>
      </c>
      <c r="BG31" s="382" t="str">
        <f>IF(AND(C31="Skema 1",B31="ma"),Skemaoplysninger!$E$28,"")</f>
        <v/>
      </c>
      <c r="BH31" s="382" t="str">
        <f>IF(AND(C31="Skema 1",B31="ti"),Skemaoplysninger!$F$28,"")</f>
        <v/>
      </c>
      <c r="BI31" s="382">
        <f>IF(AND(C31="Skema 1",B31="on"),Skemaoplysninger!$G$28,"")</f>
        <v>0.15625</v>
      </c>
      <c r="BJ31" s="382" t="str">
        <f>IF(AND(C31="Skema 1",B31="to"),Skemaoplysninger!$H$28,"")</f>
        <v/>
      </c>
      <c r="BK31" s="382" t="str">
        <f>IF(AND(C31="Skema 1",B31="fr"),Skemaoplysninger!$I$28,"")</f>
        <v/>
      </c>
      <c r="BL31" s="382" t="str">
        <f>IF(AND(C31="Skema 2",B31="ma"),Skemaoplysninger!$O$28,"")</f>
        <v/>
      </c>
      <c r="BM31" s="382" t="str">
        <f>IF(AND(C31="Skema 2",B31="ti"),Skemaoplysninger!$P$28,"")</f>
        <v/>
      </c>
      <c r="BN31" s="382" t="str">
        <f>IF(AND(C31="Skema 2",B31="on"),Skemaoplysninger!$Q$28,"")</f>
        <v/>
      </c>
      <c r="BO31" s="382" t="str">
        <f>IF(AND(C31="Skema 2",B31="to"),Skemaoplysninger!$R$28,"")</f>
        <v/>
      </c>
      <c r="BP31" s="382" t="str">
        <f>IF(AND(C31="Skema 2",B31="fr"),Skemaoplysninger!$S$28,"")</f>
        <v/>
      </c>
      <c r="BQ31" s="382" t="str">
        <f>IF(AND(C31="Skema 3",B31="ma"),Skemaoplysninger!$Y$28,"")</f>
        <v/>
      </c>
      <c r="BR31" s="382" t="str">
        <f>IF(AND(C31="Skema 3",B31="ti"),Skemaoplysninger!$Z$28,"")</f>
        <v/>
      </c>
      <c r="BS31" s="382" t="str">
        <f>IF(AND(C31="Skema 3",B31="on"),Skemaoplysninger!$AA$28,"")</f>
        <v/>
      </c>
      <c r="BT31" s="382" t="str">
        <f>IF(AND(C31="Skema 3",B31="to"),Skemaoplysninger!$AB$28,"")</f>
        <v/>
      </c>
      <c r="BU31" s="382" t="str">
        <f>IF(AND(C31="Skema 3",B31="fr"),Skemaoplysninger!$AC$28,"")</f>
        <v/>
      </c>
      <c r="BV31" s="382" t="str">
        <f>IF(AND(C31="Skema 4",B31="ma"),Skemaoplysninger!$AI$28,"")</f>
        <v/>
      </c>
      <c r="BW31" s="382" t="str">
        <f>IF(AND(C31="Skema 4",B31="ti"),Skemaoplysninger!$AJ$28,"")</f>
        <v/>
      </c>
      <c r="BX31" s="382" t="str">
        <f>IF(AND(C31="Skema 4",B31="on"),Skemaoplysninger!$AK$28,"")</f>
        <v/>
      </c>
      <c r="BY31" s="382" t="str">
        <f>IF(AND(C31="Skema 4",B31="to"),Skemaoplysninger!$AL$28,"")</f>
        <v/>
      </c>
      <c r="BZ31" s="382" t="str">
        <f>IF(AND(C31="Skema 4",B31="fr"),Skemaoplysninger!$AM$28,"")</f>
        <v/>
      </c>
      <c r="CA31" s="1">
        <f t="shared" si="21"/>
        <v>3.75</v>
      </c>
      <c r="CB31" s="1">
        <f t="shared" si="11"/>
        <v>0</v>
      </c>
      <c r="CC31" s="1">
        <f t="shared" si="12"/>
        <v>0</v>
      </c>
      <c r="CD31" s="382" t="str">
        <f>IF(AND(C31="Skema 1",B31="ma"),Skemaoplysninger!$E$37,"")</f>
        <v/>
      </c>
      <c r="CE31" s="382" t="str">
        <f>IF(AND(C31="Skema 1",B31="ti"),Skemaoplysninger!$F$37,"")</f>
        <v/>
      </c>
      <c r="CF31" s="382">
        <f>IF(AND(C31="Skema 1",B31="on"),Skemaoplysninger!$G$37,"")</f>
        <v>0.91666666666666674</v>
      </c>
      <c r="CG31" s="382" t="str">
        <f>IF(AND(C31="Skema 1",B31="to"),Skemaoplysninger!$H$37,"")</f>
        <v/>
      </c>
      <c r="CH31" s="382" t="str">
        <f>IF(AND(C31="Skema 1",B31="fr"),Skemaoplysninger!$I$37,"")</f>
        <v/>
      </c>
      <c r="CI31" s="382" t="str">
        <f>IF(AND(C31="Skema 2",B31="ma"),Skemaoplysninger!$O$37,"")</f>
        <v/>
      </c>
      <c r="CJ31" s="382" t="str">
        <f>IF(AND(C31="Skema 2",B31="ti"),Skemaoplysninger!$P$37,"")</f>
        <v/>
      </c>
      <c r="CK31" s="382" t="str">
        <f>IF(AND(C31="Skema 2",B31="on"),Skemaoplysninger!$Q$37,"")</f>
        <v/>
      </c>
      <c r="CL31" s="382" t="str">
        <f>IF(AND(C31="Skema 2",B31="to"),Skemaoplysninger!$R$37,"")</f>
        <v/>
      </c>
      <c r="CM31" s="382" t="str">
        <f>IF(AND(C31="Skema 2",B31="fr"),Skemaoplysninger!$S$37,"")</f>
        <v/>
      </c>
      <c r="CN31" s="382" t="str">
        <f>IF(AND(C31="Skema 3",B31="ma"),Skemaoplysninger!$Y$37,"")</f>
        <v/>
      </c>
      <c r="CO31" s="382" t="str">
        <f>IF(AND(C31="Skema 3",B31="ti"),Skemaoplysninger!$Z$37,"")</f>
        <v/>
      </c>
      <c r="CP31" s="382" t="str">
        <f>IF(AND(C31="Skema 3",B31="on"),Skemaoplysninger!$AA$37,"")</f>
        <v/>
      </c>
      <c r="CQ31" s="382" t="str">
        <f>IF(AND(C31="Skema 3",B31="to"),Skemaoplysninger!$AB$37,"")</f>
        <v/>
      </c>
      <c r="CR31" s="382" t="str">
        <f>IF(AND(C31="Skema 3",B31="fr"),Skemaoplysninger!$AC$37,"")</f>
        <v/>
      </c>
      <c r="CS31" s="382" t="str">
        <f>IF(AND(C31="Skema 4",B31="ma"),Skemaoplysninger!$AI$37,"")</f>
        <v/>
      </c>
      <c r="CT31" s="382" t="str">
        <f>IF(AND(C31="Skema 4",B31="ti"),Skemaoplysninger!$AJ$37,"")</f>
        <v/>
      </c>
      <c r="CU31" s="382" t="str">
        <f>IF(AND(C31="Skema 4",B31="on"),Skemaoplysninger!$AK$37,"")</f>
        <v/>
      </c>
      <c r="CV31" s="382" t="str">
        <f>IF(AND(C31="Skema 4",B31="to"),Skemaoplysninger!$AL$37,"")</f>
        <v/>
      </c>
      <c r="CW31" s="382" t="str">
        <f>IF(AND(C31="Skema 4",B31="fr"),Skemaoplysninger!$AM$37,"")</f>
        <v/>
      </c>
      <c r="CX31" s="457">
        <f>IF(Stamoplysninger!$H$29="NEJ",SUM(CB31:CW31),0)</f>
        <v>0.91666666666666674</v>
      </c>
      <c r="CY31" s="457">
        <f>IF(C31="Skema 1",Stamoplysninger!$H$30/200,0)</f>
        <v>1</v>
      </c>
      <c r="CZ31" s="457">
        <f>IF(C31="Skema 2",Stamoplysninger!$H$30/200,0)</f>
        <v>0</v>
      </c>
      <c r="DA31" s="457">
        <f>IF(C31="Skema 3",Stamoplysninger!$H$30/200,0)</f>
        <v>0</v>
      </c>
      <c r="DB31" s="457">
        <f>IF(C31="Skema 4",Stamoplysninger!$H$30/200,0)</f>
        <v>0</v>
      </c>
      <c r="DC31" s="457">
        <f>IF(C31="fagdag",Stamoplysninger!$H$30/200,0)</f>
        <v>0</v>
      </c>
      <c r="DD31" s="457">
        <f>IF(C31="emnedag",Stamoplysninger!$H$30/200,0)</f>
        <v>0</v>
      </c>
      <c r="DE31" s="457">
        <f>IF(C31="lejrskole",Stamoplysninger!$H$30/200,0)</f>
        <v>0</v>
      </c>
      <c r="DF31" s="457">
        <f>IF(C31="ekskursion",Stamoplysninger!$H$30/200,0)</f>
        <v>0</v>
      </c>
      <c r="DG31" s="457">
        <f t="shared" si="22"/>
        <v>1</v>
      </c>
    </row>
    <row r="32" spans="1:111">
      <c r="A32" s="443">
        <f t="shared" si="13"/>
        <v>24</v>
      </c>
      <c r="B32" s="218" t="str">
        <f t="shared" si="0"/>
        <v>to</v>
      </c>
      <c r="C32" s="219" t="s">
        <v>241</v>
      </c>
      <c r="D32" s="220" t="str">
        <f t="shared" si="1"/>
        <v/>
      </c>
      <c r="E32" s="449"/>
      <c r="F32" s="450"/>
      <c r="G32" s="451"/>
      <c r="H32" s="526"/>
      <c r="I32" s="855"/>
      <c r="J32" s="726"/>
      <c r="K32" s="669"/>
      <c r="L32" s="669"/>
      <c r="M32" s="669"/>
      <c r="N32" s="557">
        <f t="shared" si="14"/>
        <v>8</v>
      </c>
      <c r="O32" s="557">
        <f t="shared" si="15"/>
        <v>3.75</v>
      </c>
      <c r="P32" s="557">
        <f>IF(Stamoplysninger!$H$29="JA",November!DG32,CX32)</f>
        <v>0.91666666666666674</v>
      </c>
      <c r="Q32" s="557">
        <f t="shared" si="16"/>
        <v>3.333333333333333</v>
      </c>
      <c r="R32" s="558"/>
      <c r="S32" s="564"/>
      <c r="T32" s="565"/>
      <c r="U32" s="565"/>
      <c r="V32" s="753"/>
      <c r="W32" s="559"/>
      <c r="X32" s="760"/>
      <c r="Y32">
        <f t="shared" si="17"/>
        <v>0</v>
      </c>
      <c r="Z32" s="759">
        <f t="shared" si="18"/>
        <v>0</v>
      </c>
      <c r="AA32" s="1">
        <f t="shared" si="2"/>
        <v>0</v>
      </c>
      <c r="AB32" s="1">
        <f t="shared" si="3"/>
        <v>0</v>
      </c>
      <c r="AC32" s="1">
        <f t="shared" si="4"/>
        <v>0</v>
      </c>
      <c r="AD32" s="1">
        <f t="shared" si="5"/>
        <v>0</v>
      </c>
      <c r="AE32" s="1">
        <f t="shared" si="6"/>
        <v>0</v>
      </c>
      <c r="AF32" s="1">
        <f>IF(C32="Orlov",7.4*Stamoplysninger!$E$15,0)</f>
        <v>0</v>
      </c>
      <c r="AG32" s="383" t="str">
        <f>IF(AND(C32="Skema 1",B32="ma"),Arbejdstidsoversigt!$E$44,"")</f>
        <v/>
      </c>
      <c r="AH32" s="383" t="str">
        <f>IF(AND(C32="Skema 1",B32="ti"),Arbejdstidsoversigt!$E$45,"")</f>
        <v/>
      </c>
      <c r="AI32" s="383" t="str">
        <f>IF(AND(C32="Skema 1",B32="on"),Arbejdstidsoversigt!$E$46,"")</f>
        <v/>
      </c>
      <c r="AJ32" s="383">
        <f>IF(AND(C32="Skema 1",B32="to"),Arbejdstidsoversigt!$E$47,"")</f>
        <v>8</v>
      </c>
      <c r="AK32" s="383" t="str">
        <f>IF(AND(C32="Skema 1",B32="fr"),Arbejdstidsoversigt!$E$48,"")</f>
        <v/>
      </c>
      <c r="AL32" s="383" t="str">
        <f>IF(AND(C32="Skema 2",B32="ma"),Arbejdstidsoversigt!$E$53,"")</f>
        <v/>
      </c>
      <c r="AM32" s="383" t="str">
        <f>IF(AND(C32="Skema 2",B32="ti"),Arbejdstidsoversigt!$E$54,"")</f>
        <v/>
      </c>
      <c r="AN32" s="383" t="str">
        <f>IF(AND(C32="Skema 2",B32="on"),Arbejdstidsoversigt!$E$55,"")</f>
        <v/>
      </c>
      <c r="AO32" s="383" t="str">
        <f>IF(AND(C32="Skema 2",B32="to"),Arbejdstidsoversigt!$E$56,"")</f>
        <v/>
      </c>
      <c r="AP32" s="383" t="str">
        <f>IF(AND(C32="Skema 2",B32="fr"),Arbejdstidsoversigt!$E$57,"")</f>
        <v/>
      </c>
      <c r="AQ32" s="383" t="str">
        <f>IF(AND(C32="Skema 3",B32="ma"),Arbejdstidsoversigt!$E$62,"")</f>
        <v/>
      </c>
      <c r="AR32" s="383" t="str">
        <f>IF(AND(C32="Skema 3",B32="ti"),Arbejdstidsoversigt!$E$63,"")</f>
        <v/>
      </c>
      <c r="AS32" s="383" t="str">
        <f>IF(AND(C32="Skema 3",B32="on"),Arbejdstidsoversigt!$E$64,"")</f>
        <v/>
      </c>
      <c r="AT32" s="383" t="str">
        <f>IF(AND(C32="Skema 3",B32="to"),Arbejdstidsoversigt!$E$65,"")</f>
        <v/>
      </c>
      <c r="AU32" s="383" t="str">
        <f>IF(AND(C32="Skema 3",B32="fr"),Arbejdstidsoversigt!$E$66,"")</f>
        <v/>
      </c>
      <c r="AV32" s="383" t="str">
        <f>IF(AND(C32="Skema 4",B32="ma"),Arbejdstidsoversigt!$E$71,"")</f>
        <v/>
      </c>
      <c r="AW32" s="383" t="str">
        <f>IF(AND(C32="Skema 4",B32="ti"),Arbejdstidsoversigt!$E$72,"")</f>
        <v/>
      </c>
      <c r="AX32" s="383" t="str">
        <f>IF(AND(C32="Skema 4",B32="on"),Arbejdstidsoversigt!$E$73,"")</f>
        <v/>
      </c>
      <c r="AY32" s="383" t="str">
        <f>IF(AND(C32="Skema 4",B32="to"),Arbejdstidsoversigt!$E$74,"")</f>
        <v/>
      </c>
      <c r="AZ32" s="383" t="str">
        <f>IF(AND(C32="Skema 4",B32="fr"),Arbejdstidsoversigt!$E$75,"")</f>
        <v/>
      </c>
      <c r="BA32" s="1">
        <f t="shared" si="19"/>
        <v>8</v>
      </c>
      <c r="BB32" s="421">
        <f t="shared" si="7"/>
        <v>192</v>
      </c>
      <c r="BC32" s="1">
        <f t="shared" si="20"/>
        <v>0</v>
      </c>
      <c r="BD32" s="1">
        <f t="shared" si="8"/>
        <v>0</v>
      </c>
      <c r="BE32" s="1">
        <f t="shared" si="9"/>
        <v>0</v>
      </c>
      <c r="BF32" s="1">
        <f t="shared" si="10"/>
        <v>0</v>
      </c>
      <c r="BG32" s="382" t="str">
        <f>IF(AND(C32="Skema 1",B32="ma"),Skemaoplysninger!$E$28,"")</f>
        <v/>
      </c>
      <c r="BH32" s="382" t="str">
        <f>IF(AND(C32="Skema 1",B32="ti"),Skemaoplysninger!$F$28,"")</f>
        <v/>
      </c>
      <c r="BI32" s="382" t="str">
        <f>IF(AND(C32="Skema 1",B32="on"),Skemaoplysninger!$G$28,"")</f>
        <v/>
      </c>
      <c r="BJ32" s="382">
        <f>IF(AND(C32="Skema 1",B32="to"),Skemaoplysninger!$H$28,"")</f>
        <v>0.15625</v>
      </c>
      <c r="BK32" s="382" t="str">
        <f>IF(AND(C32="Skema 1",B32="fr"),Skemaoplysninger!$I$28,"")</f>
        <v/>
      </c>
      <c r="BL32" s="382" t="str">
        <f>IF(AND(C32="Skema 2",B32="ma"),Skemaoplysninger!$O$28,"")</f>
        <v/>
      </c>
      <c r="BM32" s="382" t="str">
        <f>IF(AND(C32="Skema 2",B32="ti"),Skemaoplysninger!$P$28,"")</f>
        <v/>
      </c>
      <c r="BN32" s="382" t="str">
        <f>IF(AND(C32="Skema 2",B32="on"),Skemaoplysninger!$Q$28,"")</f>
        <v/>
      </c>
      <c r="BO32" s="382" t="str">
        <f>IF(AND(C32="Skema 2",B32="to"),Skemaoplysninger!$R$28,"")</f>
        <v/>
      </c>
      <c r="BP32" s="382" t="str">
        <f>IF(AND(C32="Skema 2",B32="fr"),Skemaoplysninger!$S$28,"")</f>
        <v/>
      </c>
      <c r="BQ32" s="382" t="str">
        <f>IF(AND(C32="Skema 3",B32="ma"),Skemaoplysninger!$Y$28,"")</f>
        <v/>
      </c>
      <c r="BR32" s="382" t="str">
        <f>IF(AND(C32="Skema 3",B32="ti"),Skemaoplysninger!$Z$28,"")</f>
        <v/>
      </c>
      <c r="BS32" s="382" t="str">
        <f>IF(AND(C32="Skema 3",B32="on"),Skemaoplysninger!$AA$28,"")</f>
        <v/>
      </c>
      <c r="BT32" s="382" t="str">
        <f>IF(AND(C32="Skema 3",B32="to"),Skemaoplysninger!$AB$28,"")</f>
        <v/>
      </c>
      <c r="BU32" s="382" t="str">
        <f>IF(AND(C32="Skema 3",B32="fr"),Skemaoplysninger!$AC$28,"")</f>
        <v/>
      </c>
      <c r="BV32" s="382" t="str">
        <f>IF(AND(C32="Skema 4",B32="ma"),Skemaoplysninger!$AI$28,"")</f>
        <v/>
      </c>
      <c r="BW32" s="382" t="str">
        <f>IF(AND(C32="Skema 4",B32="ti"),Skemaoplysninger!$AJ$28,"")</f>
        <v/>
      </c>
      <c r="BX32" s="382" t="str">
        <f>IF(AND(C32="Skema 4",B32="on"),Skemaoplysninger!$AK$28,"")</f>
        <v/>
      </c>
      <c r="BY32" s="382" t="str">
        <f>IF(AND(C32="Skema 4",B32="to"),Skemaoplysninger!$AL$28,"")</f>
        <v/>
      </c>
      <c r="BZ32" s="382" t="str">
        <f>IF(AND(C32="Skema 4",B32="fr"),Skemaoplysninger!$AM$28,"")</f>
        <v/>
      </c>
      <c r="CA32" s="1">
        <f t="shared" si="21"/>
        <v>3.75</v>
      </c>
      <c r="CB32" s="1">
        <f t="shared" si="11"/>
        <v>0</v>
      </c>
      <c r="CC32" s="1">
        <f t="shared" si="12"/>
        <v>0</v>
      </c>
      <c r="CD32" s="382" t="str">
        <f>IF(AND(C32="Skema 1",B32="ma"),Skemaoplysninger!$E$37,"")</f>
        <v/>
      </c>
      <c r="CE32" s="382" t="str">
        <f>IF(AND(C32="Skema 1",B32="ti"),Skemaoplysninger!$F$37,"")</f>
        <v/>
      </c>
      <c r="CF32" s="382" t="str">
        <f>IF(AND(C32="Skema 1",B32="on"),Skemaoplysninger!$G$37,"")</f>
        <v/>
      </c>
      <c r="CG32" s="382">
        <f>IF(AND(C32="Skema 1",B32="to"),Skemaoplysninger!$H$37,"")</f>
        <v>0.91666666666666674</v>
      </c>
      <c r="CH32" s="382" t="str">
        <f>IF(AND(C32="Skema 1",B32="fr"),Skemaoplysninger!$I$37,"")</f>
        <v/>
      </c>
      <c r="CI32" s="382" t="str">
        <f>IF(AND(C32="Skema 2",B32="ma"),Skemaoplysninger!$O$37,"")</f>
        <v/>
      </c>
      <c r="CJ32" s="382" t="str">
        <f>IF(AND(C32="Skema 2",B32="ti"),Skemaoplysninger!$P$37,"")</f>
        <v/>
      </c>
      <c r="CK32" s="382" t="str">
        <f>IF(AND(C32="Skema 2",B32="on"),Skemaoplysninger!$Q$37,"")</f>
        <v/>
      </c>
      <c r="CL32" s="382" t="str">
        <f>IF(AND(C32="Skema 2",B32="to"),Skemaoplysninger!$R$37,"")</f>
        <v/>
      </c>
      <c r="CM32" s="382" t="str">
        <f>IF(AND(C32="Skema 2",B32="fr"),Skemaoplysninger!$S$37,"")</f>
        <v/>
      </c>
      <c r="CN32" s="382" t="str">
        <f>IF(AND(C32="Skema 3",B32="ma"),Skemaoplysninger!$Y$37,"")</f>
        <v/>
      </c>
      <c r="CO32" s="382" t="str">
        <f>IF(AND(C32="Skema 3",B32="ti"),Skemaoplysninger!$Z$37,"")</f>
        <v/>
      </c>
      <c r="CP32" s="382" t="str">
        <f>IF(AND(C32="Skema 3",B32="on"),Skemaoplysninger!$AA$37,"")</f>
        <v/>
      </c>
      <c r="CQ32" s="382" t="str">
        <f>IF(AND(C32="Skema 3",B32="to"),Skemaoplysninger!$AB$37,"")</f>
        <v/>
      </c>
      <c r="CR32" s="382" t="str">
        <f>IF(AND(C32="Skema 3",B32="fr"),Skemaoplysninger!$AC$37,"")</f>
        <v/>
      </c>
      <c r="CS32" s="382" t="str">
        <f>IF(AND(C32="Skema 4",B32="ma"),Skemaoplysninger!$AI$37,"")</f>
        <v/>
      </c>
      <c r="CT32" s="382" t="str">
        <f>IF(AND(C32="Skema 4",B32="ti"),Skemaoplysninger!$AJ$37,"")</f>
        <v/>
      </c>
      <c r="CU32" s="382" t="str">
        <f>IF(AND(C32="Skema 4",B32="on"),Skemaoplysninger!$AK$37,"")</f>
        <v/>
      </c>
      <c r="CV32" s="382" t="str">
        <f>IF(AND(C32="Skema 4",B32="to"),Skemaoplysninger!$AL$37,"")</f>
        <v/>
      </c>
      <c r="CW32" s="382" t="str">
        <f>IF(AND(C32="Skema 4",B32="fr"),Skemaoplysninger!$AM$37,"")</f>
        <v/>
      </c>
      <c r="CX32" s="457">
        <f>IF(Stamoplysninger!$H$29="NEJ",SUM(CB32:CW32),0)</f>
        <v>0.91666666666666674</v>
      </c>
      <c r="CY32" s="457">
        <f>IF(C32="Skema 1",Stamoplysninger!$H$30/200,0)</f>
        <v>1</v>
      </c>
      <c r="CZ32" s="457">
        <f>IF(C32="Skema 2",Stamoplysninger!$H$30/200,0)</f>
        <v>0</v>
      </c>
      <c r="DA32" s="457">
        <f>IF(C32="Skema 3",Stamoplysninger!$H$30/200,0)</f>
        <v>0</v>
      </c>
      <c r="DB32" s="457">
        <f>IF(C32="Skema 4",Stamoplysninger!$H$30/200,0)</f>
        <v>0</v>
      </c>
      <c r="DC32" s="457">
        <f>IF(C32="fagdag",Stamoplysninger!$H$30/200,0)</f>
        <v>0</v>
      </c>
      <c r="DD32" s="457">
        <f>IF(C32="emnedag",Stamoplysninger!$H$30/200,0)</f>
        <v>0</v>
      </c>
      <c r="DE32" s="457">
        <f>IF(C32="lejrskole",Stamoplysninger!$H$30/200,0)</f>
        <v>0</v>
      </c>
      <c r="DF32" s="457">
        <f>IF(C32="ekskursion",Stamoplysninger!$H$30/200,0)</f>
        <v>0</v>
      </c>
      <c r="DG32" s="457">
        <f t="shared" si="22"/>
        <v>1</v>
      </c>
    </row>
    <row r="33" spans="1:111">
      <c r="A33" s="443">
        <f t="shared" si="13"/>
        <v>25</v>
      </c>
      <c r="B33" s="218" t="str">
        <f t="shared" si="0"/>
        <v>fr</v>
      </c>
      <c r="C33" s="219" t="s">
        <v>241</v>
      </c>
      <c r="D33" s="220" t="str">
        <f t="shared" si="1"/>
        <v/>
      </c>
      <c r="E33" s="906"/>
      <c r="F33" s="907"/>
      <c r="G33" s="908"/>
      <c r="H33" s="526"/>
      <c r="I33" s="855"/>
      <c r="J33" s="726"/>
      <c r="K33" s="669"/>
      <c r="L33" s="669"/>
      <c r="M33" s="669"/>
      <c r="N33" s="557">
        <f t="shared" si="14"/>
        <v>7</v>
      </c>
      <c r="O33" s="557">
        <f t="shared" si="15"/>
        <v>2.25</v>
      </c>
      <c r="P33" s="557">
        <f>IF(Stamoplysninger!$H$29="JA",November!DG33,CX33)</f>
        <v>0.33333333333333331</v>
      </c>
      <c r="Q33" s="557">
        <f t="shared" si="16"/>
        <v>4.416666666666667</v>
      </c>
      <c r="R33" s="558"/>
      <c r="S33" s="564"/>
      <c r="T33" s="565"/>
      <c r="U33" s="565"/>
      <c r="V33" s="753"/>
      <c r="W33" s="559"/>
      <c r="X33" s="760"/>
      <c r="Y33">
        <f t="shared" si="17"/>
        <v>0</v>
      </c>
      <c r="Z33" s="759">
        <f t="shared" si="18"/>
        <v>0</v>
      </c>
      <c r="AA33" s="1">
        <f t="shared" si="2"/>
        <v>0</v>
      </c>
      <c r="AB33" s="1">
        <f t="shared" si="3"/>
        <v>0</v>
      </c>
      <c r="AC33" s="1">
        <f t="shared" si="4"/>
        <v>0</v>
      </c>
      <c r="AD33" s="1">
        <f t="shared" si="5"/>
        <v>0</v>
      </c>
      <c r="AE33" s="1">
        <f t="shared" si="6"/>
        <v>0</v>
      </c>
      <c r="AF33" s="1">
        <f>IF(C33="Orlov",7.4*Stamoplysninger!$E$15,0)</f>
        <v>0</v>
      </c>
      <c r="AG33" s="383" t="str">
        <f>IF(AND(C33="Skema 1",B33="ma"),Arbejdstidsoversigt!$E$44,"")</f>
        <v/>
      </c>
      <c r="AH33" s="383" t="str">
        <f>IF(AND(C33="Skema 1",B33="ti"),Arbejdstidsoversigt!$E$45,"")</f>
        <v/>
      </c>
      <c r="AI33" s="383" t="str">
        <f>IF(AND(C33="Skema 1",B33="on"),Arbejdstidsoversigt!$E$46,"")</f>
        <v/>
      </c>
      <c r="AJ33" s="383" t="str">
        <f>IF(AND(C33="Skema 1",B33="to"),Arbejdstidsoversigt!$E$47,"")</f>
        <v/>
      </c>
      <c r="AK33" s="383">
        <f>IF(AND(C33="Skema 1",B33="fr"),Arbejdstidsoversigt!$E$48,"")</f>
        <v>7</v>
      </c>
      <c r="AL33" s="383" t="str">
        <f>IF(AND(C33="Skema 2",B33="ma"),Arbejdstidsoversigt!$E$53,"")</f>
        <v/>
      </c>
      <c r="AM33" s="383" t="str">
        <f>IF(AND(C33="Skema 2",B33="ti"),Arbejdstidsoversigt!$E$54,"")</f>
        <v/>
      </c>
      <c r="AN33" s="383" t="str">
        <f>IF(AND(C33="Skema 2",B33="on"),Arbejdstidsoversigt!$E$55,"")</f>
        <v/>
      </c>
      <c r="AO33" s="383" t="str">
        <f>IF(AND(C33="Skema 2",B33="to"),Arbejdstidsoversigt!$E$56,"")</f>
        <v/>
      </c>
      <c r="AP33" s="383" t="str">
        <f>IF(AND(C33="Skema 2",B33="fr"),Arbejdstidsoversigt!$E$57,"")</f>
        <v/>
      </c>
      <c r="AQ33" s="383" t="str">
        <f>IF(AND(C33="Skema 3",B33="ma"),Arbejdstidsoversigt!$E$62,"")</f>
        <v/>
      </c>
      <c r="AR33" s="383" t="str">
        <f>IF(AND(C33="Skema 3",B33="ti"),Arbejdstidsoversigt!$E$63,"")</f>
        <v/>
      </c>
      <c r="AS33" s="383" t="str">
        <f>IF(AND(C33="Skema 3",B33="on"),Arbejdstidsoversigt!$E$64,"")</f>
        <v/>
      </c>
      <c r="AT33" s="383" t="str">
        <f>IF(AND(C33="Skema 3",B33="to"),Arbejdstidsoversigt!$E$65,"")</f>
        <v/>
      </c>
      <c r="AU33" s="383" t="str">
        <f>IF(AND(C33="Skema 3",B33="fr"),Arbejdstidsoversigt!$E$66,"")</f>
        <v/>
      </c>
      <c r="AV33" s="383" t="str">
        <f>IF(AND(C33="Skema 4",B33="ma"),Arbejdstidsoversigt!$E$71,"")</f>
        <v/>
      </c>
      <c r="AW33" s="383" t="str">
        <f>IF(AND(C33="Skema 4",B33="ti"),Arbejdstidsoversigt!$E$72,"")</f>
        <v/>
      </c>
      <c r="AX33" s="383" t="str">
        <f>IF(AND(C33="Skema 4",B33="on"),Arbejdstidsoversigt!$E$73,"")</f>
        <v/>
      </c>
      <c r="AY33" s="383" t="str">
        <f>IF(AND(C33="Skema 4",B33="to"),Arbejdstidsoversigt!$E$74,"")</f>
        <v/>
      </c>
      <c r="AZ33" s="383" t="str">
        <f>IF(AND(C33="Skema 4",B33="fr"),Arbejdstidsoversigt!$E$75,"")</f>
        <v/>
      </c>
      <c r="BA33" s="1">
        <f t="shared" si="19"/>
        <v>7</v>
      </c>
      <c r="BB33" s="421">
        <f t="shared" si="7"/>
        <v>168</v>
      </c>
      <c r="BC33" s="1">
        <f t="shared" si="20"/>
        <v>0</v>
      </c>
      <c r="BD33" s="1">
        <f t="shared" si="8"/>
        <v>0</v>
      </c>
      <c r="BE33" s="1">
        <f t="shared" si="9"/>
        <v>0</v>
      </c>
      <c r="BF33" s="1">
        <f t="shared" si="10"/>
        <v>0</v>
      </c>
      <c r="BG33" s="382" t="str">
        <f>IF(AND(C33="Skema 1",B33="ma"),Skemaoplysninger!$E$28,"")</f>
        <v/>
      </c>
      <c r="BH33" s="382" t="str">
        <f>IF(AND(C33="Skema 1",B33="ti"),Skemaoplysninger!$F$28,"")</f>
        <v/>
      </c>
      <c r="BI33" s="382" t="str">
        <f>IF(AND(C33="Skema 1",B33="on"),Skemaoplysninger!$G$28,"")</f>
        <v/>
      </c>
      <c r="BJ33" s="382" t="str">
        <f>IF(AND(C33="Skema 1",B33="to"),Skemaoplysninger!$H$28,"")</f>
        <v/>
      </c>
      <c r="BK33" s="382">
        <f>IF(AND(C33="Skema 1",B33="fr"),Skemaoplysninger!$I$28,"")</f>
        <v>9.375E-2</v>
      </c>
      <c r="BL33" s="382" t="str">
        <f>IF(AND(C33="Skema 2",B33="ma"),Skemaoplysninger!$O$28,"")</f>
        <v/>
      </c>
      <c r="BM33" s="382" t="str">
        <f>IF(AND(C33="Skema 2",B33="ti"),Skemaoplysninger!$P$28,"")</f>
        <v/>
      </c>
      <c r="BN33" s="382" t="str">
        <f>IF(AND(C33="Skema 2",B33="on"),Skemaoplysninger!$Q$28,"")</f>
        <v/>
      </c>
      <c r="BO33" s="382" t="str">
        <f>IF(AND(C33="Skema 2",B33="to"),Skemaoplysninger!$R$28,"")</f>
        <v/>
      </c>
      <c r="BP33" s="382" t="str">
        <f>IF(AND(C33="Skema 2",B33="fr"),Skemaoplysninger!$S$28,"")</f>
        <v/>
      </c>
      <c r="BQ33" s="382" t="str">
        <f>IF(AND(C33="Skema 3",B33="ma"),Skemaoplysninger!$Y$28,"")</f>
        <v/>
      </c>
      <c r="BR33" s="382" t="str">
        <f>IF(AND(C33="Skema 3",B33="ti"),Skemaoplysninger!$Z$28,"")</f>
        <v/>
      </c>
      <c r="BS33" s="382" t="str">
        <f>IF(AND(C33="Skema 3",B33="on"),Skemaoplysninger!$AA$28,"")</f>
        <v/>
      </c>
      <c r="BT33" s="382" t="str">
        <f>IF(AND(C33="Skema 3",B33="to"),Skemaoplysninger!$AB$28,"")</f>
        <v/>
      </c>
      <c r="BU33" s="382" t="str">
        <f>IF(AND(C33="Skema 3",B33="fr"),Skemaoplysninger!$AC$28,"")</f>
        <v/>
      </c>
      <c r="BV33" s="382" t="str">
        <f>IF(AND(C33="Skema 4",B33="ma"),Skemaoplysninger!$AI$28,"")</f>
        <v/>
      </c>
      <c r="BW33" s="382" t="str">
        <f>IF(AND(C33="Skema 4",B33="ti"),Skemaoplysninger!$AJ$28,"")</f>
        <v/>
      </c>
      <c r="BX33" s="382" t="str">
        <f>IF(AND(C33="Skema 4",B33="on"),Skemaoplysninger!$AK$28,"")</f>
        <v/>
      </c>
      <c r="BY33" s="382" t="str">
        <f>IF(AND(C33="Skema 4",B33="to"),Skemaoplysninger!$AL$28,"")</f>
        <v/>
      </c>
      <c r="BZ33" s="382" t="str">
        <f>IF(AND(C33="Skema 4",B33="fr"),Skemaoplysninger!$AM$28,"")</f>
        <v/>
      </c>
      <c r="CA33" s="1">
        <f t="shared" si="21"/>
        <v>2.25</v>
      </c>
      <c r="CB33" s="1">
        <f t="shared" si="11"/>
        <v>0</v>
      </c>
      <c r="CC33" s="1">
        <f t="shared" si="12"/>
        <v>0</v>
      </c>
      <c r="CD33" s="382" t="str">
        <f>IF(AND(C33="Skema 1",B33="ma"),Skemaoplysninger!$E$37,"")</f>
        <v/>
      </c>
      <c r="CE33" s="382" t="str">
        <f>IF(AND(C33="Skema 1",B33="ti"),Skemaoplysninger!$F$37,"")</f>
        <v/>
      </c>
      <c r="CF33" s="382" t="str">
        <f>IF(AND(C33="Skema 1",B33="on"),Skemaoplysninger!$G$37,"")</f>
        <v/>
      </c>
      <c r="CG33" s="382" t="str">
        <f>IF(AND(C33="Skema 1",B33="to"),Skemaoplysninger!$H$37,"")</f>
        <v/>
      </c>
      <c r="CH33" s="382">
        <f>IF(AND(C33="Skema 1",B33="fr"),Skemaoplysninger!$I$37,"")</f>
        <v>0.33333333333333331</v>
      </c>
      <c r="CI33" s="382" t="str">
        <f>IF(AND(C33="Skema 2",B33="ma"),Skemaoplysninger!$O$37,"")</f>
        <v/>
      </c>
      <c r="CJ33" s="382" t="str">
        <f>IF(AND(C33="Skema 2",B33="ti"),Skemaoplysninger!$P$37,"")</f>
        <v/>
      </c>
      <c r="CK33" s="382" t="str">
        <f>IF(AND(C33="Skema 2",B33="on"),Skemaoplysninger!$Q$37,"")</f>
        <v/>
      </c>
      <c r="CL33" s="382" t="str">
        <f>IF(AND(C33="Skema 2",B33="to"),Skemaoplysninger!$R$37,"")</f>
        <v/>
      </c>
      <c r="CM33" s="382" t="str">
        <f>IF(AND(C33="Skema 2",B33="fr"),Skemaoplysninger!$S$37,"")</f>
        <v/>
      </c>
      <c r="CN33" s="382" t="str">
        <f>IF(AND(C33="Skema 3",B33="ma"),Skemaoplysninger!$Y$37,"")</f>
        <v/>
      </c>
      <c r="CO33" s="382" t="str">
        <f>IF(AND(C33="Skema 3",B33="ti"),Skemaoplysninger!$Z$37,"")</f>
        <v/>
      </c>
      <c r="CP33" s="382" t="str">
        <f>IF(AND(C33="Skema 3",B33="on"),Skemaoplysninger!$AA$37,"")</f>
        <v/>
      </c>
      <c r="CQ33" s="382" t="str">
        <f>IF(AND(C33="Skema 3",B33="to"),Skemaoplysninger!$AB$37,"")</f>
        <v/>
      </c>
      <c r="CR33" s="382" t="str">
        <f>IF(AND(C33="Skema 3",B33="fr"),Skemaoplysninger!$AC$37,"")</f>
        <v/>
      </c>
      <c r="CS33" s="382" t="str">
        <f>IF(AND(C33="Skema 4",B33="ma"),Skemaoplysninger!$AI$37,"")</f>
        <v/>
      </c>
      <c r="CT33" s="382" t="str">
        <f>IF(AND(C33="Skema 4",B33="ti"),Skemaoplysninger!$AJ$37,"")</f>
        <v/>
      </c>
      <c r="CU33" s="382" t="str">
        <f>IF(AND(C33="Skema 4",B33="on"),Skemaoplysninger!$AK$37,"")</f>
        <v/>
      </c>
      <c r="CV33" s="382" t="str">
        <f>IF(AND(C33="Skema 4",B33="to"),Skemaoplysninger!$AL$37,"")</f>
        <v/>
      </c>
      <c r="CW33" s="382" t="str">
        <f>IF(AND(C33="Skema 4",B33="fr"),Skemaoplysninger!$AM$37,"")</f>
        <v/>
      </c>
      <c r="CX33" s="457">
        <f>IF(Stamoplysninger!$H$29="NEJ",SUM(CB33:CW33),0)</f>
        <v>0.33333333333333331</v>
      </c>
      <c r="CY33" s="457">
        <f>IF(C33="Skema 1",Stamoplysninger!$H$30/200,0)</f>
        <v>1</v>
      </c>
      <c r="CZ33" s="457">
        <f>IF(C33="Skema 2",Stamoplysninger!$H$30/200,0)</f>
        <v>0</v>
      </c>
      <c r="DA33" s="457">
        <f>IF(C33="Skema 3",Stamoplysninger!$H$30/200,0)</f>
        <v>0</v>
      </c>
      <c r="DB33" s="457">
        <f>IF(C33="Skema 4",Stamoplysninger!$H$30/200,0)</f>
        <v>0</v>
      </c>
      <c r="DC33" s="457">
        <f>IF(C33="fagdag",Stamoplysninger!$H$30/200,0)</f>
        <v>0</v>
      </c>
      <c r="DD33" s="457">
        <f>IF(C33="emnedag",Stamoplysninger!$H$30/200,0)</f>
        <v>0</v>
      </c>
      <c r="DE33" s="457">
        <f>IF(C33="lejrskole",Stamoplysninger!$H$30/200,0)</f>
        <v>0</v>
      </c>
      <c r="DF33" s="457">
        <f>IF(C33="ekskursion",Stamoplysninger!$H$30/200,0)</f>
        <v>0</v>
      </c>
      <c r="DG33" s="457">
        <f t="shared" si="22"/>
        <v>1</v>
      </c>
    </row>
    <row r="34" spans="1:111">
      <c r="A34" s="443">
        <f t="shared" si="13"/>
        <v>26</v>
      </c>
      <c r="B34" s="218" t="str">
        <f t="shared" si="0"/>
        <v>lø</v>
      </c>
      <c r="C34" s="219" t="s">
        <v>138</v>
      </c>
      <c r="D34" s="220" t="str">
        <f t="shared" si="1"/>
        <v/>
      </c>
      <c r="E34" s="906"/>
      <c r="F34" s="907"/>
      <c r="G34" s="908"/>
      <c r="H34" s="526"/>
      <c r="I34" s="726"/>
      <c r="J34" s="726"/>
      <c r="K34" s="669"/>
      <c r="L34" s="669"/>
      <c r="M34" s="669"/>
      <c r="N34" s="557">
        <f t="shared" si="14"/>
        <v>0</v>
      </c>
      <c r="O34" s="557">
        <f t="shared" si="15"/>
        <v>0</v>
      </c>
      <c r="P34" s="557">
        <f>IF(Stamoplysninger!$H$29="JA",November!DG34,CX34)</f>
        <v>0</v>
      </c>
      <c r="Q34" s="557">
        <f t="shared" si="16"/>
        <v>0</v>
      </c>
      <c r="R34" s="558"/>
      <c r="S34" s="564"/>
      <c r="T34" s="565"/>
      <c r="U34" s="565"/>
      <c r="V34" s="753"/>
      <c r="W34" s="559"/>
      <c r="X34" s="760"/>
      <c r="Y34">
        <f t="shared" si="17"/>
        <v>0</v>
      </c>
      <c r="Z34" s="759">
        <f t="shared" si="18"/>
        <v>0</v>
      </c>
      <c r="AA34" s="1">
        <f t="shared" si="2"/>
        <v>0</v>
      </c>
      <c r="AB34" s="1">
        <f t="shared" si="3"/>
        <v>0</v>
      </c>
      <c r="AC34" s="1">
        <f t="shared" si="4"/>
        <v>0</v>
      </c>
      <c r="AD34" s="1">
        <f t="shared" si="5"/>
        <v>0</v>
      </c>
      <c r="AE34" s="1">
        <f t="shared" si="6"/>
        <v>0</v>
      </c>
      <c r="AF34" s="1">
        <f>IF(C34="Orlov",7.4*Stamoplysninger!$E$15,0)</f>
        <v>0</v>
      </c>
      <c r="AG34" s="383" t="str">
        <f>IF(AND(C34="Skema 1",B34="ma"),Arbejdstidsoversigt!$E$44,"")</f>
        <v/>
      </c>
      <c r="AH34" s="383" t="str">
        <f>IF(AND(C34="Skema 1",B34="ti"),Arbejdstidsoversigt!$E$45,"")</f>
        <v/>
      </c>
      <c r="AI34" s="383" t="str">
        <f>IF(AND(C34="Skema 1",B34="on"),Arbejdstidsoversigt!$E$46,"")</f>
        <v/>
      </c>
      <c r="AJ34" s="383" t="str">
        <f>IF(AND(C34="Skema 1",B34="to"),Arbejdstidsoversigt!$E$47,"")</f>
        <v/>
      </c>
      <c r="AK34" s="383" t="str">
        <f>IF(AND(C34="Skema 1",B34="fr"),Arbejdstidsoversigt!$E$48,"")</f>
        <v/>
      </c>
      <c r="AL34" s="383" t="str">
        <f>IF(AND(C34="Skema 2",B34="ma"),Arbejdstidsoversigt!$E$53,"")</f>
        <v/>
      </c>
      <c r="AM34" s="383" t="str">
        <f>IF(AND(C34="Skema 2",B34="ti"),Arbejdstidsoversigt!$E$54,"")</f>
        <v/>
      </c>
      <c r="AN34" s="383" t="str">
        <f>IF(AND(C34="Skema 2",B34="on"),Arbejdstidsoversigt!$E$55,"")</f>
        <v/>
      </c>
      <c r="AO34" s="383" t="str">
        <f>IF(AND(C34="Skema 2",B34="to"),Arbejdstidsoversigt!$E$56,"")</f>
        <v/>
      </c>
      <c r="AP34" s="383" t="str">
        <f>IF(AND(C34="Skema 2",B34="fr"),Arbejdstidsoversigt!$E$57,"")</f>
        <v/>
      </c>
      <c r="AQ34" s="383" t="str">
        <f>IF(AND(C34="Skema 3",B34="ma"),Arbejdstidsoversigt!$E$62,"")</f>
        <v/>
      </c>
      <c r="AR34" s="383" t="str">
        <f>IF(AND(C34="Skema 3",B34="ti"),Arbejdstidsoversigt!$E$63,"")</f>
        <v/>
      </c>
      <c r="AS34" s="383" t="str">
        <f>IF(AND(C34="Skema 3",B34="on"),Arbejdstidsoversigt!$E$64,"")</f>
        <v/>
      </c>
      <c r="AT34" s="383" t="str">
        <f>IF(AND(C34="Skema 3",B34="to"),Arbejdstidsoversigt!$E$65,"")</f>
        <v/>
      </c>
      <c r="AU34" s="383" t="str">
        <f>IF(AND(C34="Skema 3",B34="fr"),Arbejdstidsoversigt!$E$66,"")</f>
        <v/>
      </c>
      <c r="AV34" s="383" t="str">
        <f>IF(AND(C34="Skema 4",B34="ma"),Arbejdstidsoversigt!$E$71,"")</f>
        <v/>
      </c>
      <c r="AW34" s="383" t="str">
        <f>IF(AND(C34="Skema 4",B34="ti"),Arbejdstidsoversigt!$E$72,"")</f>
        <v/>
      </c>
      <c r="AX34" s="383" t="str">
        <f>IF(AND(C34="Skema 4",B34="on"),Arbejdstidsoversigt!$E$73,"")</f>
        <v/>
      </c>
      <c r="AY34" s="383" t="str">
        <f>IF(AND(C34="Skema 4",B34="to"),Arbejdstidsoversigt!$E$74,"")</f>
        <v/>
      </c>
      <c r="AZ34" s="383" t="str">
        <f>IF(AND(C34="Skema 4",B34="fr"),Arbejdstidsoversigt!$E$75,"")</f>
        <v/>
      </c>
      <c r="BA34" s="1">
        <f t="shared" si="19"/>
        <v>0</v>
      </c>
      <c r="BB34" s="421">
        <f t="shared" si="7"/>
        <v>0</v>
      </c>
      <c r="BC34" s="1">
        <f t="shared" si="20"/>
        <v>0</v>
      </c>
      <c r="BD34" s="1">
        <f t="shared" si="8"/>
        <v>0</v>
      </c>
      <c r="BE34" s="1">
        <f t="shared" si="9"/>
        <v>0</v>
      </c>
      <c r="BF34" s="1">
        <f t="shared" si="10"/>
        <v>0</v>
      </c>
      <c r="BG34" s="382" t="str">
        <f>IF(AND(C34="Skema 1",B34="ma"),Skemaoplysninger!$E$28,"")</f>
        <v/>
      </c>
      <c r="BH34" s="382" t="str">
        <f>IF(AND(C34="Skema 1",B34="ti"),Skemaoplysninger!$F$28,"")</f>
        <v/>
      </c>
      <c r="BI34" s="382" t="str">
        <f>IF(AND(C34="Skema 1",B34="on"),Skemaoplysninger!$G$28,"")</f>
        <v/>
      </c>
      <c r="BJ34" s="382" t="str">
        <f>IF(AND(C34="Skema 1",B34="to"),Skemaoplysninger!$H$28,"")</f>
        <v/>
      </c>
      <c r="BK34" s="382" t="str">
        <f>IF(AND(C34="Skema 1",B34="fr"),Skemaoplysninger!$I$28,"")</f>
        <v/>
      </c>
      <c r="BL34" s="382" t="str">
        <f>IF(AND(C34="Skema 2",B34="ma"),Skemaoplysninger!$O$28,"")</f>
        <v/>
      </c>
      <c r="BM34" s="382" t="str">
        <f>IF(AND(C34="Skema 2",B34="ti"),Skemaoplysninger!$P$28,"")</f>
        <v/>
      </c>
      <c r="BN34" s="382" t="str">
        <f>IF(AND(C34="Skema 2",B34="on"),Skemaoplysninger!$Q$28,"")</f>
        <v/>
      </c>
      <c r="BO34" s="382" t="str">
        <f>IF(AND(C34="Skema 2",B34="to"),Skemaoplysninger!$R$28,"")</f>
        <v/>
      </c>
      <c r="BP34" s="382" t="str">
        <f>IF(AND(C34="Skema 2",B34="fr"),Skemaoplysninger!$S$28,"")</f>
        <v/>
      </c>
      <c r="BQ34" s="382" t="str">
        <f>IF(AND(C34="Skema 3",B34="ma"),Skemaoplysninger!$Y$28,"")</f>
        <v/>
      </c>
      <c r="BR34" s="382" t="str">
        <f>IF(AND(C34="Skema 3",B34="ti"),Skemaoplysninger!$Z$28,"")</f>
        <v/>
      </c>
      <c r="BS34" s="382" t="str">
        <f>IF(AND(C34="Skema 3",B34="on"),Skemaoplysninger!$AA$28,"")</f>
        <v/>
      </c>
      <c r="BT34" s="382" t="str">
        <f>IF(AND(C34="Skema 3",B34="to"),Skemaoplysninger!$AB$28,"")</f>
        <v/>
      </c>
      <c r="BU34" s="382" t="str">
        <f>IF(AND(C34="Skema 3",B34="fr"),Skemaoplysninger!$AC$28,"")</f>
        <v/>
      </c>
      <c r="BV34" s="382" t="str">
        <f>IF(AND(C34="Skema 4",B34="ma"),Skemaoplysninger!$AI$28,"")</f>
        <v/>
      </c>
      <c r="BW34" s="382" t="str">
        <f>IF(AND(C34="Skema 4",B34="ti"),Skemaoplysninger!$AJ$28,"")</f>
        <v/>
      </c>
      <c r="BX34" s="382" t="str">
        <f>IF(AND(C34="Skema 4",B34="on"),Skemaoplysninger!$AK$28,"")</f>
        <v/>
      </c>
      <c r="BY34" s="382" t="str">
        <f>IF(AND(C34="Skema 4",B34="to"),Skemaoplysninger!$AL$28,"")</f>
        <v/>
      </c>
      <c r="BZ34" s="382" t="str">
        <f>IF(AND(C34="Skema 4",B34="fr"),Skemaoplysninger!$AM$28,"")</f>
        <v/>
      </c>
      <c r="CA34" s="1">
        <f t="shared" si="21"/>
        <v>0</v>
      </c>
      <c r="CB34" s="1">
        <f t="shared" si="11"/>
        <v>0</v>
      </c>
      <c r="CC34" s="1">
        <f t="shared" si="12"/>
        <v>0</v>
      </c>
      <c r="CD34" s="382" t="str">
        <f>IF(AND(C34="Skema 1",B34="ma"),Skemaoplysninger!$E$37,"")</f>
        <v/>
      </c>
      <c r="CE34" s="382" t="str">
        <f>IF(AND(C34="Skema 1",B34="ti"),Skemaoplysninger!$F$37,"")</f>
        <v/>
      </c>
      <c r="CF34" s="382" t="str">
        <f>IF(AND(C34="Skema 1",B34="on"),Skemaoplysninger!$G$37,"")</f>
        <v/>
      </c>
      <c r="CG34" s="382" t="str">
        <f>IF(AND(C34="Skema 1",B34="to"),Skemaoplysninger!$H$37,"")</f>
        <v/>
      </c>
      <c r="CH34" s="382" t="str">
        <f>IF(AND(C34="Skema 1",B34="fr"),Skemaoplysninger!$I$37,"")</f>
        <v/>
      </c>
      <c r="CI34" s="382" t="str">
        <f>IF(AND(C34="Skema 2",B34="ma"),Skemaoplysninger!$O$37,"")</f>
        <v/>
      </c>
      <c r="CJ34" s="382" t="str">
        <f>IF(AND(C34="Skema 2",B34="ti"),Skemaoplysninger!$P$37,"")</f>
        <v/>
      </c>
      <c r="CK34" s="382" t="str">
        <f>IF(AND(C34="Skema 2",B34="on"),Skemaoplysninger!$Q$37,"")</f>
        <v/>
      </c>
      <c r="CL34" s="382" t="str">
        <f>IF(AND(C34="Skema 2",B34="to"),Skemaoplysninger!$R$37,"")</f>
        <v/>
      </c>
      <c r="CM34" s="382" t="str">
        <f>IF(AND(C34="Skema 2",B34="fr"),Skemaoplysninger!$S$37,"")</f>
        <v/>
      </c>
      <c r="CN34" s="382" t="str">
        <f>IF(AND(C34="Skema 3",B34="ma"),Skemaoplysninger!$Y$37,"")</f>
        <v/>
      </c>
      <c r="CO34" s="382" t="str">
        <f>IF(AND(C34="Skema 3",B34="ti"),Skemaoplysninger!$Z$37,"")</f>
        <v/>
      </c>
      <c r="CP34" s="382" t="str">
        <f>IF(AND(C34="Skema 3",B34="on"),Skemaoplysninger!$AA$37,"")</f>
        <v/>
      </c>
      <c r="CQ34" s="382" t="str">
        <f>IF(AND(C34="Skema 3",B34="to"),Skemaoplysninger!$AB$37,"")</f>
        <v/>
      </c>
      <c r="CR34" s="382" t="str">
        <f>IF(AND(C34="Skema 3",B34="fr"),Skemaoplysninger!$AC$37,"")</f>
        <v/>
      </c>
      <c r="CS34" s="382" t="str">
        <f>IF(AND(C34="Skema 4",B34="ma"),Skemaoplysninger!$AI$37,"")</f>
        <v/>
      </c>
      <c r="CT34" s="382" t="str">
        <f>IF(AND(C34="Skema 4",B34="ti"),Skemaoplysninger!$AJ$37,"")</f>
        <v/>
      </c>
      <c r="CU34" s="382" t="str">
        <f>IF(AND(C34="Skema 4",B34="on"),Skemaoplysninger!$AK$37,"")</f>
        <v/>
      </c>
      <c r="CV34" s="382" t="str">
        <f>IF(AND(C34="Skema 4",B34="to"),Skemaoplysninger!$AL$37,"")</f>
        <v/>
      </c>
      <c r="CW34" s="382" t="str">
        <f>IF(AND(C34="Skema 4",B34="fr"),Skemaoplysninger!$AM$37,"")</f>
        <v/>
      </c>
      <c r="CX34" s="457">
        <f>IF(Stamoplysninger!$H$29="NEJ",SUM(CB34:CW34),0)</f>
        <v>0</v>
      </c>
      <c r="CY34" s="457">
        <f>IF(C34="Skema 1",Stamoplysninger!$H$30/200,0)</f>
        <v>0</v>
      </c>
      <c r="CZ34" s="457">
        <f>IF(C34="Skema 2",Stamoplysninger!$H$30/200,0)</f>
        <v>0</v>
      </c>
      <c r="DA34" s="457">
        <f>IF(C34="Skema 3",Stamoplysninger!$H$30/200,0)</f>
        <v>0</v>
      </c>
      <c r="DB34" s="457">
        <f>IF(C34="Skema 4",Stamoplysninger!$H$30/200,0)</f>
        <v>0</v>
      </c>
      <c r="DC34" s="457">
        <f>IF(C34="fagdag",Stamoplysninger!$H$30/200,0)</f>
        <v>0</v>
      </c>
      <c r="DD34" s="457">
        <f>IF(C34="emnedag",Stamoplysninger!$H$30/200,0)</f>
        <v>0</v>
      </c>
      <c r="DE34" s="457">
        <f>IF(C34="lejrskole",Stamoplysninger!$H$30/200,0)</f>
        <v>0</v>
      </c>
      <c r="DF34" s="457">
        <f>IF(C34="ekskursion",Stamoplysninger!$H$30/200,0)</f>
        <v>0</v>
      </c>
      <c r="DG34" s="457">
        <f t="shared" si="22"/>
        <v>0</v>
      </c>
    </row>
    <row r="35" spans="1:111">
      <c r="A35" s="443">
        <f t="shared" si="13"/>
        <v>27</v>
      </c>
      <c r="B35" s="218" t="str">
        <f t="shared" si="0"/>
        <v>sø</v>
      </c>
      <c r="C35" s="219" t="s">
        <v>138</v>
      </c>
      <c r="D35" s="220" t="str">
        <f t="shared" si="1"/>
        <v/>
      </c>
      <c r="E35" s="906"/>
      <c r="F35" s="907"/>
      <c r="G35" s="908"/>
      <c r="H35" s="526"/>
      <c r="I35" s="726"/>
      <c r="J35" s="726"/>
      <c r="K35" s="669"/>
      <c r="L35" s="669"/>
      <c r="M35" s="669"/>
      <c r="N35" s="557">
        <f t="shared" si="14"/>
        <v>0</v>
      </c>
      <c r="O35" s="557">
        <f t="shared" si="15"/>
        <v>0</v>
      </c>
      <c r="P35" s="557">
        <f>IF(Stamoplysninger!$H$29="JA",November!DG35,CX35)</f>
        <v>0</v>
      </c>
      <c r="Q35" s="557">
        <f t="shared" si="16"/>
        <v>0</v>
      </c>
      <c r="R35" s="558"/>
      <c r="S35" s="564"/>
      <c r="T35" s="565"/>
      <c r="U35" s="565"/>
      <c r="V35" s="753"/>
      <c r="W35" s="559"/>
      <c r="X35" s="760"/>
      <c r="Y35">
        <f t="shared" si="17"/>
        <v>0</v>
      </c>
      <c r="Z35" s="759">
        <f t="shared" si="18"/>
        <v>0</v>
      </c>
      <c r="AA35" s="1">
        <f t="shared" si="2"/>
        <v>0</v>
      </c>
      <c r="AB35" s="1">
        <f t="shared" si="3"/>
        <v>0</v>
      </c>
      <c r="AC35" s="1">
        <f t="shared" si="4"/>
        <v>0</v>
      </c>
      <c r="AD35" s="1">
        <f t="shared" si="5"/>
        <v>0</v>
      </c>
      <c r="AE35" s="1">
        <f t="shared" si="6"/>
        <v>0</v>
      </c>
      <c r="AF35" s="1">
        <f>IF(C35="Orlov",7.4*Stamoplysninger!$E$15,0)</f>
        <v>0</v>
      </c>
      <c r="AG35" s="383" t="str">
        <f>IF(AND(C35="Skema 1",B35="ma"),Arbejdstidsoversigt!$E$44,"")</f>
        <v/>
      </c>
      <c r="AH35" s="383" t="str">
        <f>IF(AND(C35="Skema 1",B35="ti"),Arbejdstidsoversigt!$E$45,"")</f>
        <v/>
      </c>
      <c r="AI35" s="383" t="str">
        <f>IF(AND(C35="Skema 1",B35="on"),Arbejdstidsoversigt!$E$46,"")</f>
        <v/>
      </c>
      <c r="AJ35" s="383" t="str">
        <f>IF(AND(C35="Skema 1",B35="to"),Arbejdstidsoversigt!$E$47,"")</f>
        <v/>
      </c>
      <c r="AK35" s="383" t="str">
        <f>IF(AND(C35="Skema 1",B35="fr"),Arbejdstidsoversigt!$E$48,"")</f>
        <v/>
      </c>
      <c r="AL35" s="383" t="str">
        <f>IF(AND(C35="Skema 2",B35="ma"),Arbejdstidsoversigt!$E$53,"")</f>
        <v/>
      </c>
      <c r="AM35" s="383" t="str">
        <f>IF(AND(C35="Skema 2",B35="ti"),Arbejdstidsoversigt!$E$54,"")</f>
        <v/>
      </c>
      <c r="AN35" s="383" t="str">
        <f>IF(AND(C35="Skema 2",B35="on"),Arbejdstidsoversigt!$E$55,"")</f>
        <v/>
      </c>
      <c r="AO35" s="383" t="str">
        <f>IF(AND(C35="Skema 2",B35="to"),Arbejdstidsoversigt!$E$56,"")</f>
        <v/>
      </c>
      <c r="AP35" s="383" t="str">
        <f>IF(AND(C35="Skema 2",B35="fr"),Arbejdstidsoversigt!$E$57,"")</f>
        <v/>
      </c>
      <c r="AQ35" s="383" t="str">
        <f>IF(AND(C35="Skema 3",B35="ma"),Arbejdstidsoversigt!$E$62,"")</f>
        <v/>
      </c>
      <c r="AR35" s="383" t="str">
        <f>IF(AND(C35="Skema 3",B35="ti"),Arbejdstidsoversigt!$E$63,"")</f>
        <v/>
      </c>
      <c r="AS35" s="383" t="str">
        <f>IF(AND(C35="Skema 3",B35="on"),Arbejdstidsoversigt!$E$64,"")</f>
        <v/>
      </c>
      <c r="AT35" s="383" t="str">
        <f>IF(AND(C35="Skema 3",B35="to"),Arbejdstidsoversigt!$E$65,"")</f>
        <v/>
      </c>
      <c r="AU35" s="383" t="str">
        <f>IF(AND(C35="Skema 3",B35="fr"),Arbejdstidsoversigt!$E$66,"")</f>
        <v/>
      </c>
      <c r="AV35" s="383" t="str">
        <f>IF(AND(C35="Skema 4",B35="ma"),Arbejdstidsoversigt!$E$71,"")</f>
        <v/>
      </c>
      <c r="AW35" s="383" t="str">
        <f>IF(AND(C35="Skema 4",B35="ti"),Arbejdstidsoversigt!$E$72,"")</f>
        <v/>
      </c>
      <c r="AX35" s="383" t="str">
        <f>IF(AND(C35="Skema 4",B35="on"),Arbejdstidsoversigt!$E$73,"")</f>
        <v/>
      </c>
      <c r="AY35" s="383" t="str">
        <f>IF(AND(C35="Skema 4",B35="to"),Arbejdstidsoversigt!$E$74,"")</f>
        <v/>
      </c>
      <c r="AZ35" s="383" t="str">
        <f>IF(AND(C35="Skema 4",B35="fr"),Arbejdstidsoversigt!$E$75,"")</f>
        <v/>
      </c>
      <c r="BA35" s="1">
        <f t="shared" si="19"/>
        <v>0</v>
      </c>
      <c r="BB35" s="421">
        <f t="shared" si="7"/>
        <v>0</v>
      </c>
      <c r="BC35" s="1">
        <f t="shared" si="20"/>
        <v>0</v>
      </c>
      <c r="BD35" s="1">
        <f t="shared" si="8"/>
        <v>0</v>
      </c>
      <c r="BE35" s="1">
        <f t="shared" si="9"/>
        <v>0</v>
      </c>
      <c r="BF35" s="1">
        <f t="shared" si="10"/>
        <v>0</v>
      </c>
      <c r="BG35" s="382" t="str">
        <f>IF(AND(C35="Skema 1",B35="ma"),Skemaoplysninger!$E$28,"")</f>
        <v/>
      </c>
      <c r="BH35" s="382" t="str">
        <f>IF(AND(C35="Skema 1",B35="ti"),Skemaoplysninger!$F$28,"")</f>
        <v/>
      </c>
      <c r="BI35" s="382" t="str">
        <f>IF(AND(C35="Skema 1",B35="on"),Skemaoplysninger!$G$28,"")</f>
        <v/>
      </c>
      <c r="BJ35" s="382" t="str">
        <f>IF(AND(C35="Skema 1",B35="to"),Skemaoplysninger!$H$28,"")</f>
        <v/>
      </c>
      <c r="BK35" s="382" t="str">
        <f>IF(AND(C35="Skema 1",B35="fr"),Skemaoplysninger!$I$28,"")</f>
        <v/>
      </c>
      <c r="BL35" s="382" t="str">
        <f>IF(AND(C35="Skema 2",B35="ma"),Skemaoplysninger!$O$28,"")</f>
        <v/>
      </c>
      <c r="BM35" s="382" t="str">
        <f>IF(AND(C35="Skema 2",B35="ti"),Skemaoplysninger!$P$28,"")</f>
        <v/>
      </c>
      <c r="BN35" s="382" t="str">
        <f>IF(AND(C35="Skema 2",B35="on"),Skemaoplysninger!$Q$28,"")</f>
        <v/>
      </c>
      <c r="BO35" s="382" t="str">
        <f>IF(AND(C35="Skema 2",B35="to"),Skemaoplysninger!$R$28,"")</f>
        <v/>
      </c>
      <c r="BP35" s="382" t="str">
        <f>IF(AND(C35="Skema 2",B35="fr"),Skemaoplysninger!$S$28,"")</f>
        <v/>
      </c>
      <c r="BQ35" s="382" t="str">
        <f>IF(AND(C35="Skema 3",B35="ma"),Skemaoplysninger!$Y$28,"")</f>
        <v/>
      </c>
      <c r="BR35" s="382" t="str">
        <f>IF(AND(C35="Skema 3",B35="ti"),Skemaoplysninger!$Z$28,"")</f>
        <v/>
      </c>
      <c r="BS35" s="382" t="str">
        <f>IF(AND(C35="Skema 3",B35="on"),Skemaoplysninger!$AA$28,"")</f>
        <v/>
      </c>
      <c r="BT35" s="382" t="str">
        <f>IF(AND(C35="Skema 3",B35="to"),Skemaoplysninger!$AB$28,"")</f>
        <v/>
      </c>
      <c r="BU35" s="382" t="str">
        <f>IF(AND(C35="Skema 3",B35="fr"),Skemaoplysninger!$AC$28,"")</f>
        <v/>
      </c>
      <c r="BV35" s="382" t="str">
        <f>IF(AND(C35="Skema 4",B35="ma"),Skemaoplysninger!$AI$28,"")</f>
        <v/>
      </c>
      <c r="BW35" s="382" t="str">
        <f>IF(AND(C35="Skema 4",B35="ti"),Skemaoplysninger!$AJ$28,"")</f>
        <v/>
      </c>
      <c r="BX35" s="382" t="str">
        <f>IF(AND(C35="Skema 4",B35="on"),Skemaoplysninger!$AK$28,"")</f>
        <v/>
      </c>
      <c r="BY35" s="382" t="str">
        <f>IF(AND(C35="Skema 4",B35="to"),Skemaoplysninger!$AL$28,"")</f>
        <v/>
      </c>
      <c r="BZ35" s="382" t="str">
        <f>IF(AND(C35="Skema 4",B35="fr"),Skemaoplysninger!$AM$28,"")</f>
        <v/>
      </c>
      <c r="CA35" s="1">
        <f t="shared" si="21"/>
        <v>0</v>
      </c>
      <c r="CB35" s="1">
        <f t="shared" si="11"/>
        <v>0</v>
      </c>
      <c r="CC35" s="1">
        <f t="shared" si="12"/>
        <v>0</v>
      </c>
      <c r="CD35" s="382" t="str">
        <f>IF(AND(C35="Skema 1",B35="ma"),Skemaoplysninger!$E$37,"")</f>
        <v/>
      </c>
      <c r="CE35" s="382" t="str">
        <f>IF(AND(C35="Skema 1",B35="ti"),Skemaoplysninger!$F$37,"")</f>
        <v/>
      </c>
      <c r="CF35" s="382" t="str">
        <f>IF(AND(C35="Skema 1",B35="on"),Skemaoplysninger!$G$37,"")</f>
        <v/>
      </c>
      <c r="CG35" s="382" t="str">
        <f>IF(AND(C35="Skema 1",B35="to"),Skemaoplysninger!$H$37,"")</f>
        <v/>
      </c>
      <c r="CH35" s="382" t="str">
        <f>IF(AND(C35="Skema 1",B35="fr"),Skemaoplysninger!$I$37,"")</f>
        <v/>
      </c>
      <c r="CI35" s="382" t="str">
        <f>IF(AND(C35="Skema 2",B35="ma"),Skemaoplysninger!$O$37,"")</f>
        <v/>
      </c>
      <c r="CJ35" s="382" t="str">
        <f>IF(AND(C35="Skema 2",B35="ti"),Skemaoplysninger!$P$37,"")</f>
        <v/>
      </c>
      <c r="CK35" s="382" t="str">
        <f>IF(AND(C35="Skema 2",B35="on"),Skemaoplysninger!$Q$37,"")</f>
        <v/>
      </c>
      <c r="CL35" s="382" t="str">
        <f>IF(AND(C35="Skema 2",B35="to"),Skemaoplysninger!$R$37,"")</f>
        <v/>
      </c>
      <c r="CM35" s="382" t="str">
        <f>IF(AND(C35="Skema 2",B35="fr"),Skemaoplysninger!$S$37,"")</f>
        <v/>
      </c>
      <c r="CN35" s="382" t="str">
        <f>IF(AND(C35="Skema 3",B35="ma"),Skemaoplysninger!$Y$37,"")</f>
        <v/>
      </c>
      <c r="CO35" s="382" t="str">
        <f>IF(AND(C35="Skema 3",B35="ti"),Skemaoplysninger!$Z$37,"")</f>
        <v/>
      </c>
      <c r="CP35" s="382" t="str">
        <f>IF(AND(C35="Skema 3",B35="on"),Skemaoplysninger!$AA$37,"")</f>
        <v/>
      </c>
      <c r="CQ35" s="382" t="str">
        <f>IF(AND(C35="Skema 3",B35="to"),Skemaoplysninger!$AB$37,"")</f>
        <v/>
      </c>
      <c r="CR35" s="382" t="str">
        <f>IF(AND(C35="Skema 3",B35="fr"),Skemaoplysninger!$AC$37,"")</f>
        <v/>
      </c>
      <c r="CS35" s="382" t="str">
        <f>IF(AND(C35="Skema 4",B35="ma"),Skemaoplysninger!$AI$37,"")</f>
        <v/>
      </c>
      <c r="CT35" s="382" t="str">
        <f>IF(AND(C35="Skema 4",B35="ti"),Skemaoplysninger!$AJ$37,"")</f>
        <v/>
      </c>
      <c r="CU35" s="382" t="str">
        <f>IF(AND(C35="Skema 4",B35="on"),Skemaoplysninger!$AK$37,"")</f>
        <v/>
      </c>
      <c r="CV35" s="382" t="str">
        <f>IF(AND(C35="Skema 4",B35="to"),Skemaoplysninger!$AL$37,"")</f>
        <v/>
      </c>
      <c r="CW35" s="382" t="str">
        <f>IF(AND(C35="Skema 4",B35="fr"),Skemaoplysninger!$AM$37,"")</f>
        <v/>
      </c>
      <c r="CX35" s="457">
        <f>IF(Stamoplysninger!$H$29="NEJ",SUM(CB35:CW35),0)</f>
        <v>0</v>
      </c>
      <c r="CY35" s="457">
        <f>IF(C35="Skema 1",Stamoplysninger!$H$30/200,0)</f>
        <v>0</v>
      </c>
      <c r="CZ35" s="457">
        <f>IF(C35="Skema 2",Stamoplysninger!$H$30/200,0)</f>
        <v>0</v>
      </c>
      <c r="DA35" s="457">
        <f>IF(C35="Skema 3",Stamoplysninger!$H$30/200,0)</f>
        <v>0</v>
      </c>
      <c r="DB35" s="457">
        <f>IF(C35="Skema 4",Stamoplysninger!$H$30/200,0)</f>
        <v>0</v>
      </c>
      <c r="DC35" s="457">
        <f>IF(C35="fagdag",Stamoplysninger!$H$30/200,0)</f>
        <v>0</v>
      </c>
      <c r="DD35" s="457">
        <f>IF(C35="emnedag",Stamoplysninger!$H$30/200,0)</f>
        <v>0</v>
      </c>
      <c r="DE35" s="457">
        <f>IF(C35="lejrskole",Stamoplysninger!$H$30/200,0)</f>
        <v>0</v>
      </c>
      <c r="DF35" s="457">
        <f>IF(C35="ekskursion",Stamoplysninger!$H$30/200,0)</f>
        <v>0</v>
      </c>
      <c r="DG35" s="457">
        <f t="shared" si="22"/>
        <v>0</v>
      </c>
    </row>
    <row r="36" spans="1:111">
      <c r="A36" s="443">
        <f t="shared" si="13"/>
        <v>28</v>
      </c>
      <c r="B36" s="218" t="str">
        <f t="shared" si="0"/>
        <v>ma</v>
      </c>
      <c r="C36" s="219" t="s">
        <v>241</v>
      </c>
      <c r="D36" s="220">
        <f t="shared" si="1"/>
        <v>48.285714285714285</v>
      </c>
      <c r="E36" s="906"/>
      <c r="F36" s="907"/>
      <c r="G36" s="908"/>
      <c r="H36" s="526"/>
      <c r="I36" s="855"/>
      <c r="J36" s="726"/>
      <c r="K36" s="669"/>
      <c r="L36" s="669"/>
      <c r="M36" s="669"/>
      <c r="N36" s="557">
        <f t="shared" si="14"/>
        <v>8</v>
      </c>
      <c r="O36" s="557">
        <f t="shared" si="15"/>
        <v>3.75</v>
      </c>
      <c r="P36" s="557">
        <f>IF(Stamoplysninger!$H$29="JA",November!DG36,CX36)</f>
        <v>0.91666666666666674</v>
      </c>
      <c r="Q36" s="557">
        <f t="shared" si="16"/>
        <v>3.333333333333333</v>
      </c>
      <c r="R36" s="558"/>
      <c r="S36" s="564"/>
      <c r="T36" s="565"/>
      <c r="U36" s="565"/>
      <c r="V36" s="753"/>
      <c r="W36" s="559"/>
      <c r="X36" s="760"/>
      <c r="Y36">
        <f t="shared" si="17"/>
        <v>0</v>
      </c>
      <c r="Z36" s="759">
        <f t="shared" si="18"/>
        <v>0</v>
      </c>
      <c r="AA36" s="1">
        <f t="shared" si="2"/>
        <v>0</v>
      </c>
      <c r="AB36" s="1">
        <f t="shared" si="3"/>
        <v>0</v>
      </c>
      <c r="AC36" s="1">
        <f t="shared" si="4"/>
        <v>0</v>
      </c>
      <c r="AD36" s="1">
        <f t="shared" si="5"/>
        <v>0</v>
      </c>
      <c r="AE36" s="1">
        <f t="shared" si="6"/>
        <v>0</v>
      </c>
      <c r="AF36" s="1">
        <f>IF(C36="Orlov",7.4*Stamoplysninger!$E$15,0)</f>
        <v>0</v>
      </c>
      <c r="AG36" s="383">
        <f>IF(AND(C36="Skema 1",B36="ma"),Arbejdstidsoversigt!$E$44,"")</f>
        <v>8</v>
      </c>
      <c r="AH36" s="383" t="str">
        <f>IF(AND(C36="Skema 1",B36="ti"),Arbejdstidsoversigt!$E$45,"")</f>
        <v/>
      </c>
      <c r="AI36" s="383" t="str">
        <f>IF(AND(C36="Skema 1",B36="on"),Arbejdstidsoversigt!$E$46,"")</f>
        <v/>
      </c>
      <c r="AJ36" s="383" t="str">
        <f>IF(AND(C36="Skema 1",B36="to"),Arbejdstidsoversigt!$E$47,"")</f>
        <v/>
      </c>
      <c r="AK36" s="383" t="str">
        <f>IF(AND(C36="Skema 1",B36="fr"),Arbejdstidsoversigt!$E$48,"")</f>
        <v/>
      </c>
      <c r="AL36" s="383" t="str">
        <f>IF(AND(C36="Skema 2",B36="ma"),Arbejdstidsoversigt!$E$53,"")</f>
        <v/>
      </c>
      <c r="AM36" s="383" t="str">
        <f>IF(AND(C36="Skema 2",B36="ti"),Arbejdstidsoversigt!$E$54,"")</f>
        <v/>
      </c>
      <c r="AN36" s="383" t="str">
        <f>IF(AND(C36="Skema 2",B36="on"),Arbejdstidsoversigt!$E$55,"")</f>
        <v/>
      </c>
      <c r="AO36" s="383" t="str">
        <f>IF(AND(C36="Skema 2",B36="to"),Arbejdstidsoversigt!$E$56,"")</f>
        <v/>
      </c>
      <c r="AP36" s="383" t="str">
        <f>IF(AND(C36="Skema 2",B36="fr"),Arbejdstidsoversigt!$E$57,"")</f>
        <v/>
      </c>
      <c r="AQ36" s="383" t="str">
        <f>IF(AND(C36="Skema 3",B36="ma"),Arbejdstidsoversigt!$E$62,"")</f>
        <v/>
      </c>
      <c r="AR36" s="383" t="str">
        <f>IF(AND(C36="Skema 3",B36="ti"),Arbejdstidsoversigt!$E$63,"")</f>
        <v/>
      </c>
      <c r="AS36" s="383" t="str">
        <f>IF(AND(C36="Skema 3",B36="on"),Arbejdstidsoversigt!$E$64,"")</f>
        <v/>
      </c>
      <c r="AT36" s="383" t="str">
        <f>IF(AND(C36="Skema 3",B36="to"),Arbejdstidsoversigt!$E$65,"")</f>
        <v/>
      </c>
      <c r="AU36" s="383" t="str">
        <f>IF(AND(C36="Skema 3",B36="fr"),Arbejdstidsoversigt!$E$66,"")</f>
        <v/>
      </c>
      <c r="AV36" s="383" t="str">
        <f>IF(AND(C36="Skema 4",B36="ma"),Arbejdstidsoversigt!$E$71,"")</f>
        <v/>
      </c>
      <c r="AW36" s="383" t="str">
        <f>IF(AND(C36="Skema 4",B36="ti"),Arbejdstidsoversigt!$E$72,"")</f>
        <v/>
      </c>
      <c r="AX36" s="383" t="str">
        <f>IF(AND(C36="Skema 4",B36="on"),Arbejdstidsoversigt!$E$73,"")</f>
        <v/>
      </c>
      <c r="AY36" s="383" t="str">
        <f>IF(AND(C36="Skema 4",B36="to"),Arbejdstidsoversigt!$E$74,"")</f>
        <v/>
      </c>
      <c r="AZ36" s="383" t="str">
        <f>IF(AND(C36="Skema 4",B36="fr"),Arbejdstidsoversigt!$E$75,"")</f>
        <v/>
      </c>
      <c r="BA36" s="1">
        <f t="shared" si="19"/>
        <v>8</v>
      </c>
      <c r="BB36" s="421">
        <f t="shared" si="7"/>
        <v>192</v>
      </c>
      <c r="BC36" s="1">
        <f t="shared" si="20"/>
        <v>0</v>
      </c>
      <c r="BD36" s="1">
        <f t="shared" si="8"/>
        <v>0</v>
      </c>
      <c r="BE36" s="1">
        <f t="shared" si="9"/>
        <v>0</v>
      </c>
      <c r="BF36" s="1">
        <f t="shared" si="10"/>
        <v>0</v>
      </c>
      <c r="BG36" s="382">
        <f>IF(AND(C36="Skema 1",B36="ma"),Skemaoplysninger!$E$28,"")</f>
        <v>0.15625</v>
      </c>
      <c r="BH36" s="382" t="str">
        <f>IF(AND(C36="Skema 1",B36="ti"),Skemaoplysninger!$F$28,"")</f>
        <v/>
      </c>
      <c r="BI36" s="382" t="str">
        <f>IF(AND(C36="Skema 1",B36="on"),Skemaoplysninger!$G$28,"")</f>
        <v/>
      </c>
      <c r="BJ36" s="382" t="str">
        <f>IF(AND(C36="Skema 1",B36="to"),Skemaoplysninger!$H$28,"")</f>
        <v/>
      </c>
      <c r="BK36" s="382" t="str">
        <f>IF(AND(C36="Skema 1",B36="fr"),Skemaoplysninger!$I$28,"")</f>
        <v/>
      </c>
      <c r="BL36" s="382" t="str">
        <f>IF(AND(C36="Skema 2",B36="ma"),Skemaoplysninger!$O$28,"")</f>
        <v/>
      </c>
      <c r="BM36" s="382" t="str">
        <f>IF(AND(C36="Skema 2",B36="ti"),Skemaoplysninger!$P$28,"")</f>
        <v/>
      </c>
      <c r="BN36" s="382" t="str">
        <f>IF(AND(C36="Skema 2",B36="on"),Skemaoplysninger!$Q$28,"")</f>
        <v/>
      </c>
      <c r="BO36" s="382" t="str">
        <f>IF(AND(C36="Skema 2",B36="to"),Skemaoplysninger!$R$28,"")</f>
        <v/>
      </c>
      <c r="BP36" s="382" t="str">
        <f>IF(AND(C36="Skema 2",B36="fr"),Skemaoplysninger!$S$28,"")</f>
        <v/>
      </c>
      <c r="BQ36" s="382" t="str">
        <f>IF(AND(C36="Skema 3",B36="ma"),Skemaoplysninger!$Y$28,"")</f>
        <v/>
      </c>
      <c r="BR36" s="382" t="str">
        <f>IF(AND(C36="Skema 3",B36="ti"),Skemaoplysninger!$Z$28,"")</f>
        <v/>
      </c>
      <c r="BS36" s="382" t="str">
        <f>IF(AND(C36="Skema 3",B36="on"),Skemaoplysninger!$AA$28,"")</f>
        <v/>
      </c>
      <c r="BT36" s="382" t="str">
        <f>IF(AND(C36="Skema 3",B36="to"),Skemaoplysninger!$AB$28,"")</f>
        <v/>
      </c>
      <c r="BU36" s="382" t="str">
        <f>IF(AND(C36="Skema 3",B36="fr"),Skemaoplysninger!$AC$28,"")</f>
        <v/>
      </c>
      <c r="BV36" s="382" t="str">
        <f>IF(AND(C36="Skema 4",B36="ma"),Skemaoplysninger!$AI$28,"")</f>
        <v/>
      </c>
      <c r="BW36" s="382" t="str">
        <f>IF(AND(C36="Skema 4",B36="ti"),Skemaoplysninger!$AJ$28,"")</f>
        <v/>
      </c>
      <c r="BX36" s="382" t="str">
        <f>IF(AND(C36="Skema 4",B36="on"),Skemaoplysninger!$AK$28,"")</f>
        <v/>
      </c>
      <c r="BY36" s="382" t="str">
        <f>IF(AND(C36="Skema 4",B36="to"),Skemaoplysninger!$AL$28,"")</f>
        <v/>
      </c>
      <c r="BZ36" s="382" t="str">
        <f>IF(AND(C36="Skema 4",B36="fr"),Skemaoplysninger!$AM$28,"")</f>
        <v/>
      </c>
      <c r="CA36" s="1">
        <f t="shared" si="21"/>
        <v>3.75</v>
      </c>
      <c r="CB36" s="1">
        <f t="shared" si="11"/>
        <v>0</v>
      </c>
      <c r="CC36" s="1">
        <f t="shared" si="12"/>
        <v>0</v>
      </c>
      <c r="CD36" s="382">
        <f>IF(AND(C36="Skema 1",B36="ma"),Skemaoplysninger!$E$37,"")</f>
        <v>0.91666666666666674</v>
      </c>
      <c r="CE36" s="382" t="str">
        <f>IF(AND(C36="Skema 1",B36="ti"),Skemaoplysninger!$F$37,"")</f>
        <v/>
      </c>
      <c r="CF36" s="382" t="str">
        <f>IF(AND(C36="Skema 1",B36="on"),Skemaoplysninger!$G$37,"")</f>
        <v/>
      </c>
      <c r="CG36" s="382" t="str">
        <f>IF(AND(C36="Skema 1",B36="to"),Skemaoplysninger!$H$37,"")</f>
        <v/>
      </c>
      <c r="CH36" s="382" t="str">
        <f>IF(AND(C36="Skema 1",B36="fr"),Skemaoplysninger!$I$37,"")</f>
        <v/>
      </c>
      <c r="CI36" s="382" t="str">
        <f>IF(AND(C36="Skema 2",B36="ma"),Skemaoplysninger!$O$37,"")</f>
        <v/>
      </c>
      <c r="CJ36" s="382" t="str">
        <f>IF(AND(C36="Skema 2",B36="ti"),Skemaoplysninger!$P$37,"")</f>
        <v/>
      </c>
      <c r="CK36" s="382" t="str">
        <f>IF(AND(C36="Skema 2",B36="on"),Skemaoplysninger!$Q$37,"")</f>
        <v/>
      </c>
      <c r="CL36" s="382" t="str">
        <f>IF(AND(C36="Skema 2",B36="to"),Skemaoplysninger!$R$37,"")</f>
        <v/>
      </c>
      <c r="CM36" s="382" t="str">
        <f>IF(AND(C36="Skema 2",B36="fr"),Skemaoplysninger!$S$37,"")</f>
        <v/>
      </c>
      <c r="CN36" s="382" t="str">
        <f>IF(AND(C36="Skema 3",B36="ma"),Skemaoplysninger!$Y$37,"")</f>
        <v/>
      </c>
      <c r="CO36" s="382" t="str">
        <f>IF(AND(C36="Skema 3",B36="ti"),Skemaoplysninger!$Z$37,"")</f>
        <v/>
      </c>
      <c r="CP36" s="382" t="str">
        <f>IF(AND(C36="Skema 3",B36="on"),Skemaoplysninger!$AA$37,"")</f>
        <v/>
      </c>
      <c r="CQ36" s="382" t="str">
        <f>IF(AND(C36="Skema 3",B36="to"),Skemaoplysninger!$AB$37,"")</f>
        <v/>
      </c>
      <c r="CR36" s="382" t="str">
        <f>IF(AND(C36="Skema 3",B36="fr"),Skemaoplysninger!$AC$37,"")</f>
        <v/>
      </c>
      <c r="CS36" s="382" t="str">
        <f>IF(AND(C36="Skema 4",B36="ma"),Skemaoplysninger!$AI$37,"")</f>
        <v/>
      </c>
      <c r="CT36" s="382" t="str">
        <f>IF(AND(C36="Skema 4",B36="ti"),Skemaoplysninger!$AJ$37,"")</f>
        <v/>
      </c>
      <c r="CU36" s="382" t="str">
        <f>IF(AND(C36="Skema 4",B36="on"),Skemaoplysninger!$AK$37,"")</f>
        <v/>
      </c>
      <c r="CV36" s="382" t="str">
        <f>IF(AND(C36="Skema 4",B36="to"),Skemaoplysninger!$AL$37,"")</f>
        <v/>
      </c>
      <c r="CW36" s="382" t="str">
        <f>IF(AND(C36="Skema 4",B36="fr"),Skemaoplysninger!$AM$37,"")</f>
        <v/>
      </c>
      <c r="CX36" s="457">
        <f>IF(Stamoplysninger!$H$29="NEJ",SUM(CB36:CW36),0)</f>
        <v>0.91666666666666674</v>
      </c>
      <c r="CY36" s="457">
        <f>IF(C36="Skema 1",Stamoplysninger!$H$30/200,0)</f>
        <v>1</v>
      </c>
      <c r="CZ36" s="457">
        <f>IF(C36="Skema 2",Stamoplysninger!$H$30/200,0)</f>
        <v>0</v>
      </c>
      <c r="DA36" s="457">
        <f>IF(C36="Skema 3",Stamoplysninger!$H$30/200,0)</f>
        <v>0</v>
      </c>
      <c r="DB36" s="457">
        <f>IF(C36="Skema 4",Stamoplysninger!$H$30/200,0)</f>
        <v>0</v>
      </c>
      <c r="DC36" s="457">
        <f>IF(C36="fagdag",Stamoplysninger!$H$30/200,0)</f>
        <v>0</v>
      </c>
      <c r="DD36" s="457">
        <f>IF(C36="emnedag",Stamoplysninger!$H$30/200,0)</f>
        <v>0</v>
      </c>
      <c r="DE36" s="457">
        <f>IF(C36="lejrskole",Stamoplysninger!$H$30/200,0)</f>
        <v>0</v>
      </c>
      <c r="DF36" s="457">
        <f>IF(C36="ekskursion",Stamoplysninger!$H$30/200,0)</f>
        <v>0</v>
      </c>
      <c r="DG36" s="457">
        <f t="shared" si="22"/>
        <v>1</v>
      </c>
    </row>
    <row r="37" spans="1:111">
      <c r="A37" s="443">
        <f>IF(ISNUMBER(A36),A36+1,1)</f>
        <v>29</v>
      </c>
      <c r="B37" s="218" t="str">
        <f t="shared" si="0"/>
        <v>ti</v>
      </c>
      <c r="C37" s="219" t="s">
        <v>241</v>
      </c>
      <c r="D37" s="220" t="str">
        <f t="shared" si="1"/>
        <v/>
      </c>
      <c r="E37" s="906"/>
      <c r="F37" s="907"/>
      <c r="G37" s="908"/>
      <c r="H37" s="526"/>
      <c r="I37" s="855"/>
      <c r="J37" s="726"/>
      <c r="K37" s="669"/>
      <c r="L37" s="669"/>
      <c r="M37" s="669"/>
      <c r="N37" s="557">
        <f t="shared" si="14"/>
        <v>8</v>
      </c>
      <c r="O37" s="557">
        <f t="shared" si="15"/>
        <v>5.25</v>
      </c>
      <c r="P37" s="557">
        <f>IF(Stamoplysninger!$H$29="JA",November!DG37,CX37)</f>
        <v>1.0833333333333335</v>
      </c>
      <c r="Q37" s="557">
        <f t="shared" si="16"/>
        <v>1.6666666666666665</v>
      </c>
      <c r="R37" s="558"/>
      <c r="S37" s="564"/>
      <c r="T37" s="565"/>
      <c r="U37" s="565"/>
      <c r="V37" s="753"/>
      <c r="W37" s="559"/>
      <c r="X37" s="760"/>
      <c r="Y37">
        <f t="shared" si="17"/>
        <v>0</v>
      </c>
      <c r="Z37" s="759">
        <f t="shared" si="18"/>
        <v>0</v>
      </c>
      <c r="AA37" s="1">
        <f t="shared" si="2"/>
        <v>0</v>
      </c>
      <c r="AB37" s="1">
        <f t="shared" si="3"/>
        <v>0</v>
      </c>
      <c r="AC37" s="1">
        <f t="shared" si="4"/>
        <v>0</v>
      </c>
      <c r="AD37" s="1">
        <f t="shared" si="5"/>
        <v>0</v>
      </c>
      <c r="AE37" s="1">
        <f t="shared" si="6"/>
        <v>0</v>
      </c>
      <c r="AF37" s="1">
        <f>IF(C37="Orlov",7.4*Stamoplysninger!$E$15,0)</f>
        <v>0</v>
      </c>
      <c r="AG37" s="383" t="str">
        <f>IF(AND(C37="Skema 1",B37="ma"),Arbejdstidsoversigt!$E$44,"")</f>
        <v/>
      </c>
      <c r="AH37" s="383">
        <f>IF(AND(C37="Skema 1",B37="ti"),Arbejdstidsoversigt!$E$45,"")</f>
        <v>8</v>
      </c>
      <c r="AI37" s="383" t="str">
        <f>IF(AND(C37="Skema 1",B37="on"),Arbejdstidsoversigt!$E$46,"")</f>
        <v/>
      </c>
      <c r="AJ37" s="383" t="str">
        <f>IF(AND(C37="Skema 1",B37="to"),Arbejdstidsoversigt!$E$47,"")</f>
        <v/>
      </c>
      <c r="AK37" s="383" t="str">
        <f>IF(AND(C37="Skema 1",B37="fr"),Arbejdstidsoversigt!$E$48,"")</f>
        <v/>
      </c>
      <c r="AL37" s="383" t="str">
        <f>IF(AND(C37="Skema 2",B37="ma"),Arbejdstidsoversigt!$E$53,"")</f>
        <v/>
      </c>
      <c r="AM37" s="383" t="str">
        <f>IF(AND(C37="Skema 2",B37="ti"),Arbejdstidsoversigt!$E$54,"")</f>
        <v/>
      </c>
      <c r="AN37" s="383" t="str">
        <f>IF(AND(C37="Skema 2",B37="on"),Arbejdstidsoversigt!$E$55,"")</f>
        <v/>
      </c>
      <c r="AO37" s="383" t="str">
        <f>IF(AND(C37="Skema 2",B37="to"),Arbejdstidsoversigt!$E$56,"")</f>
        <v/>
      </c>
      <c r="AP37" s="383" t="str">
        <f>IF(AND(C37="Skema 2",B37="fr"),Arbejdstidsoversigt!$E$57,"")</f>
        <v/>
      </c>
      <c r="AQ37" s="383" t="str">
        <f>IF(AND(C37="Skema 3",B37="ma"),Arbejdstidsoversigt!$E$62,"")</f>
        <v/>
      </c>
      <c r="AR37" s="383" t="str">
        <f>IF(AND(C37="Skema 3",B37="ti"),Arbejdstidsoversigt!$E$63,"")</f>
        <v/>
      </c>
      <c r="AS37" s="383" t="str">
        <f>IF(AND(C37="Skema 3",B37="on"),Arbejdstidsoversigt!$E$64,"")</f>
        <v/>
      </c>
      <c r="AT37" s="383" t="str">
        <f>IF(AND(C37="Skema 3",B37="to"),Arbejdstidsoversigt!$E$65,"")</f>
        <v/>
      </c>
      <c r="AU37" s="383" t="str">
        <f>IF(AND(C37="Skema 3",B37="fr"),Arbejdstidsoversigt!$E$66,"")</f>
        <v/>
      </c>
      <c r="AV37" s="383" t="str">
        <f>IF(AND(C37="Skema 4",B37="ma"),Arbejdstidsoversigt!$E$71,"")</f>
        <v/>
      </c>
      <c r="AW37" s="383" t="str">
        <f>IF(AND(C37="Skema 4",B37="ti"),Arbejdstidsoversigt!$E$72,"")</f>
        <v/>
      </c>
      <c r="AX37" s="383" t="str">
        <f>IF(AND(C37="Skema 4",B37="on"),Arbejdstidsoversigt!$E$73,"")</f>
        <v/>
      </c>
      <c r="AY37" s="383" t="str">
        <f>IF(AND(C37="Skema 4",B37="to"),Arbejdstidsoversigt!$E$74,"")</f>
        <v/>
      </c>
      <c r="AZ37" s="383" t="str">
        <f>IF(AND(C37="Skema 4",B37="fr"),Arbejdstidsoversigt!$E$75,"")</f>
        <v/>
      </c>
      <c r="BA37" s="1">
        <f t="shared" si="19"/>
        <v>8</v>
      </c>
      <c r="BB37" s="421">
        <f t="shared" si="7"/>
        <v>192</v>
      </c>
      <c r="BC37" s="1">
        <f t="shared" si="20"/>
        <v>0</v>
      </c>
      <c r="BD37" s="1">
        <f t="shared" si="8"/>
        <v>0</v>
      </c>
      <c r="BE37" s="1">
        <f t="shared" si="9"/>
        <v>0</v>
      </c>
      <c r="BF37" s="1">
        <f t="shared" si="10"/>
        <v>0</v>
      </c>
      <c r="BG37" s="382" t="str">
        <f>IF(AND(C37="Skema 1",B37="ma"),Skemaoplysninger!$E$28,"")</f>
        <v/>
      </c>
      <c r="BH37" s="382">
        <f>IF(AND(C37="Skema 1",B37="ti"),Skemaoplysninger!$F$28,"")</f>
        <v>0.21875</v>
      </c>
      <c r="BI37" s="382" t="str">
        <f>IF(AND(C37="Skema 1",B37="on"),Skemaoplysninger!$G$28,"")</f>
        <v/>
      </c>
      <c r="BJ37" s="382" t="str">
        <f>IF(AND(C37="Skema 1",B37="to"),Skemaoplysninger!$H$28,"")</f>
        <v/>
      </c>
      <c r="BK37" s="382" t="str">
        <f>IF(AND(C37="Skema 1",B37="fr"),Skemaoplysninger!$I$28,"")</f>
        <v/>
      </c>
      <c r="BL37" s="382" t="str">
        <f>IF(AND(C37="Skema 2",B37="ma"),Skemaoplysninger!$O$28,"")</f>
        <v/>
      </c>
      <c r="BM37" s="382" t="str">
        <f>IF(AND(C37="Skema 2",B37="ti"),Skemaoplysninger!$P$28,"")</f>
        <v/>
      </c>
      <c r="BN37" s="382" t="str">
        <f>IF(AND(C37="Skema 2",B37="on"),Skemaoplysninger!$Q$28,"")</f>
        <v/>
      </c>
      <c r="BO37" s="382" t="str">
        <f>IF(AND(C37="Skema 2",B37="to"),Skemaoplysninger!$R$28,"")</f>
        <v/>
      </c>
      <c r="BP37" s="382" t="str">
        <f>IF(AND(C37="Skema 2",B37="fr"),Skemaoplysninger!$S$28,"")</f>
        <v/>
      </c>
      <c r="BQ37" s="382" t="str">
        <f>IF(AND(C37="Skema 3",B37="ma"),Skemaoplysninger!$Y$28,"")</f>
        <v/>
      </c>
      <c r="BR37" s="382" t="str">
        <f>IF(AND(C37="Skema 3",B37="ti"),Skemaoplysninger!$Z$28,"")</f>
        <v/>
      </c>
      <c r="BS37" s="382" t="str">
        <f>IF(AND(C37="Skema 3",B37="on"),Skemaoplysninger!$AA$28,"")</f>
        <v/>
      </c>
      <c r="BT37" s="382" t="str">
        <f>IF(AND(C37="Skema 3",B37="to"),Skemaoplysninger!$AB$28,"")</f>
        <v/>
      </c>
      <c r="BU37" s="382" t="str">
        <f>IF(AND(C37="Skema 3",B37="fr"),Skemaoplysninger!$AC$28,"")</f>
        <v/>
      </c>
      <c r="BV37" s="382" t="str">
        <f>IF(AND(C37="Skema 4",B37="ma"),Skemaoplysninger!$AI$28,"")</f>
        <v/>
      </c>
      <c r="BW37" s="382" t="str">
        <f>IF(AND(C37="Skema 4",B37="ti"),Skemaoplysninger!$AJ$28,"")</f>
        <v/>
      </c>
      <c r="BX37" s="382" t="str">
        <f>IF(AND(C37="Skema 4",B37="on"),Skemaoplysninger!$AK$28,"")</f>
        <v/>
      </c>
      <c r="BY37" s="382" t="str">
        <f>IF(AND(C37="Skema 4",B37="to"),Skemaoplysninger!$AL$28,"")</f>
        <v/>
      </c>
      <c r="BZ37" s="382" t="str">
        <f>IF(AND(C37="Skema 4",B37="fr"),Skemaoplysninger!$AM$28,"")</f>
        <v/>
      </c>
      <c r="CA37" s="1">
        <f t="shared" si="21"/>
        <v>5.25</v>
      </c>
      <c r="CB37" s="1">
        <f t="shared" si="11"/>
        <v>0</v>
      </c>
      <c r="CC37" s="1">
        <f t="shared" si="12"/>
        <v>0</v>
      </c>
      <c r="CD37" s="382" t="str">
        <f>IF(AND(C37="Skema 1",B37="ma"),Skemaoplysninger!$E$37,"")</f>
        <v/>
      </c>
      <c r="CE37" s="382">
        <f>IF(AND(C37="Skema 1",B37="ti"),Skemaoplysninger!$F$37,"")</f>
        <v>1.0833333333333335</v>
      </c>
      <c r="CF37" s="382" t="str">
        <f>IF(AND(C37="Skema 1",B37="on"),Skemaoplysninger!$G$37,"")</f>
        <v/>
      </c>
      <c r="CG37" s="382" t="str">
        <f>IF(AND(C37="Skema 1",B37="to"),Skemaoplysninger!$H$37,"")</f>
        <v/>
      </c>
      <c r="CH37" s="382" t="str">
        <f>IF(AND(C37="Skema 1",B37="fr"),Skemaoplysninger!$I$37,"")</f>
        <v/>
      </c>
      <c r="CI37" s="382" t="str">
        <f>IF(AND(C37="Skema 2",B37="ma"),Skemaoplysninger!$O$37,"")</f>
        <v/>
      </c>
      <c r="CJ37" s="382" t="str">
        <f>IF(AND(C37="Skema 2",B37="ti"),Skemaoplysninger!$P$37,"")</f>
        <v/>
      </c>
      <c r="CK37" s="382" t="str">
        <f>IF(AND(C37="Skema 2",B37="on"),Skemaoplysninger!$Q$37,"")</f>
        <v/>
      </c>
      <c r="CL37" s="382" t="str">
        <f>IF(AND(C37="Skema 2",B37="to"),Skemaoplysninger!$R$37,"")</f>
        <v/>
      </c>
      <c r="CM37" s="382" t="str">
        <f>IF(AND(C37="Skema 2",B37="fr"),Skemaoplysninger!$S$37,"")</f>
        <v/>
      </c>
      <c r="CN37" s="382" t="str">
        <f>IF(AND(C37="Skema 3",B37="ma"),Skemaoplysninger!$Y$37,"")</f>
        <v/>
      </c>
      <c r="CO37" s="382" t="str">
        <f>IF(AND(C37="Skema 3",B37="ti"),Skemaoplysninger!$Z$37,"")</f>
        <v/>
      </c>
      <c r="CP37" s="382" t="str">
        <f>IF(AND(C37="Skema 3",B37="on"),Skemaoplysninger!$AA$37,"")</f>
        <v/>
      </c>
      <c r="CQ37" s="382" t="str">
        <f>IF(AND(C37="Skema 3",B37="to"),Skemaoplysninger!$AB$37,"")</f>
        <v/>
      </c>
      <c r="CR37" s="382" t="str">
        <f>IF(AND(C37="Skema 3",B37="fr"),Skemaoplysninger!$AC$37,"")</f>
        <v/>
      </c>
      <c r="CS37" s="382" t="str">
        <f>IF(AND(C37="Skema 4",B37="ma"),Skemaoplysninger!$AI$37,"")</f>
        <v/>
      </c>
      <c r="CT37" s="382" t="str">
        <f>IF(AND(C37="Skema 4",B37="ti"),Skemaoplysninger!$AJ$37,"")</f>
        <v/>
      </c>
      <c r="CU37" s="382" t="str">
        <f>IF(AND(C37="Skema 4",B37="on"),Skemaoplysninger!$AK$37,"")</f>
        <v/>
      </c>
      <c r="CV37" s="382" t="str">
        <f>IF(AND(C37="Skema 4",B37="to"),Skemaoplysninger!$AL$37,"")</f>
        <v/>
      </c>
      <c r="CW37" s="382" t="str">
        <f>IF(AND(C37="Skema 4",B37="fr"),Skemaoplysninger!$AM$37,"")</f>
        <v/>
      </c>
      <c r="CX37" s="457">
        <f>IF(Stamoplysninger!$H$29="NEJ",SUM(CB37:CW37),0)</f>
        <v>1.0833333333333335</v>
      </c>
      <c r="CY37" s="457">
        <f>IF(C37="Skema 1",Stamoplysninger!$H$30/200,0)</f>
        <v>1</v>
      </c>
      <c r="CZ37" s="457">
        <f>IF(C37="Skema 2",Stamoplysninger!$H$30/200,0)</f>
        <v>0</v>
      </c>
      <c r="DA37" s="457">
        <f>IF(C37="Skema 3",Stamoplysninger!$H$30/200,0)</f>
        <v>0</v>
      </c>
      <c r="DB37" s="457">
        <f>IF(C37="Skema 4",Stamoplysninger!$H$30/200,0)</f>
        <v>0</v>
      </c>
      <c r="DC37" s="457">
        <f>IF(C37="fagdag",Stamoplysninger!$H$30/200,0)</f>
        <v>0</v>
      </c>
      <c r="DD37" s="457">
        <f>IF(C37="emnedag",Stamoplysninger!$H$30/200,0)</f>
        <v>0</v>
      </c>
      <c r="DE37" s="457">
        <f>IF(C37="lejrskole",Stamoplysninger!$H$30/200,0)</f>
        <v>0</v>
      </c>
      <c r="DF37" s="457">
        <f>IF(C37="ekskursion",Stamoplysninger!$H$30/200,0)</f>
        <v>0</v>
      </c>
      <c r="DG37" s="457">
        <f t="shared" si="22"/>
        <v>1</v>
      </c>
    </row>
    <row r="38" spans="1:111">
      <c r="A38" s="443">
        <f t="shared" si="13"/>
        <v>30</v>
      </c>
      <c r="B38" s="218" t="str">
        <f t="shared" si="0"/>
        <v>on</v>
      </c>
      <c r="C38" s="219" t="s">
        <v>155</v>
      </c>
      <c r="D38" s="220" t="str">
        <f t="shared" si="1"/>
        <v/>
      </c>
      <c r="E38" s="906" t="s">
        <v>41</v>
      </c>
      <c r="F38" s="907"/>
      <c r="G38" s="908"/>
      <c r="H38" s="526"/>
      <c r="I38" s="855"/>
      <c r="J38" s="726"/>
      <c r="K38" s="669">
        <v>8</v>
      </c>
      <c r="L38" s="669">
        <v>4.5</v>
      </c>
      <c r="M38" s="669">
        <v>1</v>
      </c>
      <c r="N38" s="557">
        <f t="shared" si="14"/>
        <v>8</v>
      </c>
      <c r="O38" s="557">
        <f t="shared" si="15"/>
        <v>4.5</v>
      </c>
      <c r="P38" s="557">
        <f>IF(Stamoplysninger!$H$29="JA",November!DG38,CX38)</f>
        <v>1</v>
      </c>
      <c r="Q38" s="557">
        <f t="shared" si="16"/>
        <v>2.5</v>
      </c>
      <c r="R38" s="558"/>
      <c r="S38" s="564"/>
      <c r="T38" s="565"/>
      <c r="U38" s="565"/>
      <c r="V38" s="753"/>
      <c r="W38" s="559"/>
      <c r="X38" s="760"/>
      <c r="Y38">
        <f t="shared" si="17"/>
        <v>0</v>
      </c>
      <c r="Z38" s="759">
        <f t="shared" si="18"/>
        <v>0</v>
      </c>
      <c r="AA38" s="1">
        <f t="shared" si="2"/>
        <v>0</v>
      </c>
      <c r="AB38" s="1">
        <f t="shared" si="3"/>
        <v>8</v>
      </c>
      <c r="AC38" s="1">
        <f t="shared" si="4"/>
        <v>0</v>
      </c>
      <c r="AD38" s="1">
        <f t="shared" si="5"/>
        <v>0</v>
      </c>
      <c r="AE38" s="1">
        <f t="shared" si="6"/>
        <v>0</v>
      </c>
      <c r="AF38" s="1">
        <f>IF(C38="Orlov",7.4*Stamoplysninger!$E$15,0)</f>
        <v>0</v>
      </c>
      <c r="AG38" s="383" t="str">
        <f>IF(AND(C38="Skema 1",B38="ma"),Arbejdstidsoversigt!$E$44,"")</f>
        <v/>
      </c>
      <c r="AH38" s="383" t="str">
        <f>IF(AND(C38="Skema 1",B38="ti"),Arbejdstidsoversigt!$E$45,"")</f>
        <v/>
      </c>
      <c r="AI38" s="383" t="str">
        <f>IF(AND(C38="Skema 1",B38="on"),Arbejdstidsoversigt!$E$46,"")</f>
        <v/>
      </c>
      <c r="AJ38" s="383" t="str">
        <f>IF(AND(C38="Skema 1",B38="to"),Arbejdstidsoversigt!$E$47,"")</f>
        <v/>
      </c>
      <c r="AK38" s="383" t="str">
        <f>IF(AND(C38="Skema 1",B38="fr"),Arbejdstidsoversigt!$E$48,"")</f>
        <v/>
      </c>
      <c r="AL38" s="383" t="str">
        <f>IF(AND(C38="Skema 2",B38="ma"),Arbejdstidsoversigt!$E$53,"")</f>
        <v/>
      </c>
      <c r="AM38" s="383" t="str">
        <f>IF(AND(C38="Skema 2",B38="ti"),Arbejdstidsoversigt!$E$54,"")</f>
        <v/>
      </c>
      <c r="AN38" s="383" t="str">
        <f>IF(AND(C38="Skema 2",B38="on"),Arbejdstidsoversigt!$E$55,"")</f>
        <v/>
      </c>
      <c r="AO38" s="383" t="str">
        <f>IF(AND(C38="Skema 2",B38="to"),Arbejdstidsoversigt!$E$56,"")</f>
        <v/>
      </c>
      <c r="AP38" s="383" t="str">
        <f>IF(AND(C38="Skema 2",B38="fr"),Arbejdstidsoversigt!$E$57,"")</f>
        <v/>
      </c>
      <c r="AQ38" s="383" t="str">
        <f>IF(AND(C38="Skema 3",B38="ma"),Arbejdstidsoversigt!$E$62,"")</f>
        <v/>
      </c>
      <c r="AR38" s="383" t="str">
        <f>IF(AND(C38="Skema 3",B38="ti"),Arbejdstidsoversigt!$E$63,"")</f>
        <v/>
      </c>
      <c r="AS38" s="383" t="str">
        <f>IF(AND(C38="Skema 3",B38="on"),Arbejdstidsoversigt!$E$64,"")</f>
        <v/>
      </c>
      <c r="AT38" s="383" t="str">
        <f>IF(AND(C38="Skema 3",B38="to"),Arbejdstidsoversigt!$E$65,"")</f>
        <v/>
      </c>
      <c r="AU38" s="383" t="str">
        <f>IF(AND(C38="Skema 3",B38="fr"),Arbejdstidsoversigt!$E$66,"")</f>
        <v/>
      </c>
      <c r="AV38" s="383" t="str">
        <f>IF(AND(C38="Skema 4",B38="ma"),Arbejdstidsoversigt!$E$71,"")</f>
        <v/>
      </c>
      <c r="AW38" s="383" t="str">
        <f>IF(AND(C38="Skema 4",B38="ti"),Arbejdstidsoversigt!$E$72,"")</f>
        <v/>
      </c>
      <c r="AX38" s="383" t="str">
        <f>IF(AND(C38="Skema 4",B38="on"),Arbejdstidsoversigt!$E$73,"")</f>
        <v/>
      </c>
      <c r="AY38" s="383" t="str">
        <f>IF(AND(C38="Skema 4",B38="to"),Arbejdstidsoversigt!$E$74,"")</f>
        <v/>
      </c>
      <c r="AZ38" s="383" t="str">
        <f>IF(AND(C38="Skema 4",B38="fr"),Arbejdstidsoversigt!$E$75,"")</f>
        <v/>
      </c>
      <c r="BA38" s="1">
        <f t="shared" si="19"/>
        <v>8</v>
      </c>
      <c r="BB38" s="421">
        <f t="shared" si="7"/>
        <v>0</v>
      </c>
      <c r="BC38" s="1">
        <f t="shared" si="20"/>
        <v>0</v>
      </c>
      <c r="BD38" s="1">
        <f t="shared" si="8"/>
        <v>0</v>
      </c>
      <c r="BE38" s="1">
        <f t="shared" si="9"/>
        <v>4.5</v>
      </c>
      <c r="BF38" s="1">
        <f t="shared" si="10"/>
        <v>0</v>
      </c>
      <c r="BG38" s="382" t="str">
        <f>IF(AND(C38="Skema 1",B38="ma"),Skemaoplysninger!$E$28,"")</f>
        <v/>
      </c>
      <c r="BH38" s="382" t="str">
        <f>IF(AND(C38="Skema 1",B38="ti"),Skemaoplysninger!$F$28,"")</f>
        <v/>
      </c>
      <c r="BI38" s="382" t="str">
        <f>IF(AND(C38="Skema 1",B38="on"),Skemaoplysninger!$G$28,"")</f>
        <v/>
      </c>
      <c r="BJ38" s="382" t="str">
        <f>IF(AND(C38="Skema 1",B38="to"),Skemaoplysninger!$H$28,"")</f>
        <v/>
      </c>
      <c r="BK38" s="382" t="str">
        <f>IF(AND(C38="Skema 1",B38="fr"),Skemaoplysninger!$I$28,"")</f>
        <v/>
      </c>
      <c r="BL38" s="382" t="str">
        <f>IF(AND(C38="Skema 2",B38="ma"),Skemaoplysninger!$O$28,"")</f>
        <v/>
      </c>
      <c r="BM38" s="382" t="str">
        <f>IF(AND(C38="Skema 2",B38="ti"),Skemaoplysninger!$P$28,"")</f>
        <v/>
      </c>
      <c r="BN38" s="382" t="str">
        <f>IF(AND(C38="Skema 2",B38="on"),Skemaoplysninger!$Q$28,"")</f>
        <v/>
      </c>
      <c r="BO38" s="382" t="str">
        <f>IF(AND(C38="Skema 2",B38="to"),Skemaoplysninger!$R$28,"")</f>
        <v/>
      </c>
      <c r="BP38" s="382" t="str">
        <f>IF(AND(C38="Skema 2",B38="fr"),Skemaoplysninger!$S$28,"")</f>
        <v/>
      </c>
      <c r="BQ38" s="382" t="str">
        <f>IF(AND(C38="Skema 3",B38="ma"),Skemaoplysninger!$Y$28,"")</f>
        <v/>
      </c>
      <c r="BR38" s="382" t="str">
        <f>IF(AND(C38="Skema 3",B38="ti"),Arbejdstidsoversigt!#REF!,"")</f>
        <v/>
      </c>
      <c r="BS38" s="382" t="str">
        <f>IF(AND(C38="Skema 3",B38="on"),Skemaoplysninger!$AA$28,"")</f>
        <v/>
      </c>
      <c r="BT38" s="382" t="str">
        <f>IF(AND(C38="Skema 3",B38="to"),Skemaoplysninger!$AB$28,"")</f>
        <v/>
      </c>
      <c r="BU38" s="382" t="str">
        <f>IF(AND(C38="Skema 3",B38="fr"),Skemaoplysninger!$AC$28,"")</f>
        <v/>
      </c>
      <c r="BV38" s="382" t="str">
        <f>IF(AND(C38="Skema 4",B38="ma"),Skemaoplysninger!$AI$28,"")</f>
        <v/>
      </c>
      <c r="BW38" s="382" t="str">
        <f>IF(AND(C38="Skema 4",B38="ti"),Skemaoplysninger!$AJ$28,"")</f>
        <v/>
      </c>
      <c r="BX38" s="382" t="str">
        <f>IF(AND(C38="Skema 4",B38="on"),Skemaoplysninger!$AK$28,"")</f>
        <v/>
      </c>
      <c r="BY38" s="382" t="str">
        <f>IF(AND(C38="Skema 4",B38="to"),Skemaoplysninger!$AL$28,"")</f>
        <v/>
      </c>
      <c r="BZ38" s="382" t="str">
        <f>IF(AND(C38="Skema 4",B38="fr"),Skemaoplysninger!$AM$28,"")</f>
        <v/>
      </c>
      <c r="CA38" s="1">
        <f t="shared" si="21"/>
        <v>4.5</v>
      </c>
      <c r="CB38" s="1">
        <f t="shared" si="11"/>
        <v>1</v>
      </c>
      <c r="CC38" s="1">
        <f t="shared" si="12"/>
        <v>0</v>
      </c>
      <c r="CD38" s="382" t="str">
        <f>IF(AND(C38="Skema 1",B38="ma"),Skemaoplysninger!$E$37,"")</f>
        <v/>
      </c>
      <c r="CE38" s="382" t="str">
        <f>IF(AND(C38="Skema 1",B38="ti"),Skemaoplysninger!$F$37,"")</f>
        <v/>
      </c>
      <c r="CF38" s="382" t="str">
        <f>IF(AND(C38="Skema 1",B38="on"),Skemaoplysninger!$G$37,"")</f>
        <v/>
      </c>
      <c r="CG38" s="382" t="str">
        <f>IF(AND(C38="Skema 1",B38="to"),Skemaoplysninger!$H$37,"")</f>
        <v/>
      </c>
      <c r="CH38" s="382" t="str">
        <f>IF(AND(C38="Skema 1",B38="fr"),Skemaoplysninger!$I$37,"")</f>
        <v/>
      </c>
      <c r="CI38" s="382" t="str">
        <f>IF(AND(C38="Skema 2",B38="ma"),Skemaoplysninger!$O$37,"")</f>
        <v/>
      </c>
      <c r="CJ38" s="382" t="str">
        <f>IF(AND(C38="Skema 2",B38="ti"),Skemaoplysninger!$P$37,"")</f>
        <v/>
      </c>
      <c r="CK38" s="382" t="str">
        <f>IF(AND(C38="Skema 2",B38="on"),Skemaoplysninger!$Q$37,"")</f>
        <v/>
      </c>
      <c r="CL38" s="382" t="str">
        <f>IF(AND(C38="Skema 2",B38="to"),Skemaoplysninger!$R$37,"")</f>
        <v/>
      </c>
      <c r="CM38" s="382" t="str">
        <f>IF(AND(C38="Skema 2",B38="fr"),Skemaoplysninger!$S$37,"")</f>
        <v/>
      </c>
      <c r="CN38" s="382" t="str">
        <f>IF(AND(C38="Skema 3",B38="ma"),Skemaoplysninger!$Y$37,"")</f>
        <v/>
      </c>
      <c r="CO38" s="382" t="str">
        <f>IF(AND(C38="Skema 3",B38="ti"),Skemaoplysninger!$Z$37,"")</f>
        <v/>
      </c>
      <c r="CP38" s="382" t="str">
        <f>IF(AND(C38="Skema 3",B38="on"),Skemaoplysninger!$AA$37,"")</f>
        <v/>
      </c>
      <c r="CQ38" s="382" t="str">
        <f>IF(AND(C38="Skema 3",B38="to"),Skemaoplysninger!$AB$37,"")</f>
        <v/>
      </c>
      <c r="CR38" s="382" t="str">
        <f>IF(AND(C38="Skema 3",B38="fr"),Skemaoplysninger!$AC$37,"")</f>
        <v/>
      </c>
      <c r="CS38" s="382" t="str">
        <f>IF(AND(C38="Skema 4",B38="ma"),Skemaoplysninger!$AI$37,"")</f>
        <v/>
      </c>
      <c r="CT38" s="382" t="str">
        <f>IF(AND(C38="Skema 4",B38="ti"),Skemaoplysninger!$AJ$37,"")</f>
        <v/>
      </c>
      <c r="CU38" s="382" t="str">
        <f>IF(AND(C38="Skema 4",B38="on"),Skemaoplysninger!$AK$37,"")</f>
        <v/>
      </c>
      <c r="CV38" s="382" t="str">
        <f>IF(AND(C38="Skema 4",B38="to"),Skemaoplysninger!$AL$37,"")</f>
        <v/>
      </c>
      <c r="CW38" s="382" t="str">
        <f>IF(AND(C38="Skema 4",B38="fr"),Skemaoplysninger!$AM$37,"")</f>
        <v/>
      </c>
      <c r="CX38" s="457">
        <f>IF(Stamoplysninger!$H$29="NEJ",SUM(CB38:CW38),0)</f>
        <v>1</v>
      </c>
      <c r="CY38" s="457">
        <f>IF(C38="Skema 1",Stamoplysninger!$H$30/200,0)</f>
        <v>0</v>
      </c>
      <c r="CZ38" s="457">
        <f>IF(C38="Skema 2",Stamoplysninger!$H$30/200,0)</f>
        <v>0</v>
      </c>
      <c r="DA38" s="457">
        <f>IF(C38="Skema 3",Stamoplysninger!$H$30/200,0)</f>
        <v>0</v>
      </c>
      <c r="DB38" s="457">
        <f>IF(C38="Skema 4",Stamoplysninger!$H$30/200,0)</f>
        <v>0</v>
      </c>
      <c r="DC38" s="457">
        <f>IF(C38="fagdag",Stamoplysninger!$H$30/200,0)</f>
        <v>1</v>
      </c>
      <c r="DD38" s="457">
        <f>IF(C38="emnedag",Stamoplysninger!$H$30/200,0)</f>
        <v>0</v>
      </c>
      <c r="DE38" s="457">
        <f>IF(C38="lejrskole",Stamoplysninger!$H$30/200,0)</f>
        <v>0</v>
      </c>
      <c r="DF38" s="457">
        <f>IF(C38="ekskursion",Stamoplysninger!$H$30/200,0)</f>
        <v>0</v>
      </c>
      <c r="DG38" s="457">
        <f t="shared" si="22"/>
        <v>1</v>
      </c>
    </row>
    <row r="39" spans="1:111" ht="17" thickBot="1">
      <c r="A39" s="1101" t="s">
        <v>308</v>
      </c>
      <c r="B39" s="1102"/>
      <c r="C39" s="1102"/>
      <c r="D39" s="1102"/>
      <c r="E39" s="1102"/>
      <c r="F39" s="1102"/>
      <c r="G39" s="1102"/>
      <c r="H39" s="1102"/>
      <c r="I39" s="1103"/>
      <c r="J39" s="552"/>
      <c r="K39" s="670"/>
      <c r="L39" s="670"/>
      <c r="M39" s="670"/>
      <c r="N39" s="562">
        <f t="shared" ref="N39:Q39" si="23">SUM(N9:N38)</f>
        <v>172</v>
      </c>
      <c r="O39" s="562">
        <f t="shared" si="23"/>
        <v>84.75</v>
      </c>
      <c r="P39" s="562">
        <f t="shared" si="23"/>
        <v>18.75</v>
      </c>
      <c r="Q39" s="562">
        <f t="shared" si="23"/>
        <v>68.5</v>
      </c>
      <c r="R39" s="563">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750"/>
      <c r="T39" s="751"/>
      <c r="U39" s="751"/>
      <c r="V39" s="751">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751">
        <f t="shared" ref="W39" si="24">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752">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384">
        <f>SUM(Y9:Y38)</f>
        <v>0</v>
      </c>
      <c r="Z39" s="706">
        <f>Z9+Z10+Z11+Z12+Z13+Z14+Z15+Z16+Z17+Z18+Z19+Z20+Z21+Z22+Z23+Z24+Z25+Z26+Z27+Z28+Z29+Z30+Z31+Z32+Z33+Z34+Z35+Z36+Z37+Z38</f>
        <v>0</v>
      </c>
      <c r="AA39" s="431">
        <f t="shared" ref="AA39:AF39" si="25">SUM(AA9:AA38)</f>
        <v>0</v>
      </c>
      <c r="AB39" s="431">
        <f t="shared" si="25"/>
        <v>8</v>
      </c>
      <c r="AC39" s="431">
        <f t="shared" si="25"/>
        <v>0</v>
      </c>
      <c r="AD39" s="431">
        <f t="shared" si="25"/>
        <v>0</v>
      </c>
      <c r="AE39" s="431">
        <f t="shared" si="25"/>
        <v>0</v>
      </c>
      <c r="AF39" s="585">
        <f t="shared" si="25"/>
        <v>0</v>
      </c>
      <c r="AQ39" s="383"/>
      <c r="AR39" s="383"/>
      <c r="AS39" s="383"/>
      <c r="AT39" s="383"/>
      <c r="AU39" s="383"/>
      <c r="AV39" s="383"/>
      <c r="AW39" s="383"/>
      <c r="AX39" s="383"/>
      <c r="AY39" s="383"/>
      <c r="AZ39" s="383"/>
      <c r="BA39" s="1">
        <f>SUM(BA9:BA38)</f>
        <v>172</v>
      </c>
      <c r="BB39" s="180"/>
      <c r="BC39" s="431">
        <f>SUM(BC9:BC38)</f>
        <v>0</v>
      </c>
      <c r="BD39" s="431">
        <f>SUM(BD9:BD38)</f>
        <v>0</v>
      </c>
      <c r="BE39" s="431">
        <f>SUM(BE9:BE38)</f>
        <v>4.5</v>
      </c>
      <c r="BF39" s="431">
        <f>SUM(BF9:BF38)</f>
        <v>0</v>
      </c>
      <c r="BQ39" s="383"/>
      <c r="BR39" s="383"/>
      <c r="BS39" s="383"/>
      <c r="BT39" s="383"/>
      <c r="BU39" s="383"/>
      <c r="BV39" s="383"/>
      <c r="BW39" s="383"/>
      <c r="BX39" s="383"/>
      <c r="BY39" s="383"/>
      <c r="BZ39" s="383"/>
      <c r="CA39" s="431">
        <f>SUM(CA9:CA38)</f>
        <v>84.75</v>
      </c>
      <c r="CB39" s="431">
        <f>SUM(CB9:CB38)</f>
        <v>1</v>
      </c>
      <c r="CC39" s="431">
        <f>SUM(CC9:CC38)</f>
        <v>0</v>
      </c>
      <c r="CN39" s="383"/>
      <c r="CO39" s="383"/>
      <c r="CP39" s="383"/>
      <c r="CQ39" s="383"/>
      <c r="CR39" s="383"/>
      <c r="CS39" s="383"/>
      <c r="CT39" s="383"/>
      <c r="CU39" s="383"/>
      <c r="CV39" s="383"/>
      <c r="CW39" s="383"/>
      <c r="CX39" s="457"/>
      <c r="CY39" s="457">
        <f t="shared" ref="CY39:DG39" si="26">SUM(CY9:CY38)</f>
        <v>21</v>
      </c>
      <c r="CZ39" s="457">
        <f t="shared" si="26"/>
        <v>0</v>
      </c>
      <c r="DA39" s="457">
        <f t="shared" si="26"/>
        <v>0</v>
      </c>
      <c r="DB39" s="457">
        <f t="shared" si="26"/>
        <v>0</v>
      </c>
      <c r="DC39" s="457">
        <f t="shared" si="26"/>
        <v>1</v>
      </c>
      <c r="DD39" s="457">
        <f t="shared" si="26"/>
        <v>0</v>
      </c>
      <c r="DE39" s="457">
        <f t="shared" si="26"/>
        <v>0</v>
      </c>
      <c r="DF39" s="457">
        <f t="shared" si="26"/>
        <v>0</v>
      </c>
      <c r="DG39" s="457">
        <f t="shared" si="26"/>
        <v>22</v>
      </c>
    </row>
    <row r="40" spans="1:111" s="435" customFormat="1" ht="17" thickBot="1">
      <c r="A40" s="444"/>
      <c r="B40" s="444"/>
      <c r="C40" s="444"/>
      <c r="D40" s="444"/>
      <c r="E40" s="444"/>
      <c r="F40" s="444"/>
      <c r="G40" s="444"/>
      <c r="H40" s="444"/>
      <c r="I40" s="444"/>
      <c r="J40" s="444"/>
      <c r="K40" s="437"/>
      <c r="L40" s="437"/>
      <c r="M40" s="437"/>
      <c r="N40" s="437"/>
      <c r="O40" s="437"/>
      <c r="P40" s="437"/>
      <c r="Q40" s="437"/>
      <c r="R40" s="437"/>
      <c r="S40" s="437"/>
      <c r="T40" s="437"/>
      <c r="U40" s="437"/>
      <c r="V40" s="437"/>
      <c r="W40" s="437"/>
      <c r="X40" s="437"/>
      <c r="Y40" s="454"/>
      <c r="Z40" s="445"/>
      <c r="AA40" s="446"/>
      <c r="AB40" s="445"/>
      <c r="AC40" s="445"/>
      <c r="AD40" s="446"/>
      <c r="AE40" s="446"/>
      <c r="AF40" s="446"/>
      <c r="AG40" s="446"/>
      <c r="AR40" s="447"/>
      <c r="AS40" s="447"/>
      <c r="AT40" s="447"/>
      <c r="AU40" s="447"/>
      <c r="AV40" s="447"/>
      <c r="AW40" s="447"/>
      <c r="AX40" s="447"/>
      <c r="AY40" s="447"/>
      <c r="AZ40" s="447"/>
      <c r="BA40" s="447"/>
      <c r="BB40" s="447"/>
      <c r="BC40" s="446"/>
      <c r="BD40" s="446"/>
      <c r="BE40" s="446"/>
      <c r="BF40" s="446"/>
      <c r="BG40" s="448"/>
      <c r="BR40" s="447"/>
      <c r="BS40" s="447"/>
      <c r="BT40" s="447"/>
      <c r="BU40" s="447"/>
      <c r="BV40" s="447"/>
      <c r="BW40" s="447"/>
      <c r="BX40" s="447"/>
      <c r="BY40" s="447"/>
      <c r="BZ40" s="447"/>
      <c r="CA40" s="447"/>
      <c r="CB40" s="446"/>
      <c r="CC40" s="446"/>
      <c r="CD40" s="448"/>
      <c r="CO40" s="447"/>
      <c r="CP40" s="447"/>
      <c r="CQ40" s="447"/>
      <c r="CR40" s="447"/>
      <c r="CS40" s="447"/>
      <c r="CT40" s="447"/>
      <c r="CU40" s="447"/>
      <c r="CV40" s="447"/>
      <c r="CW40" s="447"/>
      <c r="CX40" s="458"/>
      <c r="CY40" s="458"/>
    </row>
    <row r="41" spans="1:111" ht="70" customHeight="1">
      <c r="A41" s="1138" t="str">
        <f>"Arbejdstid for "&amp;A7&amp;" måned:"</f>
        <v>Arbejdstid for November måned:</v>
      </c>
      <c r="B41" s="1139"/>
      <c r="C41" s="1139"/>
      <c r="D41" s="1139"/>
      <c r="E41" s="1139"/>
      <c r="F41" s="1139"/>
      <c r="G41" s="1139"/>
      <c r="H41" s="571" t="s">
        <v>303</v>
      </c>
      <c r="I41" s="1139" t="s">
        <v>264</v>
      </c>
      <c r="J41" s="1140"/>
      <c r="K41" s="1141"/>
      <c r="L41" s="472"/>
      <c r="M41" s="1196" t="str">
        <f>"Ulempetimer og weekendtimer i "&amp;A5&amp;""</f>
        <v>Ulempetimer og weekendtimer i November måneds kalender for: Beate Simonsen. Måneden vedr. normperioden: 01.08.2022 - 31.07.2023.</v>
      </c>
      <c r="N41" s="1197"/>
      <c r="O41" s="1197"/>
      <c r="P41" s="1197"/>
      <c r="Q41" s="1197"/>
      <c r="R41" s="1197"/>
      <c r="S41" s="1197"/>
      <c r="T41" s="1197"/>
      <c r="U41" s="1197"/>
      <c r="V41" s="1197"/>
      <c r="W41" s="1197"/>
      <c r="X41" s="1198"/>
      <c r="Y41" s="437"/>
      <c r="Z41" s="437"/>
      <c r="AD41" s="124"/>
      <c r="AE41" s="124"/>
      <c r="AZ41" s="436"/>
      <c r="BM41" s="1"/>
      <c r="CJ41" s="1"/>
      <c r="CU41" s="455"/>
      <c r="CV41" s="455"/>
      <c r="CY41"/>
      <c r="CZ41"/>
    </row>
    <row r="42" spans="1:111">
      <c r="A42" s="1105" t="s">
        <v>302</v>
      </c>
      <c r="B42" s="1106"/>
      <c r="C42" s="1106"/>
      <c r="D42" s="1106"/>
      <c r="E42" s="1106"/>
      <c r="F42" s="1106"/>
      <c r="G42" s="1106"/>
      <c r="H42" s="466">
        <f>D66</f>
        <v>22</v>
      </c>
      <c r="I42" s="1107">
        <f>IF(Stamoplysninger!$E$12="Ja",1924/Arbejdstidsoversigt!$K$9*Stamoplysninger!$E$15*$H$42,H42*7.4*Stamoplysninger!$E$13)</f>
        <v>162.17624521072798</v>
      </c>
      <c r="J42" s="1108"/>
      <c r="K42" s="1109"/>
      <c r="L42" s="468"/>
      <c r="M42" s="1167" t="s">
        <v>368</v>
      </c>
      <c r="N42" s="1168"/>
      <c r="O42" s="1168"/>
      <c r="P42" s="1168"/>
      <c r="Q42" s="1168"/>
      <c r="R42" s="1168"/>
      <c r="S42" s="1168"/>
      <c r="T42" s="1168"/>
      <c r="U42" s="1168"/>
      <c r="V42" s="1169">
        <f>M61+S60+T60+M64+M68+M62+N61+N68</f>
        <v>0</v>
      </c>
      <c r="W42" s="1169"/>
      <c r="X42" s="1170"/>
      <c r="Y42" s="437"/>
      <c r="Z42" s="437"/>
      <c r="AD42" s="124"/>
      <c r="AE42" s="124"/>
      <c r="AZ42" s="436"/>
      <c r="BM42" s="1"/>
      <c r="CJ42" s="1"/>
      <c r="CU42" s="455"/>
      <c r="CV42" s="455"/>
      <c r="CY42"/>
      <c r="CZ42"/>
    </row>
    <row r="43" spans="1:111">
      <c r="A43" s="1105" t="str">
        <f>"Ferie "&amp;A7&amp;" måned"</f>
        <v>Ferie November måned</v>
      </c>
      <c r="B43" s="1106"/>
      <c r="C43" s="1106"/>
      <c r="D43" s="1106"/>
      <c r="E43" s="1106"/>
      <c r="F43" s="1106"/>
      <c r="G43" s="1106"/>
      <c r="H43" s="467" t="str">
        <f>IF(D61&gt;0,$D$61,"0")</f>
        <v>0</v>
      </c>
      <c r="I43" s="1111">
        <f>H43*7.4*Stamoplysninger!$E$15</f>
        <v>0</v>
      </c>
      <c r="J43" s="1199"/>
      <c r="K43" s="1200"/>
      <c r="L43" s="468"/>
      <c r="M43" s="1171" t="s">
        <v>307</v>
      </c>
      <c r="N43" s="1172"/>
      <c r="O43" s="1172"/>
      <c r="P43" s="1172"/>
      <c r="Q43" s="1172"/>
      <c r="R43" s="1172"/>
      <c r="S43" s="1172"/>
      <c r="T43" s="1172"/>
      <c r="U43" s="1172"/>
      <c r="V43" s="1173">
        <f>M60+S59+T59+M63+M67+M59+N59+N67</f>
        <v>0</v>
      </c>
      <c r="W43" s="1173"/>
      <c r="X43" s="1174"/>
      <c r="Y43" s="437"/>
      <c r="Z43" s="437"/>
      <c r="AD43" s="124"/>
      <c r="AE43" s="124"/>
      <c r="AZ43" s="436"/>
      <c r="BM43" s="1"/>
      <c r="CJ43" s="1"/>
      <c r="CU43" s="455"/>
      <c r="CV43" s="455"/>
      <c r="CY43"/>
      <c r="CZ43"/>
    </row>
    <row r="44" spans="1:111">
      <c r="A44" s="1105" t="str">
        <f>"Søgnehelligdage i "&amp;A7&amp;" måned"</f>
        <v>Søgnehelligdage i November måned</v>
      </c>
      <c r="B44" s="1106"/>
      <c r="C44" s="1106"/>
      <c r="D44" s="1106"/>
      <c r="E44" s="1106"/>
      <c r="F44" s="1106"/>
      <c r="G44" s="1106"/>
      <c r="H44" s="467">
        <f>IF(D60&gt;0,D60,0)</f>
        <v>0</v>
      </c>
      <c r="I44" s="1110">
        <f>H44*7.4*Stamoplysninger!$E$15</f>
        <v>0</v>
      </c>
      <c r="J44" s="1111"/>
      <c r="K44" s="1112"/>
      <c r="L44" s="686"/>
      <c r="M44" s="1175" t="s">
        <v>347</v>
      </c>
      <c r="N44" s="1176"/>
      <c r="O44" s="1176"/>
      <c r="P44" s="1176"/>
      <c r="Q44" s="1176"/>
      <c r="R44" s="1176"/>
      <c r="S44" s="1176"/>
      <c r="T44" s="1176"/>
      <c r="U44" s="1176"/>
      <c r="V44" s="1186">
        <f>Oktober!V55</f>
        <v>0</v>
      </c>
      <c r="W44" s="1186"/>
      <c r="X44" s="1187"/>
      <c r="Y44" s="437"/>
      <c r="Z44" s="437"/>
      <c r="AD44" s="124"/>
      <c r="AE44" s="124"/>
      <c r="AZ44" s="436"/>
      <c r="BM44" s="1"/>
      <c r="CJ44" s="1"/>
      <c r="CU44" s="455"/>
      <c r="CV44" s="455"/>
      <c r="CY44"/>
      <c r="CZ44"/>
    </row>
    <row r="45" spans="1:111">
      <c r="A45" s="1105" t="str">
        <f>"Nettoarbejdstid ialt i "&amp;A7&amp;" måned"</f>
        <v>Nettoarbejdstid ialt i November måned</v>
      </c>
      <c r="B45" s="1106"/>
      <c r="C45" s="1106"/>
      <c r="D45" s="1106"/>
      <c r="E45" s="1106"/>
      <c r="F45" s="1106"/>
      <c r="G45" s="1106"/>
      <c r="H45" s="470">
        <f>H42-H43-H44</f>
        <v>22</v>
      </c>
      <c r="I45" s="1110">
        <f>I42-I43-I44</f>
        <v>162.17624521072798</v>
      </c>
      <c r="J45" s="1111"/>
      <c r="K45" s="1112"/>
      <c r="L45" s="686"/>
      <c r="M45" s="1134" t="s">
        <v>354</v>
      </c>
      <c r="N45" s="1135"/>
      <c r="O45" s="1135"/>
      <c r="P45" s="1135"/>
      <c r="Q45" s="1135"/>
      <c r="R45" s="1135"/>
      <c r="S45" s="1135"/>
      <c r="T45" s="1135"/>
      <c r="U45" s="1135"/>
      <c r="V45" s="1136">
        <f>V43+V44</f>
        <v>0</v>
      </c>
      <c r="W45" s="1136"/>
      <c r="X45" s="1137"/>
      <c r="Y45" s="437"/>
      <c r="Z45" s="437"/>
      <c r="AD45" s="124"/>
      <c r="AE45" s="124"/>
      <c r="AZ45" s="436"/>
      <c r="BM45" s="1"/>
      <c r="CJ45" s="1"/>
      <c r="CU45" s="455"/>
      <c r="CV45" s="455"/>
      <c r="CY45"/>
      <c r="CZ45"/>
    </row>
    <row r="46" spans="1:111">
      <c r="A46" s="1113" t="str">
        <f>"Planlagt arbejdstid efter ovennstående "&amp;A7&amp;" måned kalender"</f>
        <v>Planlagt arbejdstid efter ovennstående November måned kalender</v>
      </c>
      <c r="B46" s="1114"/>
      <c r="C46" s="1114"/>
      <c r="D46" s="1114"/>
      <c r="E46" s="1114"/>
      <c r="F46" s="1114"/>
      <c r="G46" s="1114"/>
      <c r="H46" s="866">
        <f>D52+D53+D54+D55+D56+D57+D58</f>
        <v>22</v>
      </c>
      <c r="I46" s="1115">
        <f>N39+R39-J55</f>
        <v>172</v>
      </c>
      <c r="J46" s="1116"/>
      <c r="K46" s="1117"/>
      <c r="L46" s="686"/>
      <c r="M46" s="1157" t="s">
        <v>345</v>
      </c>
      <c r="N46" s="1158"/>
      <c r="O46" s="1158"/>
      <c r="P46" s="1158"/>
      <c r="Q46" s="1158"/>
      <c r="R46" s="1158"/>
      <c r="S46" s="1158"/>
      <c r="T46" s="1158"/>
      <c r="U46" s="1158"/>
      <c r="V46" s="1158"/>
      <c r="W46" s="1158"/>
      <c r="X46" s="1159"/>
      <c r="Y46" s="437"/>
      <c r="Z46" s="437"/>
      <c r="AD46" s="124"/>
      <c r="AE46" s="124"/>
      <c r="AZ46" s="436"/>
      <c r="BM46" s="1"/>
      <c r="CJ46" s="1"/>
      <c r="CU46" s="455"/>
      <c r="CV46" s="455"/>
      <c r="CY46"/>
      <c r="CZ46"/>
    </row>
    <row r="47" spans="1:111">
      <c r="A47" s="1121" t="s">
        <v>574</v>
      </c>
      <c r="B47" s="1122"/>
      <c r="C47" s="1122"/>
      <c r="D47" s="1122"/>
      <c r="E47" s="1122"/>
      <c r="F47" s="1122"/>
      <c r="G47" s="1122"/>
      <c r="H47" s="1123"/>
      <c r="I47" s="1118">
        <f>(M59+M61+M69+M71+M65+M66+M70)*-1</f>
        <v>0</v>
      </c>
      <c r="J47" s="1119"/>
      <c r="K47" s="1120"/>
      <c r="L47" s="687"/>
      <c r="M47" s="1160" t="s">
        <v>633</v>
      </c>
      <c r="N47" s="1161"/>
      <c r="O47" s="1161"/>
      <c r="P47" s="1161"/>
      <c r="Q47" s="1161"/>
      <c r="R47" s="1161"/>
      <c r="S47" s="1161"/>
      <c r="T47" s="1161"/>
      <c r="U47" s="1161"/>
      <c r="V47" s="1162" t="s">
        <v>264</v>
      </c>
      <c r="W47" s="1162"/>
      <c r="X47" s="1163"/>
      <c r="Y47" s="437"/>
      <c r="Z47" s="437"/>
      <c r="AD47" s="124"/>
      <c r="AE47" s="124"/>
      <c r="AZ47" s="436"/>
      <c r="BM47" s="1"/>
      <c r="CJ47" s="1"/>
      <c r="CU47" s="455"/>
      <c r="CV47" s="455"/>
      <c r="CY47"/>
      <c r="CZ47"/>
    </row>
    <row r="48" spans="1:111">
      <c r="A48" s="1126" t="str">
        <f>"Arbejde særligt planlagt for "&amp;A7&amp;" måned efter fanen skemaoplysninger"</f>
        <v>Arbejde særligt planlagt for November måned efter fanen skemaoplysninger</v>
      </c>
      <c r="B48" s="1127"/>
      <c r="C48" s="1127"/>
      <c r="D48" s="1127"/>
      <c r="E48" s="1127"/>
      <c r="F48" s="1127"/>
      <c r="G48" s="1127"/>
      <c r="H48" s="1128"/>
      <c r="I48" s="1116">
        <f>Skemaoplysninger!N67</f>
        <v>0</v>
      </c>
      <c r="J48" s="1124"/>
      <c r="K48" s="1125"/>
      <c r="L48" s="688"/>
      <c r="M48" s="1147"/>
      <c r="N48" s="1148"/>
      <c r="O48" s="1148"/>
      <c r="P48" s="1148"/>
      <c r="Q48" s="1148"/>
      <c r="R48" s="1148"/>
      <c r="S48" s="1148"/>
      <c r="T48" s="1148"/>
      <c r="U48" s="1148"/>
      <c r="V48" s="1149"/>
      <c r="W48" s="1149"/>
      <c r="X48" s="1150"/>
      <c r="Y48"/>
      <c r="Z48" s="437"/>
      <c r="AA48" s="437"/>
      <c r="AB48" s="436"/>
      <c r="AD48" s="436"/>
      <c r="AG48" s="124"/>
      <c r="AH48" s="124"/>
      <c r="BA48" s="437"/>
      <c r="BB48" s="436"/>
      <c r="BO48" s="1"/>
      <c r="CL48" s="1"/>
      <c r="CV48" s="455"/>
      <c r="CW48" s="455"/>
      <c r="CY48"/>
      <c r="CZ48"/>
    </row>
    <row r="49" spans="1:109">
      <c r="A49" s="1142" t="s">
        <v>342</v>
      </c>
      <c r="B49" s="1143"/>
      <c r="C49" s="1143"/>
      <c r="D49" s="1143"/>
      <c r="E49" s="1143"/>
      <c r="F49" s="1143"/>
      <c r="G49" s="1143"/>
      <c r="H49" s="1143"/>
      <c r="I49" s="1194">
        <f>V39+X39-N56</f>
        <v>0</v>
      </c>
      <c r="J49" s="1118"/>
      <c r="K49" s="1195"/>
      <c r="L49" s="688"/>
      <c r="M49" s="1147"/>
      <c r="N49" s="1148"/>
      <c r="O49" s="1148"/>
      <c r="P49" s="1148"/>
      <c r="Q49" s="1148"/>
      <c r="R49" s="1148"/>
      <c r="S49" s="1148"/>
      <c r="T49" s="1148"/>
      <c r="U49" s="1148"/>
      <c r="V49" s="1149"/>
      <c r="W49" s="1149"/>
      <c r="X49" s="1150"/>
      <c r="Y49"/>
      <c r="Z49" s="437"/>
      <c r="AA49" s="437"/>
      <c r="AE49" s="124"/>
      <c r="AG49" s="124"/>
      <c r="BA49" s="436"/>
      <c r="BN49" s="1"/>
      <c r="CK49" s="1"/>
      <c r="CV49" s="455"/>
      <c r="CW49" s="455"/>
      <c r="CY49"/>
      <c r="CZ49"/>
    </row>
    <row r="50" spans="1:109" ht="17" thickBot="1">
      <c r="A50" s="471" t="str">
        <f>"Faktisk arbejdstid ialt i "&amp;A7&amp;" måned"</f>
        <v>Faktisk arbejdstid ialt i November måned</v>
      </c>
      <c r="B50" s="553"/>
      <c r="C50" s="554"/>
      <c r="D50" s="554"/>
      <c r="E50" s="554"/>
      <c r="F50" s="554"/>
      <c r="G50" s="554"/>
      <c r="H50" s="555"/>
      <c r="I50" s="1129">
        <f>I46+I49+I48+I47</f>
        <v>172</v>
      </c>
      <c r="J50" s="1130"/>
      <c r="K50" s="1131"/>
      <c r="L50" s="688"/>
      <c r="M50" s="1147"/>
      <c r="N50" s="1148"/>
      <c r="O50" s="1148"/>
      <c r="P50" s="1148"/>
      <c r="Q50" s="1148"/>
      <c r="R50" s="1148"/>
      <c r="S50" s="1148"/>
      <c r="T50" s="1148"/>
      <c r="U50" s="1148"/>
      <c r="V50" s="1149"/>
      <c r="W50" s="1149"/>
      <c r="X50" s="1150"/>
      <c r="Y50" s="437"/>
      <c r="Z50" s="437"/>
      <c r="AA50" s="387"/>
      <c r="AB50" s="454"/>
      <c r="AC50" s="454"/>
      <c r="AD50" s="454"/>
      <c r="AE50" s="437"/>
      <c r="AF50" s="454"/>
      <c r="AH50" s="437"/>
      <c r="AI50" s="437"/>
      <c r="AM50" s="124"/>
      <c r="AN50" s="124"/>
      <c r="BH50" s="436"/>
      <c r="BU50" s="1"/>
      <c r="CR50" s="1"/>
      <c r="CY50"/>
      <c r="CZ50"/>
      <c r="DC50" s="455"/>
      <c r="DD50" s="455"/>
    </row>
    <row r="51" spans="1:109">
      <c r="A51" s="761"/>
      <c r="B51" s="761"/>
      <c r="C51" s="761"/>
      <c r="D51" s="761"/>
      <c r="E51" s="761"/>
      <c r="F51" s="761"/>
      <c r="G51" s="761"/>
      <c r="H51" s="780"/>
      <c r="I51" s="459"/>
      <c r="J51" s="459"/>
      <c r="K51" s="473" t="s">
        <v>343</v>
      </c>
      <c r="L51" s="439"/>
      <c r="M51" s="1147"/>
      <c r="N51" s="1148"/>
      <c r="O51" s="1148"/>
      <c r="P51" s="1148"/>
      <c r="Q51" s="1148"/>
      <c r="R51" s="1148"/>
      <c r="S51" s="1148"/>
      <c r="T51" s="1148"/>
      <c r="U51" s="1148"/>
      <c r="V51" s="1149"/>
      <c r="W51" s="1149"/>
      <c r="X51" s="1150"/>
      <c r="Y51" s="437"/>
      <c r="Z51" s="437"/>
      <c r="AA51" s="387"/>
      <c r="AB51" s="454"/>
      <c r="AC51" s="454"/>
      <c r="AD51" s="454"/>
      <c r="AE51" s="437"/>
      <c r="AF51" s="454"/>
      <c r="AH51" s="437"/>
      <c r="AI51" s="437"/>
      <c r="AM51" s="124"/>
      <c r="AN51" s="124"/>
      <c r="BH51" s="436"/>
      <c r="BU51" s="1"/>
      <c r="CR51" s="1"/>
      <c r="CY51"/>
      <c r="CZ51"/>
      <c r="DC51" s="455"/>
      <c r="DD51" s="455"/>
    </row>
    <row r="52" spans="1:109">
      <c r="A52" s="683" t="s">
        <v>241</v>
      </c>
      <c r="B52" s="689"/>
      <c r="C52" s="689"/>
      <c r="D52" s="683">
        <f>COUNTIF([0]!November,"Skema 1")</f>
        <v>21</v>
      </c>
      <c r="E52" s="690"/>
      <c r="F52" s="576" t="s">
        <v>221</v>
      </c>
      <c r="G52" s="576">
        <f>COUNTIFS($B$9:$B$38,"ma",[0]!November,"Skema 1")</f>
        <v>4</v>
      </c>
      <c r="H52" s="576"/>
      <c r="I52" s="576"/>
      <c r="J52" s="577"/>
      <c r="K52" s="681"/>
      <c r="L52" s="681"/>
      <c r="M52" s="1147"/>
      <c r="N52" s="1148"/>
      <c r="O52" s="1148"/>
      <c r="P52" s="1148"/>
      <c r="Q52" s="1148"/>
      <c r="R52" s="1148"/>
      <c r="S52" s="1148"/>
      <c r="T52" s="1148"/>
      <c r="U52" s="1148"/>
      <c r="V52" s="1149"/>
      <c r="W52" s="1149"/>
      <c r="X52" s="1150"/>
      <c r="Y52" s="437"/>
      <c r="Z52" s="437"/>
      <c r="AA52" s="387"/>
      <c r="AB52" s="454"/>
      <c r="AC52" s="454"/>
      <c r="AD52" s="454"/>
      <c r="AE52" s="437"/>
      <c r="AF52" s="454"/>
      <c r="AH52" s="437"/>
      <c r="AI52" s="437"/>
      <c r="AM52" s="124"/>
      <c r="AN52" s="124"/>
      <c r="BH52" s="436"/>
      <c r="BU52" s="1"/>
      <c r="CR52" s="1"/>
      <c r="CY52"/>
      <c r="CZ52"/>
      <c r="DC52" s="455"/>
      <c r="DD52" s="455"/>
    </row>
    <row r="53" spans="1:109">
      <c r="A53" s="1188" t="s">
        <v>242</v>
      </c>
      <c r="B53" s="1188"/>
      <c r="C53" s="1188"/>
      <c r="D53" s="683">
        <f>COUNTIF([0]!November,"Skema 2")</f>
        <v>0</v>
      </c>
      <c r="E53" s="690"/>
      <c r="F53" s="576" t="s">
        <v>222</v>
      </c>
      <c r="G53" s="576">
        <f>COUNTIFS($B$9:$B$38,"ti",[0]!November,"Skema 1")</f>
        <v>5</v>
      </c>
      <c r="H53" s="576"/>
      <c r="I53" s="576"/>
      <c r="J53" s="577"/>
      <c r="K53" s="681"/>
      <c r="L53" s="681"/>
      <c r="M53" s="1147"/>
      <c r="N53" s="1148"/>
      <c r="O53" s="1148"/>
      <c r="P53" s="1148"/>
      <c r="Q53" s="1148"/>
      <c r="R53" s="1148"/>
      <c r="S53" s="1148"/>
      <c r="T53" s="1148"/>
      <c r="U53" s="1148"/>
      <c r="V53" s="1149"/>
      <c r="W53" s="1149"/>
      <c r="X53" s="1150"/>
      <c r="Y53" s="437"/>
      <c r="Z53" s="437"/>
      <c r="AA53" s="387"/>
      <c r="AB53" s="454"/>
      <c r="AC53" s="454"/>
      <c r="AD53" s="454"/>
      <c r="AE53" s="437"/>
      <c r="AF53" s="454"/>
      <c r="AH53" s="437"/>
      <c r="AI53" s="437"/>
      <c r="AM53" s="124"/>
      <c r="AN53" s="124"/>
      <c r="BH53" s="436"/>
      <c r="BU53" s="1"/>
      <c r="CR53" s="1"/>
      <c r="CY53"/>
      <c r="CZ53"/>
      <c r="DC53" s="455"/>
      <c r="DD53" s="455"/>
    </row>
    <row r="54" spans="1:109" ht="17" thickBot="1">
      <c r="A54" s="1188" t="s">
        <v>243</v>
      </c>
      <c r="B54" s="1188"/>
      <c r="C54" s="1188"/>
      <c r="D54" s="683">
        <f>COUNTIF([0]!November,"Skema 3")</f>
        <v>0</v>
      </c>
      <c r="E54" s="690"/>
      <c r="F54" s="576" t="s">
        <v>223</v>
      </c>
      <c r="G54" s="576">
        <f>COUNTIFS($B$9:$B$38,"on",[0]!November,"Skema 1")</f>
        <v>4</v>
      </c>
      <c r="H54" s="576"/>
      <c r="I54" s="576"/>
      <c r="J54" s="577"/>
      <c r="K54" s="681"/>
      <c r="L54" s="578"/>
      <c r="M54" s="1151" t="s">
        <v>346</v>
      </c>
      <c r="N54" s="1152"/>
      <c r="O54" s="1152"/>
      <c r="P54" s="1152"/>
      <c r="Q54" s="1152"/>
      <c r="R54" s="1152"/>
      <c r="S54" s="1152"/>
      <c r="T54" s="1152"/>
      <c r="U54" s="1153"/>
      <c r="V54" s="1154">
        <f>V45-SUM(V48:W53)</f>
        <v>0</v>
      </c>
      <c r="W54" s="1155"/>
      <c r="X54" s="1156"/>
      <c r="Y54" s="437"/>
      <c r="Z54" s="437"/>
      <c r="AA54" s="387"/>
      <c r="AB54" s="454"/>
      <c r="AC54" s="454"/>
      <c r="AD54" s="454"/>
      <c r="AE54" s="437"/>
      <c r="AF54" s="454"/>
      <c r="AH54" s="437"/>
      <c r="AI54" s="437"/>
      <c r="AM54" s="124"/>
      <c r="AN54" s="124"/>
      <c r="BH54" s="436"/>
      <c r="BU54" s="1"/>
      <c r="CR54" s="1"/>
      <c r="CY54"/>
      <c r="CZ54"/>
      <c r="DC54" s="455"/>
      <c r="DD54" s="455"/>
    </row>
    <row r="55" spans="1:109" hidden="1">
      <c r="A55" s="1188" t="s">
        <v>244</v>
      </c>
      <c r="B55" s="1188"/>
      <c r="C55" s="1188"/>
      <c r="D55" s="683">
        <f>COUNTIF([0]!November,"Skema 4")</f>
        <v>0</v>
      </c>
      <c r="E55" s="690"/>
      <c r="F55" s="576" t="s">
        <v>225</v>
      </c>
      <c r="G55" s="576">
        <f>COUNTIFS($B$9:$B$38,"to",[0]!November,"Skema 1")</f>
        <v>4</v>
      </c>
      <c r="H55" s="576"/>
      <c r="I55" s="883" t="s">
        <v>618</v>
      </c>
      <c r="J55" s="884">
        <f>IF(C9="Ikke relevant",R9,0)+IF(C10="Ikke relevant",R10,0)+IF(C11="Ikke relevant",R11,0)+IF(C12="Ikke relevant",R12,0)+IF(C12="Ikke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55" s="45"/>
      <c r="L55" s="578"/>
      <c r="M55" s="761" t="s">
        <v>378</v>
      </c>
      <c r="N55" s="761" t="s">
        <v>482</v>
      </c>
      <c r="O55" s="465"/>
      <c r="P55" s="465"/>
      <c r="Q55" s="465"/>
      <c r="R55" s="465"/>
      <c r="S55" s="465"/>
      <c r="T55" s="465"/>
      <c r="U55" s="465"/>
      <c r="V55" s="465"/>
      <c r="W55" s="465"/>
      <c r="X55" s="465"/>
      <c r="Y55" s="437"/>
      <c r="Z55" s="437"/>
      <c r="AA55" s="437"/>
      <c r="AB55" s="387"/>
      <c r="AC55" s="454"/>
      <c r="AD55" s="454"/>
      <c r="AE55" s="454"/>
      <c r="AF55" s="454"/>
      <c r="AG55" s="437"/>
      <c r="AI55" s="437"/>
      <c r="AJ55" s="437"/>
      <c r="AN55" s="124"/>
      <c r="AO55" s="124"/>
      <c r="BI55" s="436"/>
      <c r="BV55" s="1"/>
      <c r="CS55" s="1"/>
      <c r="CY55"/>
      <c r="CZ55"/>
      <c r="DD55" s="455"/>
      <c r="DE55" s="455"/>
    </row>
    <row r="56" spans="1:109" hidden="1">
      <c r="A56" s="683" t="s">
        <v>117</v>
      </c>
      <c r="B56" s="683"/>
      <c r="C56" s="683"/>
      <c r="D56" s="683">
        <f>COUNTIF([0]!November,"Fagdag")+COUNTIF([0]!November,"emnedag")</f>
        <v>1</v>
      </c>
      <c r="E56" s="690"/>
      <c r="F56" s="576" t="s">
        <v>224</v>
      </c>
      <c r="G56" s="576">
        <f>COUNTIFS($B$9:$B$38,"fr",[0]!November,"Skema 1")</f>
        <v>4</v>
      </c>
      <c r="H56" s="576"/>
      <c r="I56" s="578" t="s">
        <v>380</v>
      </c>
      <c r="J56" s="577"/>
      <c r="K56" s="578"/>
      <c r="L56" s="45"/>
      <c r="M56" s="754">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56" s="754">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56" s="754"/>
      <c r="P56" s="581"/>
      <c r="Q56" s="757" t="s">
        <v>382</v>
      </c>
      <c r="R56" s="459"/>
      <c r="S56" s="459"/>
      <c r="T56" s="459" t="s">
        <v>383</v>
      </c>
      <c r="U56" s="459"/>
      <c r="V56" s="459"/>
      <c r="W56" s="582"/>
      <c r="X56" s="582"/>
      <c r="Y56" s="437"/>
      <c r="Z56" s="437"/>
      <c r="AA56" s="437"/>
      <c r="AB56" s="387"/>
      <c r="AC56" s="454"/>
      <c r="AD56" s="454"/>
      <c r="AE56" s="454"/>
      <c r="AF56" s="387"/>
      <c r="AG56" s="437"/>
      <c r="AI56" s="437"/>
      <c r="AJ56" s="437"/>
      <c r="AN56" s="124"/>
      <c r="AO56" s="124"/>
      <c r="BI56" s="436"/>
      <c r="BV56" s="1"/>
      <c r="CS56" s="1"/>
      <c r="CY56"/>
      <c r="CZ56"/>
      <c r="DD56" s="455"/>
      <c r="DE56" s="455"/>
    </row>
    <row r="57" spans="1:109" hidden="1">
      <c r="A57" s="691" t="s">
        <v>116</v>
      </c>
      <c r="B57" s="683"/>
      <c r="C57" s="683"/>
      <c r="D57" s="683">
        <f>COUNTIF([0]!November,"Lejrskole")+COUNTIF([0]!November,"Ekskursion")</f>
        <v>0</v>
      </c>
      <c r="E57" s="690"/>
      <c r="F57" s="576"/>
      <c r="G57" s="576"/>
      <c r="H57" s="576"/>
      <c r="I57" s="578" t="s">
        <v>394</v>
      </c>
      <c r="J57" s="577"/>
      <c r="K57" s="578"/>
      <c r="L57" s="45"/>
      <c r="M57" s="754">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57" s="754">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57" s="755">
        <v>0.5</v>
      </c>
      <c r="P57" s="581"/>
      <c r="Q57" s="757" t="s">
        <v>379</v>
      </c>
      <c r="R57" s="459"/>
      <c r="S57" s="459"/>
      <c r="T57" s="459"/>
      <c r="U57" s="459"/>
      <c r="V57" s="459"/>
      <c r="W57" s="582"/>
      <c r="X57" s="582"/>
      <c r="Y57" s="437"/>
      <c r="Z57" s="437"/>
      <c r="AA57" s="437"/>
      <c r="AB57" s="387"/>
      <c r="AC57" s="454"/>
      <c r="AD57" s="454"/>
      <c r="AE57" s="454"/>
      <c r="AF57" s="387"/>
      <c r="AG57" s="437"/>
      <c r="AI57" s="437"/>
      <c r="AJ57" s="437"/>
      <c r="AN57" s="124"/>
      <c r="AO57" s="124"/>
      <c r="BI57" s="436"/>
      <c r="BV57" s="1"/>
      <c r="CS57" s="1"/>
      <c r="CY57"/>
      <c r="CZ57"/>
      <c r="DD57" s="455"/>
      <c r="DE57" s="455"/>
    </row>
    <row r="58" spans="1:109" hidden="1">
      <c r="A58" s="683" t="s">
        <v>115</v>
      </c>
      <c r="B58" s="683"/>
      <c r="C58" s="683"/>
      <c r="D58" s="683">
        <f>COUNTIF([0]!November,"Pæd.dag")</f>
        <v>0</v>
      </c>
      <c r="E58" s="690"/>
      <c r="F58" s="576" t="s">
        <v>226</v>
      </c>
      <c r="G58" s="576">
        <f>COUNTIFS($B$9:$B$38,"ma",[0]!November,"Skema 2")</f>
        <v>0</v>
      </c>
      <c r="H58" s="576"/>
      <c r="I58" s="576" t="s">
        <v>393</v>
      </c>
      <c r="J58" s="577"/>
      <c r="K58" s="45"/>
      <c r="L58" s="45"/>
      <c r="M58" s="754">
        <f>SUM(M56:M57)</f>
        <v>0</v>
      </c>
      <c r="N58" s="754">
        <f>SUM(N56:N57)</f>
        <v>0</v>
      </c>
      <c r="O58" s="756">
        <f>(M58+N58)/2</f>
        <v>0</v>
      </c>
      <c r="P58" s="581">
        <f>SUM(M58:O58)</f>
        <v>0</v>
      </c>
      <c r="Q58" s="757">
        <f>(M58+N58)*25%</f>
        <v>0</v>
      </c>
      <c r="R58" s="459"/>
      <c r="S58" s="459"/>
      <c r="T58" s="459"/>
      <c r="U58" s="459"/>
      <c r="V58" s="459"/>
      <c r="W58" s="582"/>
      <c r="X58" s="582"/>
      <c r="Y58" s="437"/>
      <c r="Z58" s="437"/>
      <c r="AA58" s="437"/>
      <c r="AB58" s="387"/>
      <c r="AC58" s="454"/>
      <c r="AD58" s="454"/>
      <c r="AE58" s="454"/>
      <c r="AF58" s="387"/>
      <c r="AG58" s="437"/>
      <c r="AI58" s="437"/>
      <c r="AJ58" s="437"/>
      <c r="AN58" s="124"/>
      <c r="AO58" s="124"/>
      <c r="BI58" s="436"/>
      <c r="BV58" s="1"/>
      <c r="CS58" s="1"/>
      <c r="CY58"/>
      <c r="CZ58"/>
      <c r="DD58" s="455"/>
      <c r="DE58" s="455"/>
    </row>
    <row r="59" spans="1:109" hidden="1">
      <c r="A59" s="683" t="s">
        <v>138</v>
      </c>
      <c r="B59" s="683"/>
      <c r="C59" s="683"/>
      <c r="D59" s="683">
        <f>COUNTIF([0]!November,"Weekend")</f>
        <v>8</v>
      </c>
      <c r="E59" s="690"/>
      <c r="F59" s="576" t="s">
        <v>227</v>
      </c>
      <c r="G59" s="576">
        <f>COUNTIFS($B$9:$B$38,"ti",[0]!November,"Skema 2")</f>
        <v>0</v>
      </c>
      <c r="H59" s="576"/>
      <c r="I59" s="576" t="s">
        <v>564</v>
      </c>
      <c r="J59" s="577"/>
      <c r="K59" s="45"/>
      <c r="L59" s="45"/>
      <c r="M59" s="858">
        <f>IF(Stamoplysninger!$B$26="Weekendtimer og weekendtillæg afspadseres.",M56,0)</f>
        <v>0</v>
      </c>
      <c r="N59" s="858">
        <f>IF(Stamoplysninger!$B$26="Weekendtimer og weekendtillæg afspadseres.",N56,0)</f>
        <v>0</v>
      </c>
      <c r="O59" s="754"/>
      <c r="P59" s="581"/>
      <c r="Q59" s="757" t="s">
        <v>384</v>
      </c>
      <c r="R59" s="459"/>
      <c r="S59" s="459">
        <f>IF(Stamoplysninger!B22="Ulempetillæg afspadseres med 25%(Kræver en aftale imellem ledelsen og den ansatte)",Q58,0)</f>
        <v>0</v>
      </c>
      <c r="T59" s="459">
        <f>IF(Stamoplysninger!B22="Ulempetillæg afspadseres med 25%(Kræver en aftale imellem ledelsen og den ansatte)",(R39+X39)*0.25,0)</f>
        <v>0</v>
      </c>
      <c r="U59" s="459"/>
      <c r="V59" s="459"/>
      <c r="W59" s="582"/>
      <c r="X59" s="582"/>
      <c r="Y59" s="436"/>
      <c r="Z59"/>
      <c r="AM59" s="1"/>
      <c r="BJ59" s="1"/>
      <c r="BU59" s="455"/>
      <c r="BV59" s="455"/>
      <c r="CY59"/>
      <c r="CZ59"/>
    </row>
    <row r="60" spans="1:109" hidden="1">
      <c r="A60" s="683" t="s">
        <v>146</v>
      </c>
      <c r="B60" s="683"/>
      <c r="C60" s="683"/>
      <c r="D60" s="683">
        <f>COUNTIF([0]!November,"SH-dag")</f>
        <v>0</v>
      </c>
      <c r="E60" s="690"/>
      <c r="F60" s="576" t="s">
        <v>228</v>
      </c>
      <c r="G60" s="576">
        <f>COUNTIFS($B$9:$B$38,"on",[0]!November,"Skema 2")</f>
        <v>0</v>
      </c>
      <c r="H60" s="576"/>
      <c r="I60" s="854" t="s">
        <v>565</v>
      </c>
      <c r="J60" s="854"/>
      <c r="K60" s="854"/>
      <c r="L60" s="854"/>
      <c r="M60" s="858">
        <f>IF(Stamoplysninger!$B$26="Weekendtimer og weekendtillæg afspadseres.",O58,0)</f>
        <v>0</v>
      </c>
      <c r="N60" s="858">
        <f>IF(Stamoplysninger!$B$26="Weekendtimer og weekendtillæg afspadseres.",O58,0)</f>
        <v>0</v>
      </c>
      <c r="O60" s="754"/>
      <c r="P60" s="581"/>
      <c r="Q60" s="757" t="s">
        <v>381</v>
      </c>
      <c r="R60" s="459"/>
      <c r="S60" s="459">
        <f>IF(Stamoplysninger!B22="Ulempetillæg udbetales med 25% af nettotimelønnen.",Q58,0)</f>
        <v>0</v>
      </c>
      <c r="T60" s="459">
        <f>IF(Stamoplysninger!B22="Ulempetillæg udbetales med 25% af nettotimelønnen.",(R39+X39)*0.25,0)</f>
        <v>0</v>
      </c>
      <c r="U60" s="459"/>
      <c r="V60" s="459"/>
      <c r="W60" s="582"/>
      <c r="X60" s="582"/>
      <c r="Y60" s="436"/>
      <c r="Z60"/>
      <c r="AM60" s="1"/>
      <c r="BJ60" s="1"/>
      <c r="BU60" s="455"/>
      <c r="BV60" s="455"/>
      <c r="CY60"/>
      <c r="CZ60"/>
    </row>
    <row r="61" spans="1:109" hidden="1">
      <c r="A61" s="683" t="s">
        <v>114</v>
      </c>
      <c r="B61" s="683"/>
      <c r="C61" s="683"/>
      <c r="D61" s="683">
        <f>COUNTIF([0]!November,"Feriedag")</f>
        <v>0</v>
      </c>
      <c r="E61" s="690"/>
      <c r="F61" s="576" t="s">
        <v>229</v>
      </c>
      <c r="G61" s="576">
        <f>COUNTIFS($B$9:$B$38,"to",[0]!November,"Skema 2")</f>
        <v>0</v>
      </c>
      <c r="H61" s="576"/>
      <c r="I61" s="854" t="s">
        <v>566</v>
      </c>
      <c r="J61" s="854"/>
      <c r="K61" s="854"/>
      <c r="L61" s="854"/>
      <c r="M61" s="859">
        <f>IF(Stamoplysninger!$B$26="Weekendtimer og weekendtillæg udbetales.",M56,0)</f>
        <v>0</v>
      </c>
      <c r="N61" s="859">
        <f>IF(Stamoplysninger!$B$26="Weekendtimer og weekendtillæg udbetales.",N56,0)</f>
        <v>0</v>
      </c>
      <c r="O61" s="754"/>
      <c r="P61" s="581"/>
      <c r="Q61" s="757"/>
      <c r="R61" s="459"/>
      <c r="S61" s="459"/>
      <c r="T61" s="459"/>
      <c r="U61" s="459"/>
      <c r="V61" s="459"/>
      <c r="W61" s="582"/>
      <c r="X61" s="582"/>
      <c r="Y61" s="436"/>
      <c r="Z61"/>
      <c r="AM61" s="1"/>
      <c r="BJ61" s="1"/>
      <c r="BU61" s="455"/>
      <c r="BV61" s="455"/>
      <c r="CY61"/>
      <c r="CZ61"/>
    </row>
    <row r="62" spans="1:109" hidden="1">
      <c r="A62" s="683" t="s">
        <v>210</v>
      </c>
      <c r="B62" s="683"/>
      <c r="C62" s="683"/>
      <c r="D62" s="683">
        <f>COUNTIF([0]!November,"Nul-dag")</f>
        <v>0</v>
      </c>
      <c r="E62" s="690"/>
      <c r="F62" s="576" t="s">
        <v>230</v>
      </c>
      <c r="G62" s="576">
        <f>COUNTIFS($B$9:$B$38,"fr",[0]!November,"Skema 2")</f>
        <v>0</v>
      </c>
      <c r="H62" s="576"/>
      <c r="I62" s="854" t="s">
        <v>567</v>
      </c>
      <c r="J62" s="854"/>
      <c r="K62" s="854"/>
      <c r="L62" s="854"/>
      <c r="M62" s="859">
        <f>IF(Stamoplysninger!$B$26="Weekendtimer og weekendtillæg udbetales.",O58,0)</f>
        <v>0</v>
      </c>
      <c r="N62" s="859">
        <f>IF(Stamoplysninger!$B$26="Weekendtimer og weekendtillæg udbetales.",O58,0)</f>
        <v>0</v>
      </c>
      <c r="O62" s="754"/>
      <c r="P62" s="581"/>
      <c r="Q62" s="757"/>
      <c r="R62" s="459"/>
      <c r="S62" s="459"/>
      <c r="T62" s="459"/>
      <c r="U62" s="459"/>
      <c r="V62" s="459"/>
      <c r="W62" s="582"/>
      <c r="X62" s="582"/>
      <c r="Y62" s="436"/>
      <c r="Z62"/>
      <c r="AM62" s="1"/>
      <c r="BJ62" s="1"/>
      <c r="BU62" s="455"/>
      <c r="BV62" s="455"/>
      <c r="CY62"/>
      <c r="CZ62"/>
    </row>
    <row r="63" spans="1:109" hidden="1">
      <c r="A63" s="841" t="s">
        <v>505</v>
      </c>
      <c r="B63" s="683"/>
      <c r="C63" s="683"/>
      <c r="D63" s="683">
        <f>COUNTIF([0]!November,"Orlov")</f>
        <v>0</v>
      </c>
      <c r="E63" s="690"/>
      <c r="F63" s="692"/>
      <c r="G63" s="692"/>
      <c r="H63" s="692"/>
      <c r="I63" s="854" t="s">
        <v>385</v>
      </c>
      <c r="J63" s="854"/>
      <c r="K63" s="854"/>
      <c r="L63" s="854"/>
      <c r="M63" s="860">
        <f>IF(Stamoplysninger!$B$26="Der er indgået lokalaftale omkring weekendtimer.(Kræver aftale med TR/FSL) Weekendtillæg afspadseres.",O58,0)</f>
        <v>0</v>
      </c>
      <c r="N63" s="860">
        <f>IF(Stamoplysninger!$B$26="Der er indgået lokalaftale omkring weekendtimer.(Kræver aftale med TR/FSL) Weekendtillæg afspadseres.",N56,0)</f>
        <v>0</v>
      </c>
      <c r="O63" s="754"/>
      <c r="P63" s="581"/>
      <c r="Q63" s="757"/>
      <c r="R63" s="459"/>
      <c r="S63" s="459"/>
      <c r="T63" s="459"/>
      <c r="U63" s="459"/>
      <c r="V63" s="459"/>
      <c r="W63" s="582"/>
      <c r="X63" s="582"/>
      <c r="Y63"/>
      <c r="Z63"/>
      <c r="AM63" s="1"/>
      <c r="BJ63" s="1"/>
      <c r="BU63" s="455"/>
      <c r="BV63" s="455"/>
      <c r="CY63"/>
      <c r="CZ63"/>
    </row>
    <row r="64" spans="1:109" hidden="1">
      <c r="A64" s="683" t="s">
        <v>185</v>
      </c>
      <c r="B64" s="683"/>
      <c r="C64" s="683"/>
      <c r="D64" s="683">
        <f>COUNTIF([0]!November,"Ikke relevant")</f>
        <v>0</v>
      </c>
      <c r="E64" s="690"/>
      <c r="F64" s="576" t="s">
        <v>231</v>
      </c>
      <c r="G64" s="576">
        <f>COUNTIFS($B$9:$B$38,"ma",[0]!November,"Skema 3")</f>
        <v>0</v>
      </c>
      <c r="H64" s="576">
        <v>1</v>
      </c>
      <c r="I64" s="854" t="s">
        <v>386</v>
      </c>
      <c r="J64" s="854"/>
      <c r="K64" s="854"/>
      <c r="L64" s="854"/>
      <c r="M64" s="860">
        <f>IF(Stamoplysninger!$B$26="Der er indgået lokalaftale omkring weekendtimer(Kræver aftale med TR/FSL). Weekendtillæg udbetales.",O58,0)</f>
        <v>0</v>
      </c>
      <c r="N64" s="860">
        <f>IF(Stamoplysninger!$B$26="Der er indgået lokalaftale omkring weekendtimer(Kræver aftale med TR/FSL). Weekendtillæg udbetales.",N56,0)</f>
        <v>0</v>
      </c>
      <c r="O64" s="754"/>
      <c r="P64" s="581"/>
      <c r="Q64" s="757"/>
      <c r="R64" s="459"/>
      <c r="S64" s="459"/>
      <c r="T64" s="459"/>
      <c r="U64" s="459"/>
      <c r="V64" s="459"/>
      <c r="W64" s="582"/>
      <c r="X64" s="582"/>
      <c r="Y64"/>
      <c r="Z64"/>
      <c r="AM64" s="1"/>
      <c r="BJ64" s="1"/>
      <c r="BU64" s="455"/>
      <c r="BV64" s="455"/>
      <c r="CY64"/>
      <c r="CZ64"/>
    </row>
    <row r="65" spans="1:104" hidden="1">
      <c r="A65" s="683" t="s">
        <v>113</v>
      </c>
      <c r="B65" s="683"/>
      <c r="C65" s="683"/>
      <c r="D65" s="693">
        <f>SUM(D52:D64)</f>
        <v>30</v>
      </c>
      <c r="E65" s="693"/>
      <c r="F65" s="576" t="s">
        <v>232</v>
      </c>
      <c r="G65" s="576">
        <f>COUNTIFS($B$9:$B$38,"ti",[0]!November,"Skema 3")</f>
        <v>0</v>
      </c>
      <c r="H65" s="576">
        <v>2</v>
      </c>
      <c r="I65" s="854" t="s">
        <v>569</v>
      </c>
      <c r="J65" s="854"/>
      <c r="K65" s="854"/>
      <c r="L65" s="854"/>
      <c r="M65" s="860">
        <f>IF(Stamoplysninger!$B$26="Der er indgået lokalaftale omkring weekendtimer.(Kræver aftale med TR/FSL) Weekendtillæg afspadseres.",M56,0)</f>
        <v>0</v>
      </c>
      <c r="N65" s="860">
        <f>IF(Stamoplysninger!$B$26="Der er indgået lokalaftale omkring weekendtimer.(Kræver aftale med TR/FSL) Weekendtillæg afspadseres.",O58,0)</f>
        <v>0</v>
      </c>
      <c r="O65" s="45"/>
      <c r="P65" s="45"/>
      <c r="Q65" s="45"/>
      <c r="R65" s="45"/>
      <c r="S65" s="45"/>
      <c r="T65" s="45"/>
      <c r="U65" s="580"/>
      <c r="V65" s="180"/>
      <c r="W65" s="580"/>
      <c r="X65" s="580"/>
      <c r="Y65"/>
      <c r="Z65"/>
      <c r="AO65" s="1"/>
      <c r="BL65" s="1"/>
      <c r="BW65" s="455"/>
      <c r="BX65" s="455"/>
      <c r="CY65"/>
      <c r="CZ65"/>
    </row>
    <row r="66" spans="1:104" hidden="1">
      <c r="A66" s="683" t="s">
        <v>282</v>
      </c>
      <c r="B66" s="683"/>
      <c r="C66" s="683"/>
      <c r="D66" s="693">
        <f>D65-D59-A75-D64</f>
        <v>22</v>
      </c>
      <c r="E66" s="695"/>
      <c r="F66" s="576" t="s">
        <v>233</v>
      </c>
      <c r="G66" s="576">
        <f>COUNTIFS($B$9:$B$38,"on",[0]!November,"Skema 3")</f>
        <v>0</v>
      </c>
      <c r="H66" s="576"/>
      <c r="I66" s="854" t="s">
        <v>570</v>
      </c>
      <c r="J66" s="854"/>
      <c r="K66" s="854"/>
      <c r="L66" s="854"/>
      <c r="M66" s="860">
        <f>IF(Stamoplysninger!$B$26="Der er indgået lokalaftale omkring weekendtimer(Kræver aftale med TR/FSL). Weekendtillæg udbetales.",M56,0)</f>
        <v>0</v>
      </c>
      <c r="N66" s="860">
        <f>IF(Stamoplysninger!$B$26="Der er indgået lokalaftale omkring weekendtimer(Kræver aftale med TR/FSL). Weekendtillæg udbetales.",O58,0)</f>
        <v>0</v>
      </c>
      <c r="O66" s="580"/>
      <c r="P66" s="580"/>
      <c r="Q66" s="580"/>
      <c r="R66" s="580"/>
      <c r="S66" s="580"/>
      <c r="T66" s="580"/>
      <c r="U66" s="580"/>
      <c r="V66" s="580"/>
      <c r="W66" s="580"/>
      <c r="X66" s="580"/>
      <c r="Y66"/>
      <c r="Z66"/>
      <c r="AO66" s="1"/>
      <c r="BL66" s="1"/>
      <c r="BW66" s="455"/>
      <c r="BX66" s="455"/>
      <c r="CY66"/>
      <c r="CZ66"/>
    </row>
    <row r="67" spans="1:104" hidden="1">
      <c r="A67" s="576"/>
      <c r="B67" s="576"/>
      <c r="C67" s="576"/>
      <c r="D67" s="694"/>
      <c r="E67" s="576"/>
      <c r="F67" s="576" t="s">
        <v>234</v>
      </c>
      <c r="G67" s="576">
        <f>COUNTIFS($B$9:$B$38,"to",[0]!November,"Skema 3")</f>
        <v>0</v>
      </c>
      <c r="H67" s="576"/>
      <c r="I67" s="854" t="s">
        <v>387</v>
      </c>
      <c r="J67" s="854"/>
      <c r="K67" s="854"/>
      <c r="L67" s="854"/>
      <c r="M67" s="862">
        <f>IF(Stamoplysninger!$B$26="Der er indgået lokalaftale omkring weekendtillæg(Kræver aftale med TR/FSL). Weekendtimerne afspadseres.",M56,0)</f>
        <v>0</v>
      </c>
      <c r="N67" s="862">
        <f>IF(Stamoplysninger!$B$26="Der er indgået lokalaftale omkring weekendtillæg(Kræver aftale med TR/FSL). Weekendtimerne afspadseres.",N56,0)</f>
        <v>0</v>
      </c>
      <c r="O67" s="580"/>
      <c r="P67" s="580"/>
      <c r="Q67" s="580"/>
      <c r="R67" s="580"/>
      <c r="S67" s="580"/>
      <c r="T67" s="580"/>
      <c r="U67" s="580"/>
      <c r="V67" s="580"/>
      <c r="W67" s="580"/>
      <c r="X67" s="580"/>
      <c r="Y67"/>
      <c r="Z67"/>
      <c r="AO67" s="1"/>
      <c r="BL67" s="1"/>
      <c r="BW67" s="455"/>
      <c r="BX67" s="455"/>
      <c r="CY67"/>
      <c r="CZ67"/>
    </row>
    <row r="68" spans="1:104" hidden="1">
      <c r="A68" s="576"/>
      <c r="B68" s="576"/>
      <c r="C68" s="576"/>
      <c r="D68" s="694"/>
      <c r="E68" s="576"/>
      <c r="F68" s="576" t="s">
        <v>235</v>
      </c>
      <c r="G68" s="576">
        <f>COUNTIFS($B$9:$B$38,"fr",[0]!November,"Skema 3")</f>
        <v>0</v>
      </c>
      <c r="H68" s="576">
        <v>1</v>
      </c>
      <c r="I68" s="854" t="s">
        <v>388</v>
      </c>
      <c r="J68" s="854"/>
      <c r="K68" s="854"/>
      <c r="L68" s="854"/>
      <c r="M68" s="862">
        <f>IF(Stamoplysninger!$B$26="Der er indgået lokalaftale omkring weekendtillæg(Kræver aftale med TR/FSL). Weekendtimerne udbetales.",M56,0)</f>
        <v>0</v>
      </c>
      <c r="N68" s="862">
        <f>IF(Stamoplysninger!$B$26="Der er indgået lokalaftale omkring weekendtillæg(Kræver aftale med TR/FSL). Weekendtimerne udbetales.",N56,0)</f>
        <v>0</v>
      </c>
      <c r="O68" s="580"/>
      <c r="P68" s="580"/>
      <c r="Q68" s="580"/>
      <c r="R68" s="580"/>
      <c r="S68" s="580"/>
      <c r="T68" s="580"/>
      <c r="U68" s="580"/>
      <c r="V68" s="580"/>
      <c r="W68" s="580"/>
      <c r="X68" s="580"/>
      <c r="Y68"/>
      <c r="Z68"/>
      <c r="AO68" s="1"/>
      <c r="BL68" s="1"/>
      <c r="BW68" s="455"/>
      <c r="BX68" s="455"/>
      <c r="CY68"/>
      <c r="CZ68"/>
    </row>
    <row r="69" spans="1:104" hidden="1">
      <c r="A69" s="576" t="s">
        <v>344</v>
      </c>
      <c r="B69" s="576"/>
      <c r="C69" s="576"/>
      <c r="D69" s="694"/>
      <c r="E69" s="694"/>
      <c r="F69" s="576"/>
      <c r="G69" s="576"/>
      <c r="H69" s="576">
        <v>2</v>
      </c>
      <c r="I69" s="854" t="s">
        <v>571</v>
      </c>
      <c r="J69" s="854"/>
      <c r="K69" s="854"/>
      <c r="L69" s="854"/>
      <c r="M69" s="862">
        <f>IF(Stamoplysninger!$B$26="Der er indgået lokalaftale omkring weekendtillæg(Kræver aftale med TR/FSL). Weekendtimerne afspadseres.",M56,0)</f>
        <v>0</v>
      </c>
      <c r="N69" s="862">
        <f>IF(Stamoplysninger!$B$26="Der er indgået lokalaftale omkring weekendtillæg(Kræver aftale med TR/FSL). Weekendtimerne afspadseres.",N56,0)</f>
        <v>0</v>
      </c>
      <c r="O69" s="580"/>
      <c r="P69" s="580"/>
      <c r="Q69" s="580"/>
      <c r="R69" s="580"/>
      <c r="S69" s="580"/>
      <c r="T69" s="580"/>
      <c r="U69" s="580"/>
      <c r="V69" s="580"/>
      <c r="W69" s="580"/>
      <c r="X69" s="580"/>
      <c r="Y69"/>
      <c r="Z69"/>
      <c r="AO69" s="1"/>
      <c r="BL69" s="1"/>
      <c r="BW69" s="455"/>
      <c r="BX69" s="455"/>
      <c r="CY69"/>
      <c r="CZ69"/>
    </row>
    <row r="70" spans="1:104" hidden="1">
      <c r="A70" s="576">
        <f>COUNTIF($C$13:$C$14,"Skema 1")+COUNTIF($C$13:$C$14,"Skema 2")+COUNTIF($C$13:$C$14,"Skema 3")+COUNTIF($C$13:$C$14,"Skema 4")+COUNTIF($C$13:$C$14,"Fagdag")+COUNTIF($C$13:$C$14,"Emnedag")+COUNTIF($C$13:$C$14,"Lejrskole")+COUNTIF($C$13:$C$14,"Ekskursion")+COUNTIF($C$13:$C$14,"Pæd.dag")</f>
        <v>0</v>
      </c>
      <c r="B70" s="576"/>
      <c r="C70" s="576"/>
      <c r="D70" s="576"/>
      <c r="E70" s="694"/>
      <c r="F70" s="576" t="s">
        <v>236</v>
      </c>
      <c r="G70" s="576">
        <f>COUNTIFS($B$9:$B$38,"ma",[0]!November,"Skema 4")</f>
        <v>0</v>
      </c>
      <c r="H70" s="576"/>
      <c r="I70" s="854" t="s">
        <v>572</v>
      </c>
      <c r="J70" s="854"/>
      <c r="K70" s="854"/>
      <c r="L70" s="854"/>
      <c r="M70" s="862">
        <f>IF(Stamoplysninger!$B$26="Der er indgået lokalaftale omkring weekendtillæg(Kræver aftale med TR/FSL). Weekendtimerne udbetales.",M56,0)</f>
        <v>0</v>
      </c>
      <c r="N70" s="862">
        <f>IF(Stamoplysninger!$B$26="Der er indgået lokalaftale omkring weekendtillæg(Kræver aftale med TR/FSL). Weekendtimerne udbetales.",N56,0)</f>
        <v>0</v>
      </c>
      <c r="O70" s="580"/>
      <c r="P70" s="580"/>
      <c r="Q70" s="580"/>
      <c r="R70" s="580"/>
      <c r="S70" s="580"/>
      <c r="T70" s="580"/>
      <c r="U70" s="580"/>
      <c r="V70" s="580"/>
      <c r="W70" s="580"/>
      <c r="X70" s="580"/>
      <c r="Y70"/>
      <c r="Z70"/>
      <c r="AO70" s="1"/>
      <c r="BL70" s="1"/>
      <c r="BW70" s="455"/>
      <c r="BX70" s="455"/>
      <c r="CY70"/>
      <c r="CZ70"/>
    </row>
    <row r="71" spans="1:104" hidden="1">
      <c r="A71" s="576">
        <f>COUNTIF($C$20:$C$21,"Skema 1")+COUNTIF($C$20:$C$21,"Skema 2")+COUNTIF($C$20:$C$21,"Skema 3")+COUNTIF($C$20:$C$21,"Skema 4")+COUNTIF($C$20:$C$21,"Fagdag")+COUNTIF($C$20:$C$21,"Emnedag")+COUNTIF($C$20:$C$21,"Lejrskole")+COUNTIF($C$20:$C$21,"Ekskursion")+COUNTIF($C$20:$C$21,"Pæd.dag")</f>
        <v>0</v>
      </c>
      <c r="B71" s="576"/>
      <c r="C71" s="576"/>
      <c r="D71" s="576"/>
      <c r="E71" s="694"/>
      <c r="F71" s="576" t="s">
        <v>237</v>
      </c>
      <c r="G71" s="576">
        <f>COUNTIFS($B$9:$B$38,"ti",[0]!November,"Skema 4")</f>
        <v>0</v>
      </c>
      <c r="H71" s="576"/>
      <c r="I71" s="576" t="s">
        <v>568</v>
      </c>
      <c r="J71" s="45"/>
      <c r="K71" s="45"/>
      <c r="L71" s="45"/>
      <c r="M71" s="754">
        <f>IF(Stamoplysninger!$B$26="Der er indgået lokalaftale omkring weekendtimer og weekendtillæg.(Kræver aftale med TR/FSL).",M56,0)</f>
        <v>0</v>
      </c>
      <c r="N71" s="754"/>
      <c r="O71" s="580"/>
      <c r="P71" s="580"/>
      <c r="Q71" s="580"/>
      <c r="R71" s="580"/>
      <c r="S71" s="580"/>
      <c r="T71" s="580"/>
      <c r="V71" s="580"/>
      <c r="W71" s="580"/>
      <c r="X71" s="580"/>
      <c r="Y71"/>
      <c r="Z71"/>
      <c r="AO71" s="1"/>
      <c r="BL71" s="1"/>
      <c r="BW71" s="455"/>
      <c r="BX71" s="455"/>
      <c r="CY71"/>
      <c r="CZ71"/>
    </row>
    <row r="72" spans="1:104">
      <c r="A72" s="576">
        <f>COUNTIF($C$27:$C$28,"Skema 1")+COUNTIF($C$27:$C$28,"Skema 2")+COUNTIF($C$27:$C$28,"Skema 3")+COUNTIF($C$27:$C$28,"Skema 4")+COUNTIF($C$27:$C$28,"Fagdag")+COUNTIF($C$27:$C$28,"Emnedag")+COUNTIF($C$27:$C$28,"Lejrskole")+COUNTIF($C$27:$C$28,"Ekskursion")+COUNTIF($C$27:$C$28,"Pæd.dag")</f>
        <v>0</v>
      </c>
      <c r="B72" s="576"/>
      <c r="C72" s="576"/>
      <c r="D72" s="576"/>
      <c r="E72" s="694"/>
      <c r="F72" s="576" t="s">
        <v>238</v>
      </c>
      <c r="G72" s="576">
        <f>COUNTIFS($B$9:$B$38,"on",[0]!November,"Skema 4")</f>
        <v>0</v>
      </c>
      <c r="H72" s="576"/>
      <c r="I72" s="576"/>
      <c r="J72" s="45"/>
      <c r="K72" s="45"/>
      <c r="L72" s="45"/>
      <c r="S72" s="580"/>
      <c r="T72" s="580"/>
      <c r="U72" s="580"/>
      <c r="V72" s="580"/>
      <c r="W72" s="580"/>
      <c r="X72" s="580"/>
      <c r="Y72"/>
      <c r="Z72"/>
      <c r="AO72" s="1"/>
      <c r="BL72" s="1"/>
      <c r="BW72" s="455"/>
      <c r="BX72" s="455"/>
      <c r="CY72"/>
      <c r="CZ72"/>
    </row>
    <row r="73" spans="1:104">
      <c r="A73" s="576">
        <f>COUNTIF($C$34:$C$35,"Skema 1")+COUNTIF(C$34:$C$35,"Skema 2")+COUNTIF(C$34:$C$35,"Skema 3")+COUNTIF(C$34:$C$35,"Skema 4")+COUNTIF(C$34:$C$35,"Fagdag")+COUNTIF(C$34:$C$35,"Emnedag")+COUNTIF(C$34:$C$35,"Lejrskole")+COUNTIF(C$34:$C$35,"Ekskursion")+COUNTIF(C$34:$C$35,"Pæd.dag")</f>
        <v>0</v>
      </c>
      <c r="B73" s="576"/>
      <c r="C73" s="576"/>
      <c r="D73" s="576"/>
      <c r="E73" s="694"/>
      <c r="F73" s="576" t="s">
        <v>239</v>
      </c>
      <c r="G73" s="576">
        <f>COUNTIFS($B$9:$B$38,"to",[0]!November,"Skema 4")</f>
        <v>0</v>
      </c>
      <c r="H73" s="576"/>
      <c r="I73" s="576"/>
      <c r="J73" s="45"/>
      <c r="K73" s="45"/>
      <c r="L73" s="45"/>
      <c r="Y73"/>
      <c r="Z73"/>
      <c r="AO73" s="1">
        <f>SUM(N73:AN73)</f>
        <v>0</v>
      </c>
      <c r="BL73" s="1">
        <f>SUM(AI73:BK73)</f>
        <v>0</v>
      </c>
      <c r="BW73" s="455"/>
      <c r="BX73" s="455"/>
      <c r="CY73"/>
      <c r="CZ73"/>
    </row>
    <row r="74" spans="1:104">
      <c r="A74" s="576"/>
      <c r="B74" s="576"/>
      <c r="C74" s="576"/>
      <c r="D74" s="576"/>
      <c r="E74" s="694"/>
      <c r="F74" s="576" t="s">
        <v>240</v>
      </c>
      <c r="G74" s="576">
        <f>COUNTIFS($B$9:$B$38,"fr",[0]!November,"Skema 4")</f>
        <v>0</v>
      </c>
      <c r="H74" s="576"/>
      <c r="I74" s="45"/>
      <c r="J74" s="45"/>
      <c r="K74" s="45"/>
      <c r="L74" s="45"/>
      <c r="Y74"/>
      <c r="Z74"/>
      <c r="AO74" s="1">
        <f>SUM(N74:AN74)</f>
        <v>0</v>
      </c>
      <c r="BL74" s="1">
        <f>SUM(AI74:BK74)</f>
        <v>0</v>
      </c>
      <c r="BW74" s="455"/>
      <c r="BX74" s="455"/>
      <c r="CY74"/>
      <c r="CZ74"/>
    </row>
    <row r="75" spans="1:104">
      <c r="A75" s="576">
        <f>SUM(A70:A74)</f>
        <v>0</v>
      </c>
      <c r="B75" s="576"/>
      <c r="C75" s="576"/>
      <c r="D75" s="576"/>
      <c r="E75" s="694"/>
      <c r="F75" s="694"/>
      <c r="G75" s="697">
        <f>SUM(G52:G74)</f>
        <v>21</v>
      </c>
      <c r="H75" s="45"/>
      <c r="I75" s="45"/>
      <c r="J75" s="45"/>
      <c r="K75" s="45"/>
      <c r="L75" s="45"/>
      <c r="Y75"/>
      <c r="Z75"/>
      <c r="AO75" s="1">
        <f>SUM(N75:AN75)</f>
        <v>0</v>
      </c>
      <c r="BL75" s="1">
        <f>SUM(AI75:BK75)</f>
        <v>0</v>
      </c>
      <c r="BW75" s="455"/>
      <c r="BX75" s="455"/>
      <c r="CY75"/>
      <c r="CZ75"/>
    </row>
    <row r="76" spans="1:104">
      <c r="A76" s="696"/>
      <c r="B76" s="696"/>
      <c r="C76" s="696"/>
      <c r="D76" s="696"/>
      <c r="E76" s="842"/>
      <c r="F76" s="842"/>
      <c r="G76" s="842"/>
      <c r="H76" s="45"/>
      <c r="I76" s="45"/>
      <c r="J76" s="45"/>
      <c r="K76" s="45"/>
      <c r="L76" s="45"/>
      <c r="Y76"/>
      <c r="Z76"/>
      <c r="AO76" s="1">
        <f>SUM(N76:AN76)</f>
        <v>0</v>
      </c>
      <c r="BL76" s="1">
        <f>SUM(AI76:BK76)</f>
        <v>0</v>
      </c>
      <c r="BW76" s="455"/>
      <c r="BX76" s="455"/>
      <c r="CY76"/>
      <c r="CZ76"/>
    </row>
    <row r="77" spans="1:104">
      <c r="A77" s="45"/>
      <c r="B77" s="45"/>
      <c r="C77" s="45"/>
      <c r="D77" s="45"/>
      <c r="E77" s="842"/>
      <c r="F77" s="842"/>
      <c r="G77" s="842"/>
      <c r="H77" s="45"/>
      <c r="I77" s="45"/>
      <c r="J77" s="45"/>
      <c r="K77" s="45"/>
      <c r="L77" s="45"/>
      <c r="Y77"/>
      <c r="Z77"/>
      <c r="BW77" s="455"/>
      <c r="BX77" s="455"/>
      <c r="CY77"/>
      <c r="CZ77"/>
    </row>
    <row r="78" spans="1:104">
      <c r="A78" s="45"/>
      <c r="B78" s="45"/>
      <c r="C78" s="45"/>
      <c r="D78" s="45"/>
      <c r="E78" s="842"/>
      <c r="F78" s="842"/>
      <c r="G78" s="842"/>
      <c r="H78" s="45"/>
      <c r="I78" s="45"/>
      <c r="J78" s="45"/>
      <c r="K78" s="45"/>
      <c r="L78" s="45"/>
      <c r="Y78"/>
      <c r="Z78"/>
      <c r="BW78" s="455"/>
      <c r="BX78" s="455"/>
      <c r="CY78"/>
      <c r="CZ78"/>
    </row>
    <row r="79" spans="1:104">
      <c r="A79" s="45"/>
      <c r="B79" s="45"/>
      <c r="C79" s="45"/>
      <c r="D79" s="45"/>
      <c r="E79" s="842"/>
      <c r="F79" s="842"/>
      <c r="G79" s="842"/>
      <c r="H79" s="45"/>
      <c r="I79" s="45"/>
      <c r="J79" s="45"/>
      <c r="K79" s="45"/>
      <c r="L79" s="45"/>
      <c r="Y79"/>
      <c r="Z79"/>
      <c r="BW79" s="455"/>
      <c r="BX79" s="455"/>
      <c r="CY79"/>
      <c r="CZ79"/>
    </row>
    <row r="80" spans="1:104">
      <c r="A80" s="769"/>
      <c r="B80" s="769"/>
      <c r="C80" s="769"/>
      <c r="D80" s="769"/>
      <c r="E80" s="188"/>
      <c r="F80" s="777"/>
      <c r="G80" s="777"/>
      <c r="H80" s="769"/>
      <c r="I80" s="769"/>
      <c r="J80" s="769"/>
      <c r="Y80"/>
      <c r="Z80"/>
      <c r="BW80" s="455"/>
      <c r="BX80" s="455"/>
      <c r="CY80"/>
      <c r="CZ80"/>
    </row>
    <row r="81" spans="1:111">
      <c r="A81" s="769"/>
      <c r="B81" s="769"/>
      <c r="C81" s="769"/>
      <c r="D81" s="769"/>
      <c r="E81" s="188"/>
      <c r="F81" s="777"/>
      <c r="G81" s="777"/>
      <c r="H81" s="769"/>
      <c r="I81" s="769"/>
      <c r="J81" s="769"/>
      <c r="Y81"/>
      <c r="Z81"/>
      <c r="BW81" s="455"/>
      <c r="BX81" s="455"/>
      <c r="CY81"/>
      <c r="CZ81"/>
    </row>
    <row r="82" spans="1:111">
      <c r="A82" s="769"/>
      <c r="B82" s="769"/>
      <c r="C82" s="769"/>
      <c r="D82" s="769"/>
      <c r="E82" s="188"/>
      <c r="F82" s="777"/>
      <c r="G82" s="777"/>
      <c r="H82" s="769"/>
      <c r="I82" s="769"/>
      <c r="J82" s="769"/>
      <c r="Y82"/>
      <c r="Z82"/>
      <c r="AD82" s="406"/>
      <c r="AE82" s="424"/>
      <c r="AF82" s="424"/>
      <c r="AG82" s="424"/>
      <c r="AH82" s="424"/>
      <c r="CY82"/>
      <c r="CZ82"/>
      <c r="DF82" s="455"/>
      <c r="DG82" s="455"/>
    </row>
    <row r="83" spans="1:111">
      <c r="A83" s="769"/>
      <c r="B83" s="769"/>
      <c r="C83" s="769"/>
      <c r="D83" s="769"/>
      <c r="E83" s="188"/>
      <c r="F83" s="777"/>
      <c r="G83" s="777"/>
      <c r="H83" s="769"/>
      <c r="I83" s="769"/>
      <c r="J83" s="769"/>
      <c r="Y83"/>
      <c r="Z83"/>
      <c r="AD83" s="406"/>
      <c r="AE83" s="424"/>
      <c r="AF83" s="424"/>
      <c r="AG83" s="424"/>
      <c r="AH83" s="424"/>
      <c r="CY83"/>
      <c r="CZ83"/>
      <c r="DF83" s="455"/>
      <c r="DG83" s="455"/>
    </row>
    <row r="84" spans="1:111">
      <c r="A84" s="769"/>
      <c r="B84" s="769"/>
      <c r="C84" s="769"/>
      <c r="D84" s="769"/>
      <c r="E84" s="188"/>
      <c r="F84" s="188"/>
      <c r="G84" s="188"/>
      <c r="H84" s="769"/>
      <c r="I84" s="769"/>
      <c r="J84" s="769"/>
    </row>
    <row r="85" spans="1:111">
      <c r="A85" s="769"/>
      <c r="B85" s="769"/>
      <c r="C85" s="769"/>
      <c r="D85" s="769"/>
      <c r="E85" s="188"/>
      <c r="F85" s="188"/>
      <c r="G85" s="188"/>
      <c r="H85" s="769"/>
      <c r="I85" s="769"/>
      <c r="J85" s="769"/>
    </row>
    <row r="86" spans="1:111">
      <c r="A86" s="769"/>
      <c r="B86" s="769"/>
      <c r="C86" s="769"/>
      <c r="D86" s="769"/>
      <c r="E86" s="769"/>
      <c r="F86" s="769"/>
      <c r="G86" s="769"/>
      <c r="H86" s="769"/>
    </row>
    <row r="87" spans="1:111">
      <c r="A87" s="769"/>
      <c r="B87" s="769"/>
      <c r="C87" s="769"/>
      <c r="D87" s="769"/>
    </row>
  </sheetData>
  <sheetProtection sheet="1" objects="1" scenarios="1"/>
  <mergeCells count="116">
    <mergeCell ref="A54:C54"/>
    <mergeCell ref="A46:G46"/>
    <mergeCell ref="I46:K46"/>
    <mergeCell ref="A48:H48"/>
    <mergeCell ref="I48:K48"/>
    <mergeCell ref="A55:C55"/>
    <mergeCell ref="M53:U53"/>
    <mergeCell ref="M41:X41"/>
    <mergeCell ref="M42:U42"/>
    <mergeCell ref="V42:X42"/>
    <mergeCell ref="M43:U43"/>
    <mergeCell ref="V43:X43"/>
    <mergeCell ref="M44:U44"/>
    <mergeCell ref="V44:X44"/>
    <mergeCell ref="M45:U45"/>
    <mergeCell ref="V45:X45"/>
    <mergeCell ref="A42:G42"/>
    <mergeCell ref="I42:K42"/>
    <mergeCell ref="A43:G43"/>
    <mergeCell ref="I43:K43"/>
    <mergeCell ref="V53:X53"/>
    <mergeCell ref="M54:U54"/>
    <mergeCell ref="V54:X54"/>
    <mergeCell ref="M48:U48"/>
    <mergeCell ref="A44:G44"/>
    <mergeCell ref="I44:K44"/>
    <mergeCell ref="A45:G45"/>
    <mergeCell ref="I45:K45"/>
    <mergeCell ref="A53:C53"/>
    <mergeCell ref="A49:H49"/>
    <mergeCell ref="I49:K49"/>
    <mergeCell ref="I50:K50"/>
    <mergeCell ref="M46:X46"/>
    <mergeCell ref="M47:U47"/>
    <mergeCell ref="V47:X47"/>
    <mergeCell ref="A47:H47"/>
    <mergeCell ref="I47:K47"/>
    <mergeCell ref="M51:U51"/>
    <mergeCell ref="V51:X51"/>
    <mergeCell ref="M52:U52"/>
    <mergeCell ref="V52:X52"/>
    <mergeCell ref="V48:X48"/>
    <mergeCell ref="M49:U49"/>
    <mergeCell ref="V49:X49"/>
    <mergeCell ref="M50:U50"/>
    <mergeCell ref="V50:X50"/>
    <mergeCell ref="E36:G36"/>
    <mergeCell ref="E37:G37"/>
    <mergeCell ref="E38:G38"/>
    <mergeCell ref="A39:I39"/>
    <mergeCell ref="A41:G41"/>
    <mergeCell ref="I41:K41"/>
    <mergeCell ref="E17:G17"/>
    <mergeCell ref="E18:G18"/>
    <mergeCell ref="E19:G19"/>
    <mergeCell ref="E20:G20"/>
    <mergeCell ref="E21:G21"/>
    <mergeCell ref="E22:G22"/>
    <mergeCell ref="E29:G29"/>
    <mergeCell ref="E30:G30"/>
    <mergeCell ref="E31:G31"/>
    <mergeCell ref="E34:G34"/>
    <mergeCell ref="E35:G35"/>
    <mergeCell ref="E23:G23"/>
    <mergeCell ref="E24:G24"/>
    <mergeCell ref="E25:G25"/>
    <mergeCell ref="E26:G26"/>
    <mergeCell ref="E27:G27"/>
    <mergeCell ref="E28:G28"/>
    <mergeCell ref="E33:G33"/>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N6:N7"/>
    <mergeCell ref="O6:O7"/>
    <mergeCell ref="B2:E2"/>
    <mergeCell ref="E4:G4"/>
    <mergeCell ref="K4:L4"/>
    <mergeCell ref="A5:R5"/>
    <mergeCell ref="A4:D4"/>
    <mergeCell ref="I8:J8"/>
    <mergeCell ref="K8:R8"/>
    <mergeCell ref="I6:I7"/>
    <mergeCell ref="J6:J7"/>
    <mergeCell ref="S5:X5"/>
    <mergeCell ref="S6:X6"/>
    <mergeCell ref="S8:U8"/>
    <mergeCell ref="V8:X8"/>
    <mergeCell ref="A3:X3"/>
  </mergeCells>
  <phoneticPr fontId="5" type="noConversion"/>
  <conditionalFormatting sqref="E20">
    <cfRule type="expression" dxfId="740" priority="41">
      <formula>OR($D19="pæd.dag")</formula>
    </cfRule>
    <cfRule type="expression" dxfId="739" priority="42">
      <formula>OR($D19="nul-dag")</formula>
    </cfRule>
    <cfRule type="expression" dxfId="738" priority="43">
      <formula>OR($D19="SH-dag")</formula>
    </cfRule>
    <cfRule type="expression" dxfId="737" priority="44">
      <formula>OR($D19="ekskursion")</formula>
    </cfRule>
    <cfRule type="expression" dxfId="736" priority="45">
      <formula>OR($D19="lejrskole")</formula>
    </cfRule>
    <cfRule type="expression" dxfId="735" priority="46">
      <formula>OR($D19="emnedag")</formula>
    </cfRule>
    <cfRule type="expression" dxfId="734" priority="47">
      <formula>OR($D19="fagdag")</formula>
    </cfRule>
    <cfRule type="expression" dxfId="733" priority="48">
      <formula>OR($D19="feriedag")</formula>
    </cfRule>
    <cfRule type="expression" dxfId="732" priority="49">
      <formula>OR($D19="weekend")</formula>
    </cfRule>
    <cfRule type="expression" dxfId="731" priority="50" stopIfTrue="1">
      <formula>OR($D19="skoledag")</formula>
    </cfRule>
  </conditionalFormatting>
  <conditionalFormatting sqref="E20">
    <cfRule type="expression" dxfId="730" priority="51">
      <formula>OR($D19="Ikke relevant")</formula>
    </cfRule>
  </conditionalFormatting>
  <conditionalFormatting sqref="K9:M38">
    <cfRule type="expression" dxfId="729" priority="21">
      <formula>OR($C9="fagdag",)</formula>
    </cfRule>
    <cfRule type="expression" dxfId="728" priority="22">
      <formula>OR($C9="emnedag",)</formula>
    </cfRule>
  </conditionalFormatting>
  <conditionalFormatting sqref="K9:K38">
    <cfRule type="expression" dxfId="727" priority="23">
      <formula>OR($C9="Pæd.dag",)</formula>
    </cfRule>
  </conditionalFormatting>
  <conditionalFormatting sqref="K9:L38">
    <cfRule type="expression" dxfId="726" priority="24">
      <formula>OR($C9="Lejrskole",)</formula>
    </cfRule>
    <cfRule type="expression" dxfId="725" priority="25">
      <formula>OR($C9="Ekskursion",)</formula>
    </cfRule>
  </conditionalFormatting>
  <conditionalFormatting sqref="R9:R38">
    <cfRule type="expression" dxfId="724" priority="52">
      <formula>OR($H9&gt;"0",)</formula>
    </cfRule>
  </conditionalFormatting>
  <conditionalFormatting sqref="A9:H38">
    <cfRule type="expression" dxfId="723" priority="26">
      <formula>OR($C9="Skema 1")</formula>
    </cfRule>
    <cfRule type="expression" dxfId="722" priority="27">
      <formula>OR($C9="skema 2")</formula>
    </cfRule>
    <cfRule type="expression" dxfId="721" priority="28">
      <formula>OR($C9="Skema 3")</formula>
    </cfRule>
    <cfRule type="expression" dxfId="720" priority="29">
      <formula>OR($C9="Skema 4")</formula>
    </cfRule>
    <cfRule type="expression" dxfId="719" priority="30">
      <formula>OR($C9="Ikke relevant")</formula>
    </cfRule>
    <cfRule type="expression" dxfId="718" priority="31">
      <formula>OR($C9="pæd.dag")</formula>
    </cfRule>
    <cfRule type="expression" dxfId="717" priority="32">
      <formula>OR($C9="nul-dag")</formula>
    </cfRule>
    <cfRule type="expression" dxfId="716" priority="33">
      <formula>OR($C9="SH-dag")</formula>
    </cfRule>
    <cfRule type="expression" dxfId="715" priority="34">
      <formula>OR($C9="ekskursion")</formula>
    </cfRule>
    <cfRule type="expression" dxfId="714" priority="35">
      <formula>OR($C9="lejrskole")</formula>
    </cfRule>
    <cfRule type="expression" dxfId="713" priority="36">
      <formula>OR($C9="emnedag")</formula>
    </cfRule>
    <cfRule type="expression" dxfId="712" priority="37">
      <formula>OR($C9="fagdag")</formula>
    </cfRule>
    <cfRule type="expression" dxfId="711" priority="38">
      <formula>OR($C9="feriedag")</formula>
    </cfRule>
    <cfRule type="expression" dxfId="710" priority="39">
      <formula>OR($C9="weekend")</formula>
    </cfRule>
    <cfRule type="expression" dxfId="709" priority="40" stopIfTrue="1">
      <formula>OR($C9="Orlov")</formula>
    </cfRule>
  </conditionalFormatting>
  <conditionalFormatting sqref="V9:V38">
    <cfRule type="expression" dxfId="708" priority="3">
      <formula>OR($S9="X",)</formula>
    </cfRule>
  </conditionalFormatting>
  <conditionalFormatting sqref="X9:X38">
    <cfRule type="expression" dxfId="707" priority="2">
      <formula>OR($U9="X",)</formula>
    </cfRule>
  </conditionalFormatting>
  <conditionalFormatting sqref="W9:W38">
    <cfRule type="expression" dxfId="706" priority="1">
      <formula>OR($T9="X",)</formula>
    </cfRule>
  </conditionalFormatting>
  <dataValidations count="3">
    <dataValidation type="list" allowBlank="1" showInputMessage="1" showErrorMessage="1" sqref="S9:U38"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3:I14 I20:I21 I27:I28 I34:I35"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August!$A$79:$A$93</xm:f>
          </x14:formula1>
          <xm:sqref>C9:C38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35</vt:i4>
      </vt:variant>
      <vt:variant>
        <vt:lpstr>Navngivne områder</vt:lpstr>
      </vt:variant>
      <vt:variant>
        <vt:i4>72</vt:i4>
      </vt:variant>
    </vt:vector>
  </HeadingPairs>
  <TitlesOfParts>
    <vt:vector size="107" baseType="lpstr">
      <vt:lpstr>Vejledning</vt:lpstr>
      <vt:lpstr>Vejledning PDF</vt:lpstr>
      <vt:lpstr>Maaned</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Skema 1 til print</vt:lpstr>
      <vt:lpstr>Skema 2 til print</vt:lpstr>
      <vt:lpstr>Skema 3 til print</vt:lpstr>
      <vt:lpstr>Skema 4 til print</vt:lpstr>
      <vt:lpstr>Undervisningstillæg</vt:lpstr>
      <vt:lpstr>Ulempe-weekendtillæg</vt:lpstr>
      <vt:lpstr>Aar</vt:lpstr>
      <vt:lpstr>1.halvaar</vt:lpstr>
      <vt:lpstr>2.halvaar</vt:lpstr>
      <vt:lpstr>Vejledning til arb.tidsoversigt</vt:lpstr>
      <vt:lpstr>Opgaveoversigt</vt:lpstr>
      <vt:lpstr>Aften-weekendtillæg</vt:lpstr>
      <vt:lpstr>TOMT ÅR</vt:lpstr>
      <vt:lpstr>TOMT 1. HALVÅR</vt:lpstr>
      <vt:lpstr>TOMT 2. HALVÅR</vt:lpstr>
      <vt:lpstr>Maaned!april</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Maaned!august</vt:lpstr>
      <vt:lpstr>November!august</vt:lpstr>
      <vt:lpstr>Oktober!august</vt:lpstr>
      <vt:lpstr>September!august</vt:lpstr>
      <vt:lpstr>AUGUST</vt:lpstr>
      <vt:lpstr>Maaned!december</vt:lpstr>
      <vt:lpstr>December</vt:lpstr>
      <vt:lpstr>Maaned!februar</vt:lpstr>
      <vt:lpstr>Februar</vt:lpstr>
      <vt:lpstr>Maaned!januar</vt:lpstr>
      <vt:lpstr>Januar</vt:lpstr>
      <vt:lpstr>Maaned!juli</vt:lpstr>
      <vt:lpstr>Juli</vt:lpstr>
      <vt:lpstr>Maaned!juni</vt:lpstr>
      <vt:lpstr>Juni</vt:lpstr>
      <vt:lpstr>Maaned!maj</vt:lpstr>
      <vt:lpstr>Maj</vt:lpstr>
      <vt:lpstr>Maaned!marts</vt:lpstr>
      <vt:lpstr>Marts</vt:lpstr>
      <vt:lpstr>Maaned!november</vt:lpstr>
      <vt:lpstr>November</vt:lpstr>
      <vt:lpstr>Maaned!oktober</vt:lpstr>
      <vt:lpstr>Oktober</vt:lpstr>
      <vt:lpstr>Maaned!september</vt:lpstr>
      <vt:lpstr>SEPTEMBER</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Maaned!Udskriftsområde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'Ulempe-weekendtillæg'!Udskriftsområde</vt:lpstr>
      <vt:lpstr>Undervisningstillæg!Udskriftsområde</vt:lpstr>
      <vt:lpstr>Vejledning!Udskriftsområde</vt:lpstr>
      <vt:lpstr>Aar!Udskriftsområde</vt:lpstr>
    </vt:vector>
  </TitlesOfParts>
  <Company>Dansk Friskoleforening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Troels Midtgaard</dc:creator>
  <cp:lastModifiedBy>Tove Dohn</cp:lastModifiedBy>
  <cp:lastPrinted>2022-04-22T12:23:42Z</cp:lastPrinted>
  <dcterms:created xsi:type="dcterms:W3CDTF">2014-04-09T06:24:54Z</dcterms:created>
  <dcterms:modified xsi:type="dcterms:W3CDTF">2022-04-25T12:12:45Z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