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ate1904="1" updateLinks="always" codeName="Denne_projektmappe" autoCompressPictures="0" defaultThemeVersion="124226"/>
  <mc:AlternateContent xmlns:mc="http://schemas.openxmlformats.org/markup-compatibility/2006">
    <mc:Choice Requires="x15">
      <x15ac:absPath xmlns:x15ac="http://schemas.microsoft.com/office/spreadsheetml/2010/11/ac" url="/Users/tove/Documents/Kurser/Budgetkursus/Værktøj/"/>
    </mc:Choice>
  </mc:AlternateContent>
  <xr:revisionPtr revIDLastSave="0" documentId="8_{9A55EDBA-DE9C-6D42-9283-E11F6BA85FA6}" xr6:coauthVersionLast="47" xr6:coauthVersionMax="47" xr10:uidLastSave="{00000000-0000-0000-0000-000000000000}"/>
  <bookViews>
    <workbookView xWindow="0" yWindow="500" windowWidth="27960" windowHeight="17500" tabRatio="705" activeTab="3" xr2:uid="{00000000-000D-0000-FFFF-FFFF00000000}"/>
  </bookViews>
  <sheets>
    <sheet name="Kvikvejledning" sheetId="62" r:id="rId1"/>
    <sheet name="Ændringer i dette budget" sheetId="65" r:id="rId2"/>
    <sheet name="Gode råd til check" sheetId="64" r:id="rId3"/>
    <sheet name="SatsBilag" sheetId="55" r:id="rId4"/>
    <sheet name="Forside" sheetId="1" r:id="rId5"/>
    <sheet name="Hovedskema" sheetId="5" r:id="rId6"/>
    <sheet name="Aarsnorm" sheetId="56" state="hidden" r:id="rId7"/>
    <sheet name="Statstilskud" sheetId="8" r:id="rId8"/>
    <sheet name="Skolepenge, pasningsordning." sheetId="12" r:id="rId9"/>
    <sheet name="lon undervisning" sheetId="51" r:id="rId10"/>
    <sheet name="Lon pæd., TAP mm" sheetId="52" r:id="rId11"/>
    <sheet name="Undervisning-SFO udgifter" sheetId="20" r:id="rId12"/>
    <sheet name="Heltids SFO" sheetId="63" r:id="rId13"/>
    <sheet name="Daginstitution" sheetId="36" r:id="rId14"/>
    <sheet name="Ejendom" sheetId="24" r:id="rId15"/>
    <sheet name="Skolemadsordning" sheetId="23" r:id="rId16"/>
    <sheet name="Administration" sheetId="32" r:id="rId17"/>
    <sheet name="Prio-renter" sheetId="28" r:id="rId18"/>
    <sheet name="Resultat " sheetId="2" state="hidden" r:id="rId19"/>
    <sheet name="Grundlon" sheetId="53" state="hidden" r:id="rId20"/>
    <sheet name="Prognose" sheetId="3" r:id="rId21"/>
    <sheet name="Ark1" sheetId="59" r:id="rId22"/>
    <sheet name="H2.Aktuel år" sheetId="47" state="hidden" r:id="rId23"/>
    <sheet name="Ark2" sheetId="60" r:id="rId24"/>
    <sheet name="Ark3" sheetId="61" r:id="rId25"/>
  </sheets>
  <definedNames>
    <definedName name="_SFO1" localSheetId="19">#REF!</definedName>
    <definedName name="_Udskriftsområde" localSheetId="10">'Lon pæd., TAP mm'!$A$6:$CB$46</definedName>
    <definedName name="_Udskriftsområde" localSheetId="9">'lon undervisning'!$A$3:$AD$53</definedName>
    <definedName name="AER" localSheetId="19">#REF!</definedName>
    <definedName name="AER">SatsBilag!$B$28</definedName>
    <definedName name="AER_1">SatsBilag!$C$28</definedName>
    <definedName name="arbtidsnorm" localSheetId="19">#REF!</definedName>
    <definedName name="ATP" localSheetId="19">#REF!</definedName>
    <definedName name="ATP">SatsBilag!$B$13</definedName>
    <definedName name="ATP_1">SatsBilag!$C$13</definedName>
    <definedName name="ATP_A" localSheetId="19">#REF!</definedName>
    <definedName name="ATP_B" localSheetId="19">#REF!</definedName>
    <definedName name="Barsel" localSheetId="19">#REF!</definedName>
    <definedName name="BarselBidr">SatsBilag!$B$30</definedName>
    <definedName name="BarselBidr_1">SatsBilag!$C$30</definedName>
    <definedName name="basistabel">Grundlon!$A$63:$G$70</definedName>
    <definedName name="basistabel12">#REF!</definedName>
    <definedName name="budgetår" localSheetId="19">#REF!</definedName>
    <definedName name="budgetår">Forside!$B$6</definedName>
    <definedName name="Bygtilsk">SatsBilag!$B$25</definedName>
    <definedName name="Bygtilsk_1">SatsBilag!$C$25</definedName>
    <definedName name="Bygtilskud" localSheetId="19">#REF!</definedName>
    <definedName name="Bygtilskud01" localSheetId="19">#REF!</definedName>
    <definedName name="bygtilskud1" localSheetId="19">#REF!</definedName>
    <definedName name="bytom" localSheetId="19">Grundlon!bytom</definedName>
    <definedName name="bytom">#REF!</definedName>
    <definedName name="bytom_12" localSheetId="19">Grundlon!bytom_12</definedName>
    <definedName name="bytom_14" localSheetId="19">Grundlon!bytom_14</definedName>
    <definedName name="bytom_35" localSheetId="19">Grundlon!bytom_35</definedName>
    <definedName name="Da2sprTax">SatsBilag!$B$45</definedName>
    <definedName name="Da2sprTax_1">SatsBilag!$C$45</definedName>
    <definedName name="Da2uvaa1" localSheetId="19">#REF!</definedName>
    <definedName name="Da2uvaa2" localSheetId="19">#REF!</definedName>
    <definedName name="DFkont" localSheetId="19">#REF!</definedName>
    <definedName name="DFkont">SatsBilag!$B$31</definedName>
    <definedName name="DFkont_1">SatsBilag!$C$31</definedName>
    <definedName name="DFRegnÅr" localSheetId="19">#REF!</definedName>
    <definedName name="elev0o" localSheetId="19">#REF!</definedName>
    <definedName name="elev0u" localSheetId="19">#REF!</definedName>
    <definedName name="elev1001" localSheetId="19">#REF!</definedName>
    <definedName name="elev1001feb" localSheetId="19">#REF!</definedName>
    <definedName name="elev101" localSheetId="19">#REF!</definedName>
    <definedName name="elev101feb" localSheetId="19">#REF!</definedName>
    <definedName name="elev102" localSheetId="19">#REF!</definedName>
    <definedName name="elev10kl">Forside!$G$34</definedName>
    <definedName name="elev10kl_1">Forside!$E$34</definedName>
    <definedName name="elev10kl_2">Forside!$H$34</definedName>
    <definedName name="elev10klfeb">Forside!$G$35</definedName>
    <definedName name="elev10klfeb_1">Forside!$E$35</definedName>
    <definedName name="elev10klfeb_2">Forside!$H$35</definedName>
    <definedName name="elev1o" localSheetId="19">#REF!</definedName>
    <definedName name="elev1u" localSheetId="19">#REF!</definedName>
    <definedName name="elev2o" localSheetId="19">#REF!</definedName>
    <definedName name="elev2u" localSheetId="19">#REF!</definedName>
    <definedName name="elevo13">Forside!$G$33</definedName>
    <definedName name="elevo13_1">Forside!$E$33</definedName>
    <definedName name="elevo13_2">Forside!$H$33</definedName>
    <definedName name="ELEVPROGNOSE">Forside!$C$16</definedName>
    <definedName name="Elevtal">Forside!$G$31</definedName>
    <definedName name="elevtal_1">Forside!$E$31</definedName>
    <definedName name="elevtal_2">Forside!$H$31</definedName>
    <definedName name="elevtal01" localSheetId="19">#REF!</definedName>
    <definedName name="elevtal1" localSheetId="19">#REF!</definedName>
    <definedName name="elevtal2" localSheetId="19">#REF!</definedName>
    <definedName name="elevtal3" localSheetId="19">#REF!</definedName>
    <definedName name="elevu13">Forside!$G$32</definedName>
    <definedName name="elevu13_1">Forside!$E$32</definedName>
    <definedName name="elevu13_2">Forside!$H$32</definedName>
    <definedName name="Export_file" localSheetId="19">Grundlon!$J$2:$L$273</definedName>
    <definedName name="FaeUdgSmaa">SatsBilag!$B$18</definedName>
    <definedName name="FaeUdgSmaa_1">SatsBilag!$C$18</definedName>
    <definedName name="FaeUdgStore">SatsBilag!$B$19</definedName>
    <definedName name="FaeUdgStore_1">SatsBilag!$C$19</definedName>
    <definedName name="flex00" localSheetId="19">#REF!</definedName>
    <definedName name="flex01" localSheetId="19">#REF!</definedName>
    <definedName name="FlexBidr">SatsBilag!$B$29</definedName>
    <definedName name="FlexBidr_1">SatsBilag!$C$29</definedName>
    <definedName name="FlydTill">SatsBilag!$B$24</definedName>
    <definedName name="FlydTill_1">SatsBilag!$C$24</definedName>
    <definedName name="fremskrivning" localSheetId="19">#REF!</definedName>
    <definedName name="fremskrivning">SatsBilag!$B$41</definedName>
    <definedName name="FremskrStatst">SatsBilag!$B$43</definedName>
    <definedName name="FremskrStatst_1">SatsBilag!$C$43</definedName>
    <definedName name="fridageGrå_40" localSheetId="19">Grundlon!fridageGrå_40</definedName>
    <definedName name="fridageGrå_41" localSheetId="19">Grundlon!fridageGrå_41</definedName>
    <definedName name="Ftakst1" localSheetId="19">#REF!</definedName>
    <definedName name="Ftakst2" localSheetId="19">#REF!</definedName>
    <definedName name="GLøn1" localSheetId="19">#REF!</definedName>
    <definedName name="GLøn2" localSheetId="19">#REF!</definedName>
    <definedName name="Gr.liv" localSheetId="19">#REF!</definedName>
    <definedName name="Gr.liv">SatsBilag!$B$15</definedName>
    <definedName name="Gr.liv_1">SatsBilag!$C$15</definedName>
    <definedName name="Gr.livAndre" localSheetId="19">#REF!</definedName>
    <definedName name="Gr.livAndre">SatsBilag!$B$16</definedName>
    <definedName name="Gr.livAndre_1">SatsBilag!$C$16</definedName>
    <definedName name="grundløn" localSheetId="19">#REF!</definedName>
    <definedName name="grundløn2" localSheetId="19">#REF!</definedName>
    <definedName name="GrundTilsk">SatsBilag!$B$17</definedName>
    <definedName name="Grundtilsk_1">SatsBilag!$C$17</definedName>
    <definedName name="gruppe">#REF!</definedName>
    <definedName name="InklGrund">SatsBilag!$B$23</definedName>
    <definedName name="InklGrund_1">SatsBilag!$C$23</definedName>
    <definedName name="InklPrElev">SatsBilag!#REF!</definedName>
    <definedName name="InklPrElev_1">SatsBilag!#REF!</definedName>
    <definedName name="inklusion">#REF!</definedName>
    <definedName name="Kaskrent" localSheetId="19">#REF!</definedName>
    <definedName name="kolonne">#REF!</definedName>
    <definedName name="Kost" localSheetId="19">#REF!</definedName>
    <definedName name="Kost1" localSheetId="19">#REF!</definedName>
    <definedName name="KostTilsk">SatsBilag!#REF!</definedName>
    <definedName name="Kosttilsk_1">SatsBilag!#REF!</definedName>
    <definedName name="lmdr">#REF!</definedName>
    <definedName name="Lønfremskivning">SatsBilag!$B$42</definedName>
    <definedName name="Lønregl" localSheetId="19">#REF!</definedName>
    <definedName name="mdr">#REF!</definedName>
    <definedName name="mellemsmå">Hovedskema!$D$107:$D$108</definedName>
    <definedName name="mellemstore">Hovedskema!$F$107:$G$108</definedName>
    <definedName name="omraadetabel">Grundlon!$A$75:$F$82</definedName>
    <definedName name="omraadetabel12">#REF!</definedName>
    <definedName name="opqsøg" hidden="1">{#N/A,#N/A,FALSE,"Månedsaktivitetsplan"}</definedName>
    <definedName name="opsøg" hidden="1">{#N/A,#N/A,FALSE,"Månedsaktivitetsplan"}</definedName>
    <definedName name="PaedMedhTax">SatsBilag!#REF!</definedName>
    <definedName name="PaedMedhTax_1">SatsBilag!#REF!</definedName>
    <definedName name="Paednorm" localSheetId="19">#REF!</definedName>
    <definedName name="Paedpens" localSheetId="19">#REF!</definedName>
    <definedName name="PrakMedhTax">SatsBilag!$B$46</definedName>
    <definedName name="PrakMedhTax_1">SatsBilag!$C$46</definedName>
    <definedName name="Praktiskmhjaa1" localSheetId="19">#REF!</definedName>
    <definedName name="Praktiskmhjaa2" localSheetId="19">#REF!</definedName>
    <definedName name="Prc">SatsBilag!$B$9</definedName>
    <definedName name="Prc_1">SatsBilag!$C$9</definedName>
    <definedName name="prctregl09" localSheetId="19">#REF!</definedName>
    <definedName name="prctregl10" localSheetId="19">#REF!</definedName>
    <definedName name="prctregl3" localSheetId="19">#REF!</definedName>
    <definedName name="prctregl4" localSheetId="19">#REF!</definedName>
    <definedName name="PrcAar">SatsBilag!$B$12</definedName>
    <definedName name="PrcAar_1">SatsBilag!$C$12</definedName>
    <definedName name="Procentregulering" localSheetId="19">#REF!</definedName>
    <definedName name="Procentregulering" hidden="1">#REF!</definedName>
    <definedName name="procentregulering2" localSheetId="19">#REF!</definedName>
    <definedName name="Procentreguleringapril" localSheetId="19">#REF!</definedName>
    <definedName name="region">Forside!$G$12</definedName>
    <definedName name="SFO" localSheetId="19">#REF!</definedName>
    <definedName name="SFOI" localSheetId="19">#REF!</definedName>
    <definedName name="SFOtilsk">SatsBilag!$B$26</definedName>
    <definedName name="SFOtilsk_1">SatsBilag!$C$26</definedName>
    <definedName name="skalalontabel">Grundlon!$A$4:$G$62</definedName>
    <definedName name="skole">Forside!$B$5</definedName>
    <definedName name="skoleår" localSheetId="19">#REF!</definedName>
    <definedName name="skoleår" localSheetId="3">Forside!$G$4</definedName>
    <definedName name="skoleår2" localSheetId="19">#REF!</definedName>
    <definedName name="skoleår2" localSheetId="3">Forside!$G$5</definedName>
    <definedName name="specuv" localSheetId="19">#REF!</definedName>
    <definedName name="SpecUvTax_1">SatsBilag!#REF!</definedName>
    <definedName name="Specuvaa1" localSheetId="19">#REF!</definedName>
    <definedName name="Specuvaa2" localSheetId="19">#REF!</definedName>
    <definedName name="SpevUvTax">SatsBilag!#REF!</definedName>
    <definedName name="Sprogstimul" localSheetId="19">#REF!</definedName>
    <definedName name="sprogstimul01" localSheetId="19">#REF!</definedName>
    <definedName name="sprogstimul1" localSheetId="19">#REF!</definedName>
    <definedName name="sprogstimul2" localSheetId="19">#REF!</definedName>
    <definedName name="Statstilskud" localSheetId="19">#REF!</definedName>
    <definedName name="StatstilskudBr" localSheetId="19">#REF!</definedName>
    <definedName name="sted">Grundlon!$J$2:$N$273</definedName>
    <definedName name="stedomr">Forside!$F$12</definedName>
    <definedName name="stedtillægsområde" localSheetId="19">#REF!</definedName>
    <definedName name="stedtillægsområde">Forside!$F$12</definedName>
    <definedName name="stpaedaa1" localSheetId="19">#REF!</definedName>
    <definedName name="stpaedaa2" localSheetId="19">#REF!</definedName>
    <definedName name="str">#REF!</definedName>
    <definedName name="tabel">#REF!</definedName>
    <definedName name="Tilsyn1">SatsBilag!$B$37</definedName>
    <definedName name="Tilsyn2">SatsBilag!$B$38</definedName>
    <definedName name="Tilsyn3">SatsBilag!$B$39</definedName>
    <definedName name="Tilsyn4">SatsBilag!$B$40</definedName>
    <definedName name="U.l" localSheetId="19">#REF!</definedName>
    <definedName name="_xlnm.Print_Area" localSheetId="14">Ejendom!$A$1:$I$98</definedName>
    <definedName name="_xlnm.Print_Area" localSheetId="4">Forside!$B$2:$H$39</definedName>
    <definedName name="_xlnm.Print_Area" localSheetId="22">'H2.Aktuel år'!$A$2:$I$61</definedName>
    <definedName name="_xlnm.Print_Area" localSheetId="5">Hovedskema!$A$1:$H$133</definedName>
    <definedName name="_xlnm.Print_Area" localSheetId="0">Kvikvejledning!$A$2:$J$35</definedName>
    <definedName name="_xlnm.Print_Area" localSheetId="9">'lon undervisning'!$A$2:$AD$102</definedName>
    <definedName name="_xlnm.Print_Area" localSheetId="17">'Prio-renter'!$A$2:$K$27</definedName>
    <definedName name="_xlnm.Print_Area" localSheetId="20">Prognose!$A$1:$F$52</definedName>
    <definedName name="_xlnm.Print_Area" localSheetId="18">'Resultat '!$A$3:$F$93</definedName>
    <definedName name="_xlnm.Print_Area" localSheetId="3">SatsBilag!$A$2:$D$51</definedName>
    <definedName name="_xlnm.Print_Area" localSheetId="8">'Skolepenge, pasningsordning.'!$A$1:$J$148</definedName>
    <definedName name="_xlnm.Print_Area" localSheetId="7">Statstilskud!$A$2:$K$131</definedName>
    <definedName name="_xlnm.Print_Area" localSheetId="11">'Undervisning-SFO udgifter'!$A$3:$F$130</definedName>
    <definedName name="Utakst1" localSheetId="19">#REF!</definedName>
    <definedName name="Utakst2" localSheetId="19">#REF!</definedName>
    <definedName name="Utakst3" localSheetId="19">#REF!</definedName>
    <definedName name="UvTax10kl">SatsBilag!$B$22</definedName>
    <definedName name="UvTax10kl_1">SatsBilag!$C$22</definedName>
    <definedName name="UvTaxO13">SatsBilag!$B$21</definedName>
    <definedName name="UvTaxO13_1">SatsBilag!$C$21</definedName>
    <definedName name="UvTaxU13">SatsBilag!$B$20</definedName>
    <definedName name="UvTaxU13_1">SatsBilag!$C$20</definedName>
    <definedName name="Vik.kas" localSheetId="19">#REF!</definedName>
    <definedName name="Vik.kas">SatsBilag!$B$36</definedName>
    <definedName name="Vik.kas_1">SatsBilag!$C$36</definedName>
    <definedName name="wrn.Årsplan." hidden="1">{#N/A,#N/A,FALSE,"Månedsaktivitetsplan"}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81" i="36" l="1"/>
  <c r="A72" i="36"/>
  <c r="A63" i="36"/>
  <c r="C38" i="51"/>
  <c r="A13" i="51"/>
  <c r="A14" i="51"/>
  <c r="BP43" i="52"/>
  <c r="BQ43" i="52"/>
  <c r="BR43" i="52"/>
  <c r="BS43" i="52"/>
  <c r="BT43" i="52"/>
  <c r="BU43" i="52"/>
  <c r="BV43" i="52"/>
  <c r="BW43" i="52"/>
  <c r="BX43" i="52"/>
  <c r="BO43" i="52"/>
  <c r="BC43" i="52"/>
  <c r="BD43" i="52"/>
  <c r="BE43" i="52"/>
  <c r="BF43" i="52"/>
  <c r="BG43" i="52"/>
  <c r="BH43" i="52"/>
  <c r="BI43" i="52"/>
  <c r="BJ43" i="52"/>
  <c r="BK43" i="52"/>
  <c r="BL43" i="52"/>
  <c r="BB43" i="52"/>
  <c r="AB43" i="52"/>
  <c r="AC43" i="52"/>
  <c r="AD43" i="52"/>
  <c r="AE43" i="52"/>
  <c r="AF43" i="52"/>
  <c r="AG43" i="52"/>
  <c r="AH43" i="52"/>
  <c r="AI43" i="52"/>
  <c r="AJ43" i="52"/>
  <c r="AK43" i="52"/>
  <c r="AL43" i="52"/>
  <c r="AM43" i="52"/>
  <c r="AN43" i="52"/>
  <c r="AO43" i="52"/>
  <c r="AP43" i="52"/>
  <c r="AQ43" i="52"/>
  <c r="C43" i="52"/>
  <c r="D43" i="52"/>
  <c r="E43" i="52"/>
  <c r="F43" i="52"/>
  <c r="G43" i="52"/>
  <c r="H43" i="52"/>
  <c r="I43" i="52"/>
  <c r="J43" i="52"/>
  <c r="K43" i="52"/>
  <c r="L43" i="52"/>
  <c r="M43" i="52"/>
  <c r="N43" i="52"/>
  <c r="O43" i="52"/>
  <c r="P43" i="52"/>
  <c r="Q43" i="52"/>
  <c r="R43" i="52"/>
  <c r="S43" i="52"/>
  <c r="T43" i="52"/>
  <c r="U43" i="52"/>
  <c r="X43" i="52"/>
  <c r="Y43" i="52"/>
  <c r="Z43" i="52"/>
  <c r="AR53" i="52" l="1"/>
  <c r="AS53" i="52"/>
  <c r="AT53" i="52"/>
  <c r="AU53" i="52"/>
  <c r="AV53" i="52"/>
  <c r="AW53" i="52"/>
  <c r="AX53" i="52"/>
  <c r="AY53" i="52"/>
  <c r="AR22" i="52"/>
  <c r="AS22" i="52"/>
  <c r="AT22" i="52"/>
  <c r="AU22" i="52"/>
  <c r="AV22" i="52"/>
  <c r="AW22" i="52"/>
  <c r="AX22" i="52"/>
  <c r="AY22" i="52"/>
  <c r="AS26" i="52"/>
  <c r="AS27" i="52" s="1"/>
  <c r="AT26" i="52"/>
  <c r="AT27" i="52" s="1"/>
  <c r="AU26" i="52"/>
  <c r="AV26" i="52"/>
  <c r="AV27" i="52" s="1"/>
  <c r="AW26" i="52"/>
  <c r="AX26" i="52"/>
  <c r="AX27" i="52" s="1"/>
  <c r="AY26" i="52"/>
  <c r="AY129" i="52"/>
  <c r="AY130" i="52" s="1"/>
  <c r="AW129" i="52"/>
  <c r="AW130" i="52" s="1"/>
  <c r="AT129" i="52"/>
  <c r="AT130" i="52" s="1"/>
  <c r="AY127" i="52"/>
  <c r="AX127" i="52"/>
  <c r="AX129" i="52" s="1"/>
  <c r="AX130" i="52" s="1"/>
  <c r="AW127" i="52"/>
  <c r="AV127" i="52"/>
  <c r="AV129" i="52" s="1"/>
  <c r="AV130" i="52" s="1"/>
  <c r="AU127" i="52"/>
  <c r="AU129" i="52" s="1"/>
  <c r="AU130" i="52" s="1"/>
  <c r="AT127" i="52"/>
  <c r="AS127" i="52"/>
  <c r="AS129" i="52" s="1"/>
  <c r="AS130" i="52" s="1"/>
  <c r="AR127" i="52"/>
  <c r="AR129" i="52" s="1"/>
  <c r="AR130" i="52" s="1"/>
  <c r="AY123" i="52"/>
  <c r="AX123" i="52"/>
  <c r="AW123" i="52"/>
  <c r="AV123" i="52"/>
  <c r="AU123" i="52"/>
  <c r="AT123" i="52"/>
  <c r="AS123" i="52"/>
  <c r="AR123" i="52"/>
  <c r="AY121" i="52"/>
  <c r="AX121" i="52"/>
  <c r="AW121" i="52"/>
  <c r="AV121" i="52"/>
  <c r="AU121" i="52"/>
  <c r="AT121" i="52"/>
  <c r="AS121" i="52"/>
  <c r="AR121" i="52"/>
  <c r="AY119" i="52"/>
  <c r="AX119" i="52"/>
  <c r="AW119" i="52"/>
  <c r="AV119" i="52"/>
  <c r="AU119" i="52"/>
  <c r="AT119" i="52"/>
  <c r="AS119" i="52"/>
  <c r="AR119" i="52"/>
  <c r="AY118" i="52"/>
  <c r="AX118" i="52"/>
  <c r="AW118" i="52"/>
  <c r="AV118" i="52"/>
  <c r="AU118" i="52"/>
  <c r="AT118" i="52"/>
  <c r="AS118" i="52"/>
  <c r="AR118" i="52"/>
  <c r="AY109" i="52"/>
  <c r="AX109" i="52"/>
  <c r="AW109" i="52"/>
  <c r="AV109" i="52"/>
  <c r="AU109" i="52"/>
  <c r="AT109" i="52"/>
  <c r="AS109" i="52"/>
  <c r="AR109" i="52"/>
  <c r="AY106" i="52"/>
  <c r="AX106" i="52"/>
  <c r="AW106" i="52"/>
  <c r="AV106" i="52"/>
  <c r="AU106" i="52"/>
  <c r="AT106" i="52"/>
  <c r="AS106" i="52"/>
  <c r="AR106" i="52"/>
  <c r="AY92" i="52"/>
  <c r="AX92" i="52"/>
  <c r="AW92" i="52"/>
  <c r="AV92" i="52"/>
  <c r="AU92" i="52"/>
  <c r="AT92" i="52"/>
  <c r="AS92" i="52"/>
  <c r="AR92" i="52"/>
  <c r="AY83" i="52"/>
  <c r="AX83" i="52"/>
  <c r="AW83" i="52"/>
  <c r="AV83" i="52"/>
  <c r="AU83" i="52"/>
  <c r="AT83" i="52"/>
  <c r="AS83" i="52"/>
  <c r="AR83" i="52"/>
  <c r="AY81" i="52"/>
  <c r="AX81" i="52"/>
  <c r="AW81" i="52"/>
  <c r="AV81" i="52"/>
  <c r="AU81" i="52"/>
  <c r="AT81" i="52"/>
  <c r="AS81" i="52"/>
  <c r="AR81" i="52"/>
  <c r="AY79" i="52" a="1"/>
  <c r="AY79" i="52" s="1"/>
  <c r="AX79" i="52" a="1"/>
  <c r="AX79" i="52" s="1"/>
  <c r="AW79" i="52" a="1"/>
  <c r="AW79" i="52" s="1"/>
  <c r="AV79" i="52" a="1"/>
  <c r="AV79" i="52" s="1"/>
  <c r="AU79" i="52" a="1"/>
  <c r="AU79" i="52" s="1"/>
  <c r="AT79" i="52" a="1"/>
  <c r="AT79" i="52" s="1"/>
  <c r="AS79" i="52" a="1"/>
  <c r="AS79" i="52" s="1"/>
  <c r="AR79" i="52" a="1"/>
  <c r="AR79" i="52" s="1"/>
  <c r="AY68" i="52"/>
  <c r="AX68" i="52"/>
  <c r="AW68" i="52"/>
  <c r="AV68" i="52"/>
  <c r="AU68" i="52"/>
  <c r="AT68" i="52"/>
  <c r="AS68" i="52"/>
  <c r="AR68" i="52"/>
  <c r="AY58" i="52"/>
  <c r="AX58" i="52"/>
  <c r="AW58" i="52"/>
  <c r="AV58" i="52"/>
  <c r="AU58" i="52"/>
  <c r="AT58" i="52"/>
  <c r="AS58" i="52"/>
  <c r="AR58" i="52"/>
  <c r="AY47" i="52"/>
  <c r="AX47" i="52"/>
  <c r="AW47" i="52"/>
  <c r="AV47" i="52"/>
  <c r="AV76" i="52" s="1"/>
  <c r="AU47" i="52"/>
  <c r="AT47" i="52"/>
  <c r="AT76" i="52" s="1"/>
  <c r="AS47" i="52"/>
  <c r="AS76" i="52" s="1"/>
  <c r="AR47" i="52"/>
  <c r="AR108" i="52" s="1"/>
  <c r="AY46" i="52"/>
  <c r="AX46" i="52"/>
  <c r="AW46" i="52"/>
  <c r="AV46" i="52"/>
  <c r="AV75" i="52" s="1"/>
  <c r="AU46" i="52"/>
  <c r="AT46" i="52"/>
  <c r="AT75" i="52" s="1"/>
  <c r="AS46" i="52"/>
  <c r="AR46" i="52"/>
  <c r="AR107" i="52" s="1"/>
  <c r="AY27" i="52"/>
  <c r="AW27" i="52"/>
  <c r="AU27" i="52"/>
  <c r="AV38" i="52"/>
  <c r="AU103" i="52"/>
  <c r="AT38" i="52"/>
  <c r="AY14" i="52"/>
  <c r="AY112" i="52" s="1"/>
  <c r="AX14" i="52"/>
  <c r="AW14" i="52"/>
  <c r="AV14" i="52"/>
  <c r="AU14" i="52"/>
  <c r="AT14" i="52"/>
  <c r="AT104" i="52" s="1"/>
  <c r="AS14" i="52"/>
  <c r="AS112" i="52" s="1"/>
  <c r="AR14" i="52"/>
  <c r="AR120" i="52" s="1"/>
  <c r="AT124" i="52" l="1"/>
  <c r="AT125" i="52" s="1"/>
  <c r="AU107" i="52"/>
  <c r="AU108" i="52"/>
  <c r="AV124" i="52"/>
  <c r="AV125" i="52" s="1"/>
  <c r="AY101" i="52"/>
  <c r="AR101" i="52"/>
  <c r="AW124" i="52"/>
  <c r="AW125" i="52" s="1"/>
  <c r="AX124" i="52"/>
  <c r="AX125" i="52" s="1"/>
  <c r="AY107" i="52"/>
  <c r="AY108" i="52"/>
  <c r="AY124" i="52"/>
  <c r="AY125" i="52" s="1"/>
  <c r="AR124" i="52"/>
  <c r="AR125" i="52" s="1"/>
  <c r="AX120" i="52"/>
  <c r="AU124" i="52"/>
  <c r="AU125" i="52" s="1"/>
  <c r="AX103" i="52"/>
  <c r="AX107" i="52"/>
  <c r="AX108" i="52"/>
  <c r="AW108" i="52"/>
  <c r="AW107" i="52"/>
  <c r="AW103" i="52"/>
  <c r="AW120" i="52"/>
  <c r="AU120" i="52"/>
  <c r="AS107" i="52"/>
  <c r="AS124" i="52"/>
  <c r="AS125" i="52" s="1"/>
  <c r="AS101" i="52"/>
  <c r="AU96" i="52"/>
  <c r="AS96" i="52"/>
  <c r="AW96" i="52"/>
  <c r="AT96" i="52"/>
  <c r="AT42" i="52"/>
  <c r="AX96" i="52"/>
  <c r="AV42" i="52"/>
  <c r="AV51" i="52" s="1"/>
  <c r="AV110" i="52" s="1"/>
  <c r="AV96" i="52"/>
  <c r="AY96" i="52"/>
  <c r="AY75" i="52"/>
  <c r="AY100" i="52"/>
  <c r="AR75" i="52"/>
  <c r="AR99" i="52"/>
  <c r="AS100" i="52"/>
  <c r="AS108" i="52"/>
  <c r="AT102" i="52"/>
  <c r="AT105" i="52"/>
  <c r="AT108" i="52"/>
  <c r="AT112" i="52"/>
  <c r="AT120" i="52"/>
  <c r="AY76" i="52"/>
  <c r="AY88" i="52"/>
  <c r="AY103" i="52"/>
  <c r="AR26" i="52"/>
  <c r="AR27" i="52" s="1"/>
  <c r="AR76" i="52"/>
  <c r="AR105" i="52"/>
  <c r="AS38" i="52"/>
  <c r="AS42" i="52" s="1"/>
  <c r="AS51" i="52" s="1"/>
  <c r="AS110" i="52" s="1"/>
  <c r="AS104" i="52"/>
  <c r="AT103" i="52"/>
  <c r="AT107" i="52"/>
  <c r="AU38" i="52"/>
  <c r="AU42" i="52" s="1"/>
  <c r="AU51" i="52" s="1"/>
  <c r="AU110" i="52" s="1"/>
  <c r="AU75" i="52"/>
  <c r="AU76" i="52"/>
  <c r="AU88" i="52"/>
  <c r="AU99" i="52"/>
  <c r="AU100" i="52"/>
  <c r="AU101" i="52"/>
  <c r="AU102" i="52"/>
  <c r="AU104" i="52"/>
  <c r="AU105" i="52"/>
  <c r="AU112" i="52"/>
  <c r="AY38" i="52"/>
  <c r="AY42" i="52" s="1"/>
  <c r="AY51" i="52" s="1"/>
  <c r="AY110" i="52" s="1"/>
  <c r="AY102" i="52"/>
  <c r="AR103" i="52"/>
  <c r="AS75" i="52"/>
  <c r="AS103" i="52"/>
  <c r="AT101" i="52"/>
  <c r="AV88" i="52"/>
  <c r="AV99" i="52"/>
  <c r="AV100" i="52"/>
  <c r="AV101" i="52"/>
  <c r="AV102" i="52"/>
  <c r="AV103" i="52"/>
  <c r="AV104" i="52"/>
  <c r="AV105" i="52"/>
  <c r="AV107" i="52"/>
  <c r="AV108" i="52"/>
  <c r="AV112" i="52"/>
  <c r="AV120" i="52"/>
  <c r="AY105" i="52"/>
  <c r="AY120" i="52"/>
  <c r="AR38" i="52"/>
  <c r="AR88" i="52"/>
  <c r="AR100" i="52"/>
  <c r="AR102" i="52"/>
  <c r="AR112" i="52"/>
  <c r="AS99" i="52"/>
  <c r="AS102" i="52"/>
  <c r="AS105" i="52"/>
  <c r="AS120" i="52"/>
  <c r="AT100" i="52"/>
  <c r="AW38" i="52"/>
  <c r="AW42" i="52" s="1"/>
  <c r="AW51" i="52" s="1"/>
  <c r="AW110" i="52" s="1"/>
  <c r="AW75" i="52"/>
  <c r="AW76" i="52"/>
  <c r="AW88" i="52"/>
  <c r="AW99" i="52"/>
  <c r="AW100" i="52"/>
  <c r="AW101" i="52"/>
  <c r="AW102" i="52"/>
  <c r="AW104" i="52"/>
  <c r="AW105" i="52"/>
  <c r="AW112" i="52"/>
  <c r="AY99" i="52"/>
  <c r="AY104" i="52"/>
  <c r="AR104" i="52"/>
  <c r="AS88" i="52"/>
  <c r="AT51" i="52"/>
  <c r="AT110" i="52" s="1"/>
  <c r="AT88" i="52"/>
  <c r="AT99" i="52"/>
  <c r="AX38" i="52"/>
  <c r="AX42" i="52" s="1"/>
  <c r="AX51" i="52" s="1"/>
  <c r="AX110" i="52" s="1"/>
  <c r="AX75" i="52"/>
  <c r="AX76" i="52"/>
  <c r="AX88" i="52"/>
  <c r="AX99" i="52"/>
  <c r="AX100" i="52"/>
  <c r="AX101" i="52"/>
  <c r="AX102" i="52"/>
  <c r="AX104" i="52"/>
  <c r="AX105" i="52"/>
  <c r="AX112" i="52"/>
  <c r="AX74" i="52" l="1"/>
  <c r="AX77" i="52" s="1"/>
  <c r="AX111" i="52"/>
  <c r="AX113" i="52" s="1"/>
  <c r="AX45" i="52"/>
  <c r="AX48" i="52" s="1"/>
  <c r="AX55" i="52" s="1"/>
  <c r="AU74" i="52"/>
  <c r="AU77" i="52" s="1"/>
  <c r="AU111" i="52"/>
  <c r="AU113" i="52" s="1"/>
  <c r="AU45" i="52"/>
  <c r="AU48" i="52" s="1"/>
  <c r="AU55" i="52" s="1"/>
  <c r="AW74" i="52"/>
  <c r="AW77" i="52" s="1"/>
  <c r="AW111" i="52"/>
  <c r="AW113" i="52" s="1"/>
  <c r="AW45" i="52"/>
  <c r="AW48" i="52" s="1"/>
  <c r="AW55" i="52" s="1"/>
  <c r="AR96" i="52"/>
  <c r="AR42" i="52"/>
  <c r="AY74" i="52"/>
  <c r="AY77" i="52" s="1"/>
  <c r="AY111" i="52"/>
  <c r="AY113" i="52" s="1"/>
  <c r="AY45" i="52"/>
  <c r="AY48" i="52" s="1"/>
  <c r="AY55" i="52" s="1"/>
  <c r="AS45" i="52"/>
  <c r="AS48" i="52" s="1"/>
  <c r="AS55" i="52" s="1"/>
  <c r="AS74" i="52"/>
  <c r="AS77" i="52" s="1"/>
  <c r="AS111" i="52"/>
  <c r="AS113" i="52" s="1"/>
  <c r="AV74" i="52"/>
  <c r="AV77" i="52" s="1"/>
  <c r="AV111" i="52"/>
  <c r="AV113" i="52" s="1"/>
  <c r="AV45" i="52"/>
  <c r="AV48" i="52" s="1"/>
  <c r="AV55" i="52" s="1"/>
  <c r="AT111" i="52"/>
  <c r="AT113" i="52" s="1"/>
  <c r="AT74" i="52"/>
  <c r="AT77" i="52" s="1"/>
  <c r="AT45" i="52"/>
  <c r="AT48" i="52" s="1"/>
  <c r="AT55" i="52" s="1"/>
  <c r="AY54" i="52" l="1"/>
  <c r="AV54" i="52"/>
  <c r="AU54" i="52"/>
  <c r="AT54" i="52"/>
  <c r="AS54" i="52"/>
  <c r="AR111" i="52"/>
  <c r="AR45" i="52"/>
  <c r="AR48" i="52" s="1"/>
  <c r="AR74" i="52"/>
  <c r="AR77" i="52" s="1"/>
  <c r="AR51" i="52"/>
  <c r="AR110" i="52" s="1"/>
  <c r="AX54" i="52"/>
  <c r="AW54" i="52"/>
  <c r="AR55" i="52" l="1"/>
  <c r="AR113" i="52"/>
  <c r="AT133" i="52"/>
  <c r="AT114" i="52"/>
  <c r="AV133" i="52"/>
  <c r="AV114" i="52"/>
  <c r="AS114" i="52"/>
  <c r="AS133" i="52"/>
  <c r="AX133" i="52"/>
  <c r="AX114" i="52"/>
  <c r="AU133" i="52"/>
  <c r="AU114" i="52"/>
  <c r="AR54" i="52"/>
  <c r="AW133" i="52"/>
  <c r="AW114" i="52"/>
  <c r="AY133" i="52"/>
  <c r="AY114" i="52"/>
  <c r="Q122" i="36" l="1"/>
  <c r="AR133" i="52"/>
  <c r="AR114" i="52"/>
  <c r="U30" i="36" l="1"/>
  <c r="U29" i="36"/>
  <c r="U83" i="36"/>
  <c r="U82" i="36"/>
  <c r="U74" i="36"/>
  <c r="U73" i="36"/>
  <c r="U65" i="36"/>
  <c r="U64" i="36"/>
  <c r="U21" i="36"/>
  <c r="U12" i="36"/>
  <c r="U20" i="36"/>
  <c r="U11" i="36"/>
  <c r="U40" i="36"/>
  <c r="T33" i="36" a="1"/>
  <c r="T33" i="36" s="1"/>
  <c r="S33" i="36"/>
  <c r="T34" i="36" a="1"/>
  <c r="T34" i="36" s="1"/>
  <c r="S34" i="36"/>
  <c r="T31" i="36" a="1"/>
  <c r="T31" i="36" s="1"/>
  <c r="S31" i="36"/>
  <c r="T32" i="36" a="1"/>
  <c r="T32" i="36" s="1"/>
  <c r="S32" i="36"/>
  <c r="S20" i="36"/>
  <c r="T20" i="36" a="1"/>
  <c r="T20" i="36" s="1"/>
  <c r="T12" i="36" a="1"/>
  <c r="T12" i="36" s="1"/>
  <c r="S12" i="36"/>
  <c r="T13" i="36" a="1"/>
  <c r="T13" i="36" s="1"/>
  <c r="S13" i="36"/>
  <c r="T14" i="36" a="1"/>
  <c r="T14" i="36" s="1"/>
  <c r="S14" i="36"/>
  <c r="T15" i="36" a="1"/>
  <c r="T15" i="36" s="1"/>
  <c r="S15" i="36"/>
  <c r="T16" i="36" a="1"/>
  <c r="T16" i="36" s="1"/>
  <c r="S16" i="36"/>
  <c r="T17" i="36" a="1"/>
  <c r="T17" i="36" s="1"/>
  <c r="S17" i="36"/>
  <c r="T18" i="36" a="1"/>
  <c r="T18" i="36" s="1"/>
  <c r="S18" i="36"/>
  <c r="T21" i="36" a="1"/>
  <c r="T21" i="36" s="1"/>
  <c r="S21" i="36"/>
  <c r="T22" i="36" a="1"/>
  <c r="T22" i="36" s="1"/>
  <c r="S22" i="36"/>
  <c r="T71" i="36" a="1"/>
  <c r="T71" i="36" s="1"/>
  <c r="S71" i="36"/>
  <c r="T73" i="36" a="1"/>
  <c r="T73" i="36" s="1"/>
  <c r="S73" i="36"/>
  <c r="T74" i="36" a="1"/>
  <c r="T74" i="36" s="1"/>
  <c r="S74" i="36"/>
  <c r="T75" i="36" a="1"/>
  <c r="T75" i="36" s="1"/>
  <c r="S75" i="36"/>
  <c r="T76" i="36" a="1"/>
  <c r="T76" i="36" s="1"/>
  <c r="S76" i="36"/>
  <c r="T77" i="36" a="1"/>
  <c r="T77" i="36" s="1"/>
  <c r="S77" i="36"/>
  <c r="T78" i="36" a="1"/>
  <c r="T78" i="36" s="1"/>
  <c r="S78" i="36"/>
  <c r="T79" i="36" a="1"/>
  <c r="T79" i="36" s="1"/>
  <c r="S79" i="36"/>
  <c r="T80" i="36" a="1"/>
  <c r="T80" i="36" s="1"/>
  <c r="S80" i="36"/>
  <c r="T82" i="36" a="1"/>
  <c r="T82" i="36" s="1"/>
  <c r="S82" i="36"/>
  <c r="T83" i="36" a="1"/>
  <c r="T83" i="36" s="1"/>
  <c r="S83" i="36"/>
  <c r="T84" i="36" a="1"/>
  <c r="T84" i="36" s="1"/>
  <c r="S84" i="36"/>
  <c r="T85" i="36" a="1"/>
  <c r="T85" i="36" s="1"/>
  <c r="S85" i="36"/>
  <c r="U22" i="36" l="1"/>
  <c r="U23" i="36" s="1"/>
  <c r="V23" i="36" s="1"/>
  <c r="U31" i="36"/>
  <c r="U66" i="36"/>
  <c r="U67" i="36" s="1"/>
  <c r="V67" i="36" s="1"/>
  <c r="U75" i="36"/>
  <c r="U76" i="36" s="1"/>
  <c r="V76" i="36" s="1"/>
  <c r="U13" i="36"/>
  <c r="U14" i="36" s="1"/>
  <c r="V14" i="36" s="1"/>
  <c r="U84" i="36"/>
  <c r="U85" i="36" s="1"/>
  <c r="V85" i="36" s="1"/>
  <c r="U32" i="36" l="1"/>
  <c r="V32" i="36" s="1"/>
  <c r="Q115" i="36" s="1"/>
  <c r="F8" i="5" s="1"/>
  <c r="Q116" i="36"/>
  <c r="F9" i="5" s="1"/>
  <c r="BC127" i="52" l="1"/>
  <c r="BC129" i="52" s="1"/>
  <c r="BC130" i="52" s="1"/>
  <c r="BC123" i="52"/>
  <c r="BC109" i="52"/>
  <c r="BC106" i="52"/>
  <c r="BC92" i="52"/>
  <c r="BC68" i="52"/>
  <c r="BC58" i="52"/>
  <c r="BC47" i="52"/>
  <c r="BC76" i="52" s="1"/>
  <c r="BC29" i="52"/>
  <c r="BC22" i="52"/>
  <c r="BC119" i="52" s="1"/>
  <c r="BC14" i="52"/>
  <c r="BC104" i="52" s="1"/>
  <c r="F109" i="52"/>
  <c r="F106" i="52"/>
  <c r="F92" i="52"/>
  <c r="F91" i="52"/>
  <c r="F68" i="52"/>
  <c r="F58" i="52"/>
  <c r="F47" i="52"/>
  <c r="F22" i="52"/>
  <c r="F119" i="52" s="1"/>
  <c r="F14" i="52"/>
  <c r="F104" i="52" s="1"/>
  <c r="AE123" i="52"/>
  <c r="AE109" i="52"/>
  <c r="AE106" i="52"/>
  <c r="AE92" i="52"/>
  <c r="AE68" i="52"/>
  <c r="AE58" i="52"/>
  <c r="AE47" i="52"/>
  <c r="AE76" i="52" s="1"/>
  <c r="AE22" i="52"/>
  <c r="AE121" i="52" s="1"/>
  <c r="AE14" i="52"/>
  <c r="AE102" i="52" s="1"/>
  <c r="Y127" i="52"/>
  <c r="Y129" i="52" s="1"/>
  <c r="Y130" i="52" s="1"/>
  <c r="Y123" i="52"/>
  <c r="Y124" i="52" s="1"/>
  <c r="Y125" i="52" s="1"/>
  <c r="Y109" i="52"/>
  <c r="Y106" i="52"/>
  <c r="Y92" i="52"/>
  <c r="Y83" i="52"/>
  <c r="Y70" i="52"/>
  <c r="Y68" i="52"/>
  <c r="Y58" i="52"/>
  <c r="Y57" i="52"/>
  <c r="Y56" i="52"/>
  <c r="Y47" i="52"/>
  <c r="Y76" i="52" s="1"/>
  <c r="Y22" i="52"/>
  <c r="Y14" i="52"/>
  <c r="Y105" i="52" s="1"/>
  <c r="V111" i="36"/>
  <c r="AE118" i="52" l="1"/>
  <c r="AE124" i="52" s="1"/>
  <c r="AE125" i="52" s="1"/>
  <c r="BC121" i="52"/>
  <c r="BC108" i="52"/>
  <c r="BC101" i="52"/>
  <c r="BC102" i="52"/>
  <c r="BC112" i="52"/>
  <c r="BC105" i="52"/>
  <c r="AE127" i="52"/>
  <c r="AE129" i="52" s="1"/>
  <c r="AE130" i="52" s="1"/>
  <c r="BC103" i="52"/>
  <c r="BC118" i="52"/>
  <c r="BC120" i="52" s="1"/>
  <c r="BC28" i="52" s="1"/>
  <c r="F108" i="52"/>
  <c r="BC88" i="52"/>
  <c r="BC100" i="52"/>
  <c r="F101" i="52"/>
  <c r="Y101" i="52"/>
  <c r="F87" i="52"/>
  <c r="F102" i="52"/>
  <c r="F121" i="52"/>
  <c r="F127" i="52"/>
  <c r="F129" i="52" s="1"/>
  <c r="F130" i="52" s="1"/>
  <c r="F105" i="52"/>
  <c r="F88" i="52"/>
  <c r="F103" i="52"/>
  <c r="F118" i="52"/>
  <c r="F120" i="52" s="1"/>
  <c r="F28" i="52" s="1"/>
  <c r="F123" i="52"/>
  <c r="Y30" i="52"/>
  <c r="Y100" i="52" s="1"/>
  <c r="F76" i="52"/>
  <c r="F100" i="52"/>
  <c r="AE108" i="52"/>
  <c r="AE101" i="52"/>
  <c r="AE88" i="52"/>
  <c r="AE100" i="52"/>
  <c r="AE104" i="52"/>
  <c r="AE119" i="52"/>
  <c r="AE103" i="52"/>
  <c r="Y102" i="52"/>
  <c r="AE29" i="52"/>
  <c r="AE112" i="52" s="1"/>
  <c r="AE105" i="52"/>
  <c r="Y108" i="52"/>
  <c r="Y99" i="52"/>
  <c r="Y103" i="52"/>
  <c r="Y88" i="52"/>
  <c r="Y104" i="52"/>
  <c r="Y29" i="52"/>
  <c r="Y112" i="52" s="1"/>
  <c r="CD109" i="52"/>
  <c r="CD106" i="52"/>
  <c r="CD92" i="52"/>
  <c r="CD91" i="52"/>
  <c r="CD83" i="52"/>
  <c r="CD81" i="52"/>
  <c r="CD79" i="52" a="1"/>
  <c r="CD79" i="52" s="1"/>
  <c r="CD68" i="52"/>
  <c r="CD58" i="52"/>
  <c r="CD47" i="52"/>
  <c r="CD76" i="52" s="1"/>
  <c r="CD26" i="52"/>
  <c r="CD27" i="52" s="1"/>
  <c r="CD22" i="52"/>
  <c r="CD38" i="52" s="1"/>
  <c r="CD14" i="52"/>
  <c r="CD105" i="52" s="1"/>
  <c r="CE109" i="52"/>
  <c r="CE106" i="52"/>
  <c r="CE92" i="52"/>
  <c r="CE91" i="52"/>
  <c r="CE83" i="52"/>
  <c r="CE81" i="52"/>
  <c r="CE79" i="52" a="1"/>
  <c r="CE79" i="52" s="1"/>
  <c r="CE76" i="52"/>
  <c r="CE68" i="52"/>
  <c r="CE58" i="52"/>
  <c r="CE47" i="52"/>
  <c r="CE26" i="52"/>
  <c r="CE27" i="52" s="1"/>
  <c r="CE22" i="52"/>
  <c r="CE38" i="52" s="1"/>
  <c r="CE14" i="52"/>
  <c r="CE105" i="52" s="1"/>
  <c r="CF109" i="52"/>
  <c r="CF106" i="52"/>
  <c r="CF92" i="52"/>
  <c r="CF91" i="52"/>
  <c r="CF83" i="52"/>
  <c r="CF81" i="52"/>
  <c r="CF79" i="52" a="1"/>
  <c r="CF79" i="52" s="1"/>
  <c r="CF68" i="52"/>
  <c r="CF58" i="52"/>
  <c r="CF47" i="52"/>
  <c r="CF76" i="52" s="1"/>
  <c r="CF26" i="52"/>
  <c r="CF44" i="52" s="1"/>
  <c r="CF22" i="52"/>
  <c r="CF38" i="52" s="1"/>
  <c r="CF14" i="52"/>
  <c r="CF105" i="52" s="1"/>
  <c r="CG109" i="52"/>
  <c r="CG106" i="52"/>
  <c r="CG92" i="52"/>
  <c r="CG91" i="52"/>
  <c r="CG83" i="52"/>
  <c r="CG81" i="52"/>
  <c r="CG79" i="52" a="1"/>
  <c r="CG79" i="52" s="1"/>
  <c r="CG68" i="52"/>
  <c r="CG58" i="52"/>
  <c r="CG47" i="52"/>
  <c r="CG76" i="52" s="1"/>
  <c r="CG26" i="52"/>
  <c r="CG27" i="52" s="1"/>
  <c r="CG22" i="52"/>
  <c r="CG38" i="52" s="1"/>
  <c r="CG14" i="52"/>
  <c r="CG105" i="52" s="1"/>
  <c r="AQ129" i="52"/>
  <c r="AQ130" i="52" s="1"/>
  <c r="AP129" i="52"/>
  <c r="AP130" i="52" s="1"/>
  <c r="AO129" i="52"/>
  <c r="AO130" i="52" s="1"/>
  <c r="AQ127" i="52"/>
  <c r="AP127" i="52"/>
  <c r="AO127" i="52"/>
  <c r="AQ123" i="52"/>
  <c r="AP123" i="52"/>
  <c r="AO123" i="52"/>
  <c r="AQ109" i="52"/>
  <c r="AP109" i="52"/>
  <c r="AO109" i="52"/>
  <c r="AQ106" i="52"/>
  <c r="AP106" i="52"/>
  <c r="AO106" i="52"/>
  <c r="AQ92" i="52"/>
  <c r="AP92" i="52"/>
  <c r="AO92" i="52"/>
  <c r="AQ83" i="52"/>
  <c r="AP83" i="52"/>
  <c r="AO83" i="52"/>
  <c r="AQ81" i="52"/>
  <c r="AP81" i="52"/>
  <c r="AO81" i="52"/>
  <c r="AQ79" i="52" a="1"/>
  <c r="AQ79" i="52" s="1"/>
  <c r="AP79" i="52" a="1"/>
  <c r="AP79" i="52" s="1"/>
  <c r="AO79" i="52" a="1"/>
  <c r="AO79" i="52" s="1"/>
  <c r="AQ68" i="52"/>
  <c r="AP68" i="52"/>
  <c r="AO68" i="52"/>
  <c r="AQ58" i="52"/>
  <c r="AP58" i="52"/>
  <c r="AO58" i="52"/>
  <c r="AQ47" i="52"/>
  <c r="AP47" i="52"/>
  <c r="AO47" i="52"/>
  <c r="AQ29" i="52"/>
  <c r="AP29" i="52"/>
  <c r="AO29" i="52"/>
  <c r="AQ26" i="52"/>
  <c r="AQ27" i="52" s="1"/>
  <c r="AP26" i="52"/>
  <c r="AP27" i="52" s="1"/>
  <c r="AO26" i="52"/>
  <c r="AQ22" i="52"/>
  <c r="AQ121" i="52" s="1"/>
  <c r="AP22" i="52"/>
  <c r="AP121" i="52" s="1"/>
  <c r="AO22" i="52"/>
  <c r="AO121" i="52" s="1"/>
  <c r="AQ14" i="52"/>
  <c r="AQ104" i="52" s="1"/>
  <c r="AP14" i="52"/>
  <c r="AP104" i="52" s="1"/>
  <c r="AO14" i="52"/>
  <c r="AO77" i="52" s="1"/>
  <c r="AN129" i="52"/>
  <c r="AN130" i="52" s="1"/>
  <c r="AM129" i="52"/>
  <c r="AM130" i="52" s="1"/>
  <c r="AL129" i="52"/>
  <c r="AL130" i="52" s="1"/>
  <c r="AK129" i="52"/>
  <c r="AK130" i="52" s="1"/>
  <c r="AN127" i="52"/>
  <c r="AM127" i="52"/>
  <c r="AL127" i="52"/>
  <c r="AK127" i="52"/>
  <c r="AN123" i="52"/>
  <c r="AM123" i="52"/>
  <c r="AL123" i="52"/>
  <c r="AK123" i="52"/>
  <c r="AN109" i="52"/>
  <c r="AM109" i="52"/>
  <c r="AL109" i="52"/>
  <c r="AK109" i="52"/>
  <c r="AN106" i="52"/>
  <c r="AM106" i="52"/>
  <c r="AL106" i="52"/>
  <c r="AK106" i="52"/>
  <c r="AN92" i="52"/>
  <c r="AM92" i="52"/>
  <c r="AL92" i="52"/>
  <c r="AK92" i="52"/>
  <c r="AN83" i="52"/>
  <c r="AM83" i="52"/>
  <c r="AL83" i="52"/>
  <c r="AK83" i="52"/>
  <c r="AN81" i="52"/>
  <c r="AM81" i="52"/>
  <c r="AL81" i="52"/>
  <c r="AK81" i="52"/>
  <c r="AN79" i="52" a="1"/>
  <c r="AN79" i="52" s="1"/>
  <c r="AM79" i="52" a="1"/>
  <c r="AM79" i="52" s="1"/>
  <c r="AL79" i="52" a="1"/>
  <c r="AL79" i="52" s="1"/>
  <c r="AK79" i="52" a="1"/>
  <c r="AK79" i="52" s="1"/>
  <c r="AN68" i="52"/>
  <c r="AM68" i="52"/>
  <c r="AL68" i="52"/>
  <c r="AK68" i="52"/>
  <c r="AN58" i="52"/>
  <c r="AM58" i="52"/>
  <c r="AL58" i="52"/>
  <c r="AK58" i="52"/>
  <c r="AN47" i="52"/>
  <c r="AM47" i="52"/>
  <c r="AL47" i="52"/>
  <c r="AK47" i="52"/>
  <c r="AN29" i="52"/>
  <c r="AM29" i="52"/>
  <c r="AL29" i="52"/>
  <c r="AK29" i="52"/>
  <c r="AN26" i="52"/>
  <c r="AN44" i="52" s="1"/>
  <c r="AM26" i="52"/>
  <c r="AL26" i="52"/>
  <c r="AK26" i="52"/>
  <c r="AK27" i="52" s="1"/>
  <c r="AN22" i="52"/>
  <c r="AN119" i="52" s="1"/>
  <c r="AM22" i="52"/>
  <c r="AM121" i="52" s="1"/>
  <c r="AL22" i="52"/>
  <c r="AL121" i="52" s="1"/>
  <c r="AK22" i="52"/>
  <c r="AK121" i="52" s="1"/>
  <c r="AN14" i="52"/>
  <c r="AN120" i="52" s="1"/>
  <c r="AN28" i="52" s="1"/>
  <c r="AN99" i="52" s="1"/>
  <c r="AM14" i="52"/>
  <c r="AM104" i="52" s="1"/>
  <c r="AL14" i="52"/>
  <c r="AL104" i="52" s="1"/>
  <c r="AK14" i="52"/>
  <c r="AK104" i="52" s="1"/>
  <c r="J69" i="51"/>
  <c r="K69" i="51"/>
  <c r="L69" i="51"/>
  <c r="G189" i="51"/>
  <c r="H189" i="51"/>
  <c r="I189" i="51"/>
  <c r="J189" i="51"/>
  <c r="K189" i="51"/>
  <c r="L189" i="51"/>
  <c r="M189" i="51"/>
  <c r="N189" i="51"/>
  <c r="O189" i="51"/>
  <c r="P189" i="51"/>
  <c r="Q189" i="51"/>
  <c r="R189" i="51"/>
  <c r="S189" i="51"/>
  <c r="T189" i="51"/>
  <c r="U189" i="51"/>
  <c r="V189" i="51"/>
  <c r="W189" i="51"/>
  <c r="X189" i="51"/>
  <c r="Y189" i="51"/>
  <c r="Z189" i="51"/>
  <c r="AA189" i="51"/>
  <c r="AB189" i="51"/>
  <c r="F189" i="51"/>
  <c r="CY83" i="52"/>
  <c r="CZ83" i="52"/>
  <c r="DA83" i="52"/>
  <c r="DB83" i="52"/>
  <c r="CY81" i="52"/>
  <c r="CZ81" i="52"/>
  <c r="DA81" i="52"/>
  <c r="DB81" i="52"/>
  <c r="CX83" i="52"/>
  <c r="CX81" i="52"/>
  <c r="CQ83" i="52"/>
  <c r="CR83" i="52"/>
  <c r="CS83" i="52"/>
  <c r="CT83" i="52"/>
  <c r="CU83" i="52"/>
  <c r="CP81" i="52"/>
  <c r="CQ81" i="52"/>
  <c r="CR81" i="52"/>
  <c r="CS81" i="52"/>
  <c r="CT81" i="52"/>
  <c r="CU81" i="52"/>
  <c r="CC83" i="52"/>
  <c r="CH83" i="52"/>
  <c r="CC81" i="52"/>
  <c r="CH81" i="52"/>
  <c r="CA81" i="52"/>
  <c r="BP83" i="52"/>
  <c r="BQ83" i="52"/>
  <c r="BR83" i="52"/>
  <c r="BS83" i="52"/>
  <c r="BT83" i="52"/>
  <c r="BU83" i="52"/>
  <c r="BV83" i="52"/>
  <c r="BW83" i="52"/>
  <c r="BX83" i="52"/>
  <c r="BP81" i="52"/>
  <c r="BQ81" i="52"/>
  <c r="BR81" i="52"/>
  <c r="BS81" i="52"/>
  <c r="BT81" i="52"/>
  <c r="BU81" i="52"/>
  <c r="BV81" i="52"/>
  <c r="BW81" i="52"/>
  <c r="BX81" i="52"/>
  <c r="BO83" i="52"/>
  <c r="BO81" i="52"/>
  <c r="BD83" i="52"/>
  <c r="BE83" i="52"/>
  <c r="BF83" i="52"/>
  <c r="BG83" i="52"/>
  <c r="BH83" i="52"/>
  <c r="BI83" i="52"/>
  <c r="BJ83" i="52"/>
  <c r="BK83" i="52"/>
  <c r="BL83" i="52"/>
  <c r="BD81" i="52"/>
  <c r="BE81" i="52"/>
  <c r="BF81" i="52"/>
  <c r="BG81" i="52"/>
  <c r="BH81" i="52"/>
  <c r="BI81" i="52"/>
  <c r="BJ81" i="52"/>
  <c r="BK81" i="52"/>
  <c r="BL81" i="52"/>
  <c r="AA83" i="52"/>
  <c r="AG83" i="52"/>
  <c r="AH83" i="52"/>
  <c r="AI83" i="52"/>
  <c r="AJ83" i="52"/>
  <c r="Z81" i="52"/>
  <c r="AB81" i="52"/>
  <c r="AG81" i="52"/>
  <c r="AH81" i="52"/>
  <c r="AI81" i="52"/>
  <c r="AJ81" i="52"/>
  <c r="X83" i="52"/>
  <c r="D83" i="52"/>
  <c r="H83" i="52"/>
  <c r="K83" i="52"/>
  <c r="L83" i="52"/>
  <c r="M83" i="52"/>
  <c r="N83" i="52"/>
  <c r="O83" i="52"/>
  <c r="P83" i="52"/>
  <c r="Q83" i="52"/>
  <c r="R83" i="52"/>
  <c r="S83" i="52"/>
  <c r="T83" i="52"/>
  <c r="U83" i="52"/>
  <c r="D81" i="52"/>
  <c r="I81" i="52"/>
  <c r="K81" i="52"/>
  <c r="L81" i="52"/>
  <c r="M81" i="52"/>
  <c r="N81" i="52"/>
  <c r="O81" i="52"/>
  <c r="P81" i="52"/>
  <c r="Q81" i="52"/>
  <c r="R81" i="52"/>
  <c r="S81" i="52"/>
  <c r="T81" i="52"/>
  <c r="U81" i="52"/>
  <c r="C83" i="52"/>
  <c r="C81" i="52"/>
  <c r="AB96" i="51"/>
  <c r="Z96" i="51"/>
  <c r="AA96" i="51"/>
  <c r="Y96" i="51"/>
  <c r="V96" i="51"/>
  <c r="C96" i="51"/>
  <c r="W94" i="51"/>
  <c r="Y94" i="51"/>
  <c r="Z94" i="51"/>
  <c r="AA94" i="51"/>
  <c r="AB94" i="51"/>
  <c r="C94" i="51"/>
  <c r="B27" i="55"/>
  <c r="I127" i="52"/>
  <c r="I129" i="52" s="1"/>
  <c r="I130" i="52" s="1"/>
  <c r="I123" i="52"/>
  <c r="I109" i="52"/>
  <c r="I106" i="52"/>
  <c r="I92" i="52"/>
  <c r="I91" i="52"/>
  <c r="I68" i="52"/>
  <c r="I58" i="52"/>
  <c r="I47" i="52"/>
  <c r="I76" i="52" s="1"/>
  <c r="I29" i="52"/>
  <c r="I22" i="52"/>
  <c r="I121" i="52" s="1"/>
  <c r="I14" i="52"/>
  <c r="A50" i="52"/>
  <c r="H9" i="51"/>
  <c r="B12" i="55"/>
  <c r="A11" i="55"/>
  <c r="A69" i="64"/>
  <c r="A67" i="64"/>
  <c r="A66" i="64"/>
  <c r="A55" i="64"/>
  <c r="A54" i="64"/>
  <c r="A51" i="64"/>
  <c r="A21" i="64"/>
  <c r="B30" i="55"/>
  <c r="B28" i="55"/>
  <c r="AE120" i="52" l="1"/>
  <c r="AE28" i="52" s="1"/>
  <c r="F124" i="52"/>
  <c r="F125" i="52" s="1"/>
  <c r="BC99" i="52"/>
  <c r="BC38" i="52"/>
  <c r="BC124" i="52"/>
  <c r="BC125" i="52" s="1"/>
  <c r="F99" i="52"/>
  <c r="AE99" i="52"/>
  <c r="AE38" i="52"/>
  <c r="Y38" i="52"/>
  <c r="CF27" i="52"/>
  <c r="CF42" i="52" s="1"/>
  <c r="CE103" i="52"/>
  <c r="CE108" i="52"/>
  <c r="CE77" i="52"/>
  <c r="CD43" i="52"/>
  <c r="AP96" i="52"/>
  <c r="CD42" i="52"/>
  <c r="CD96" i="52"/>
  <c r="CF43" i="52"/>
  <c r="CF46" i="52" s="1"/>
  <c r="CF107" i="52" s="1"/>
  <c r="CD44" i="52"/>
  <c r="CD99" i="52"/>
  <c r="CD100" i="52"/>
  <c r="CD108" i="52"/>
  <c r="AO112" i="52"/>
  <c r="CG44" i="52"/>
  <c r="CE43" i="52"/>
  <c r="CD101" i="52"/>
  <c r="CD87" i="52"/>
  <c r="CD102" i="52"/>
  <c r="CE51" i="52"/>
  <c r="CE110" i="52" s="1"/>
  <c r="CD88" i="52"/>
  <c r="CD103" i="52"/>
  <c r="CD51" i="52"/>
  <c r="CD110" i="52" s="1"/>
  <c r="CD104" i="52"/>
  <c r="CD77" i="52"/>
  <c r="CE42" i="52"/>
  <c r="CE96" i="52"/>
  <c r="CE44" i="52"/>
  <c r="CE99" i="52"/>
  <c r="CG43" i="52"/>
  <c r="CE100" i="52"/>
  <c r="CF88" i="52"/>
  <c r="CE101" i="52"/>
  <c r="CE87" i="52"/>
  <c r="CE102" i="52"/>
  <c r="CE88" i="52"/>
  <c r="CF103" i="52"/>
  <c r="CE104" i="52"/>
  <c r="AO108" i="52"/>
  <c r="CF99" i="52"/>
  <c r="CF100" i="52"/>
  <c r="CF108" i="52"/>
  <c r="CF101" i="52"/>
  <c r="CF87" i="52"/>
  <c r="CF102" i="52"/>
  <c r="CF51" i="52"/>
  <c r="CF110" i="52" s="1"/>
  <c r="CF104" i="52"/>
  <c r="CF77" i="52"/>
  <c r="CG42" i="52"/>
  <c r="CG96" i="52"/>
  <c r="CG101" i="52"/>
  <c r="I108" i="52"/>
  <c r="AK44" i="52"/>
  <c r="AP112" i="52"/>
  <c r="AO118" i="52"/>
  <c r="AO124" i="52" s="1"/>
  <c r="AO125" i="52" s="1"/>
  <c r="CG87" i="52"/>
  <c r="CG102" i="52"/>
  <c r="AQ96" i="52"/>
  <c r="CG108" i="52"/>
  <c r="AQ112" i="52"/>
  <c r="CG88" i="52"/>
  <c r="CG103" i="52"/>
  <c r="AP108" i="52"/>
  <c r="CG99" i="52"/>
  <c r="AN100" i="52"/>
  <c r="CG100" i="52"/>
  <c r="AL108" i="52"/>
  <c r="CG51" i="52"/>
  <c r="CG110" i="52" s="1"/>
  <c r="CG104" i="52"/>
  <c r="AL112" i="52"/>
  <c r="AQ108" i="52"/>
  <c r="AN112" i="52"/>
  <c r="AM108" i="52"/>
  <c r="AO27" i="52"/>
  <c r="AO96" i="52" s="1"/>
  <c r="AO44" i="52"/>
  <c r="CG77" i="52"/>
  <c r="AK108" i="52"/>
  <c r="AN104" i="52"/>
  <c r="AP44" i="52"/>
  <c r="AP77" i="52"/>
  <c r="AP101" i="52"/>
  <c r="AP103" i="52"/>
  <c r="AP105" i="52"/>
  <c r="AP118" i="52"/>
  <c r="AP124" i="52" s="1"/>
  <c r="AP125" i="52" s="1"/>
  <c r="AP120" i="52"/>
  <c r="AP28" i="52" s="1"/>
  <c r="AP99" i="52" s="1"/>
  <c r="AQ44" i="52"/>
  <c r="AQ77" i="52"/>
  <c r="AQ101" i="52"/>
  <c r="AQ103" i="52"/>
  <c r="AQ105" i="52"/>
  <c r="AQ118" i="52"/>
  <c r="AQ124" i="52" s="1"/>
  <c r="AQ125" i="52" s="1"/>
  <c r="AQ120" i="52"/>
  <c r="AQ28" i="52" s="1"/>
  <c r="AQ99" i="52" s="1"/>
  <c r="AK96" i="52"/>
  <c r="AN88" i="52"/>
  <c r="AO103" i="52"/>
  <c r="AO105" i="52"/>
  <c r="AK112" i="52"/>
  <c r="AN108" i="52"/>
  <c r="AO51" i="52"/>
  <c r="AO110" i="52" s="1"/>
  <c r="AO76" i="52"/>
  <c r="AO88" i="52"/>
  <c r="AO100" i="52"/>
  <c r="AO102" i="52"/>
  <c r="AO104" i="52"/>
  <c r="AO119" i="52"/>
  <c r="AO101" i="52"/>
  <c r="AO120" i="52"/>
  <c r="AO28" i="52" s="1"/>
  <c r="AO99" i="52" s="1"/>
  <c r="AN51" i="52"/>
  <c r="AN110" i="52" s="1"/>
  <c r="AP51" i="52"/>
  <c r="AP110" i="52" s="1"/>
  <c r="AP76" i="52"/>
  <c r="AP88" i="52"/>
  <c r="AP100" i="52"/>
  <c r="AP102" i="52"/>
  <c r="AP119" i="52"/>
  <c r="AM112" i="52"/>
  <c r="AQ51" i="52"/>
  <c r="AQ110" i="52" s="1"/>
  <c r="AQ76" i="52"/>
  <c r="AQ88" i="52"/>
  <c r="AQ100" i="52"/>
  <c r="AQ102" i="52"/>
  <c r="AQ119" i="52"/>
  <c r="AN38" i="52"/>
  <c r="AN46" i="52"/>
  <c r="AN76" i="52"/>
  <c r="I120" i="52"/>
  <c r="I28" i="52" s="1"/>
  <c r="I38" i="52" s="1"/>
  <c r="AK77" i="52"/>
  <c r="AK101" i="52"/>
  <c r="AK103" i="52"/>
  <c r="AK105" i="52"/>
  <c r="AK118" i="52"/>
  <c r="AK124" i="52" s="1"/>
  <c r="AK125" i="52" s="1"/>
  <c r="AK120" i="52"/>
  <c r="AK28" i="52" s="1"/>
  <c r="AK99" i="52" s="1"/>
  <c r="I118" i="52"/>
  <c r="I124" i="52" s="1"/>
  <c r="I125" i="52" s="1"/>
  <c r="AL27" i="52"/>
  <c r="AL44" i="52"/>
  <c r="AL77" i="52"/>
  <c r="AL101" i="52"/>
  <c r="AL103" i="52"/>
  <c r="AL105" i="52"/>
  <c r="AL118" i="52"/>
  <c r="AL124" i="52" s="1"/>
  <c r="AL125" i="52" s="1"/>
  <c r="AL120" i="52"/>
  <c r="AL28" i="52" s="1"/>
  <c r="AL99" i="52" s="1"/>
  <c r="AN102" i="52"/>
  <c r="I119" i="52"/>
  <c r="AM27" i="52"/>
  <c r="AM44" i="52"/>
  <c r="AM77" i="52"/>
  <c r="AM101" i="52"/>
  <c r="AM103" i="52"/>
  <c r="AM105" i="52"/>
  <c r="AM118" i="52"/>
  <c r="AM124" i="52" s="1"/>
  <c r="AM125" i="52" s="1"/>
  <c r="AM120" i="52"/>
  <c r="AM28" i="52" s="1"/>
  <c r="AM99" i="52" s="1"/>
  <c r="AN27" i="52"/>
  <c r="AN77" i="52"/>
  <c r="AN101" i="52"/>
  <c r="AN103" i="52"/>
  <c r="AN105" i="52"/>
  <c r="AN118" i="52"/>
  <c r="AN124" i="52" s="1"/>
  <c r="AN125" i="52" s="1"/>
  <c r="AN121" i="52"/>
  <c r="AK51" i="52"/>
  <c r="AK110" i="52" s="1"/>
  <c r="AK76" i="52"/>
  <c r="AK88" i="52"/>
  <c r="AK100" i="52"/>
  <c r="AK102" i="52"/>
  <c r="AK119" i="52"/>
  <c r="AL51" i="52"/>
  <c r="AL110" i="52" s="1"/>
  <c r="AL76" i="52"/>
  <c r="AL88" i="52"/>
  <c r="AL100" i="52"/>
  <c r="AL102" i="52"/>
  <c r="AL119" i="52"/>
  <c r="AM51" i="52"/>
  <c r="AM110" i="52" s="1"/>
  <c r="AM76" i="52"/>
  <c r="AM88" i="52"/>
  <c r="AM100" i="52"/>
  <c r="AM102" i="52"/>
  <c r="AM119" i="52"/>
  <c r="I101" i="52"/>
  <c r="I88" i="52"/>
  <c r="I104" i="52"/>
  <c r="I112" i="52"/>
  <c r="I87" i="52"/>
  <c r="I100" i="52"/>
  <c r="I105" i="52"/>
  <c r="I102" i="52"/>
  <c r="I103" i="52"/>
  <c r="A18" i="52"/>
  <c r="BP129" i="52"/>
  <c r="BP130" i="52" s="1"/>
  <c r="BQ129" i="52"/>
  <c r="BQ130" i="52" s="1"/>
  <c r="BR129" i="52"/>
  <c r="BR130" i="52" s="1"/>
  <c r="BS129" i="52"/>
  <c r="BS130" i="52" s="1"/>
  <c r="BT129" i="52"/>
  <c r="BT130" i="52" s="1"/>
  <c r="BU129" i="52"/>
  <c r="BU130" i="52" s="1"/>
  <c r="BV129" i="52"/>
  <c r="BV130" i="52" s="1"/>
  <c r="BW129" i="52"/>
  <c r="BW130" i="52" s="1"/>
  <c r="BX129" i="52"/>
  <c r="BX130" i="52" s="1"/>
  <c r="BL129" i="52"/>
  <c r="BL130" i="52" s="1"/>
  <c r="BP127" i="52"/>
  <c r="BQ127" i="52"/>
  <c r="BR127" i="52"/>
  <c r="BS127" i="52"/>
  <c r="BT127" i="52"/>
  <c r="BU127" i="52"/>
  <c r="BV127" i="52"/>
  <c r="BW127" i="52"/>
  <c r="BX127" i="52"/>
  <c r="BF127" i="52"/>
  <c r="BF129" i="52" s="1"/>
  <c r="BF130" i="52" s="1"/>
  <c r="BG127" i="52"/>
  <c r="BG129" i="52" s="1"/>
  <c r="BG130" i="52" s="1"/>
  <c r="BH127" i="52"/>
  <c r="BH129" i="52" s="1"/>
  <c r="BH130" i="52" s="1"/>
  <c r="BI127" i="52"/>
  <c r="BI129" i="52" s="1"/>
  <c r="BI130" i="52" s="1"/>
  <c r="BJ127" i="52"/>
  <c r="BJ129" i="52" s="1"/>
  <c r="BJ130" i="52" s="1"/>
  <c r="BK127" i="52"/>
  <c r="BK129" i="52" s="1"/>
  <c r="BK130" i="52" s="1"/>
  <c r="BL127" i="52"/>
  <c r="J127" i="52"/>
  <c r="J129" i="52" s="1"/>
  <c r="J130" i="52" s="1"/>
  <c r="P127" i="52"/>
  <c r="P129" i="52" s="1"/>
  <c r="P130" i="52" s="1"/>
  <c r="Q127" i="52"/>
  <c r="Q129" i="52" s="1"/>
  <c r="Q130" i="52" s="1"/>
  <c r="R127" i="52"/>
  <c r="R129" i="52" s="1"/>
  <c r="R130" i="52" s="1"/>
  <c r="S127" i="52"/>
  <c r="S129" i="52" s="1"/>
  <c r="S130" i="52" s="1"/>
  <c r="T127" i="52"/>
  <c r="T129" i="52" s="1"/>
  <c r="T130" i="52" s="1"/>
  <c r="U127" i="52"/>
  <c r="U129" i="52" s="1"/>
  <c r="U130" i="52" s="1"/>
  <c r="D127" i="52"/>
  <c r="D129" i="52" s="1"/>
  <c r="D130" i="52" s="1"/>
  <c r="C127" i="52"/>
  <c r="C129" i="52" s="1"/>
  <c r="C130" i="52" s="1"/>
  <c r="Z127" i="52"/>
  <c r="Z129" i="52" s="1"/>
  <c r="Z130" i="52" s="1"/>
  <c r="AF127" i="52"/>
  <c r="AF129" i="52" s="1"/>
  <c r="AF130" i="52" s="1"/>
  <c r="AG127" i="52"/>
  <c r="AG129" i="52" s="1"/>
  <c r="AG130" i="52" s="1"/>
  <c r="AH127" i="52"/>
  <c r="AH129" i="52" s="1"/>
  <c r="AH130" i="52" s="1"/>
  <c r="AI127" i="52"/>
  <c r="AI129" i="52" s="1"/>
  <c r="AI130" i="52" s="1"/>
  <c r="AJ127" i="52"/>
  <c r="AJ129" i="52" s="1"/>
  <c r="AJ130" i="52" s="1"/>
  <c r="X127" i="52"/>
  <c r="X129" i="52" s="1"/>
  <c r="X130" i="52" s="1"/>
  <c r="A19" i="52"/>
  <c r="CY118" i="52"/>
  <c r="DA118" i="52"/>
  <c r="DB118" i="52"/>
  <c r="DA119" i="52"/>
  <c r="DB119" i="52"/>
  <c r="DA120" i="52"/>
  <c r="DA28" i="52" s="1"/>
  <c r="DB120" i="52"/>
  <c r="DB28" i="52" s="1"/>
  <c r="CY121" i="52"/>
  <c r="CZ121" i="52"/>
  <c r="DA121" i="52"/>
  <c r="DB121" i="52"/>
  <c r="CY123" i="52"/>
  <c r="DA123" i="52"/>
  <c r="DB123" i="52"/>
  <c r="CX121" i="52"/>
  <c r="CP118" i="52"/>
  <c r="CQ118" i="52"/>
  <c r="CR118" i="52"/>
  <c r="CS118" i="52"/>
  <c r="CT118" i="52"/>
  <c r="CU118" i="52"/>
  <c r="CP119" i="52"/>
  <c r="CQ119" i="52"/>
  <c r="CR119" i="52"/>
  <c r="CS119" i="52"/>
  <c r="CT119" i="52"/>
  <c r="CU119" i="52"/>
  <c r="CP120" i="52"/>
  <c r="CP28" i="52" s="1"/>
  <c r="CQ120" i="52"/>
  <c r="CQ28" i="52" s="1"/>
  <c r="CR120" i="52"/>
  <c r="CR28" i="52" s="1"/>
  <c r="CS120" i="52"/>
  <c r="CS28" i="52" s="1"/>
  <c r="CT120" i="52"/>
  <c r="CT28" i="52" s="1"/>
  <c r="CU120" i="52"/>
  <c r="CU28" i="52" s="1"/>
  <c r="CN121" i="52"/>
  <c r="CO121" i="52"/>
  <c r="CP121" i="52"/>
  <c r="CQ121" i="52"/>
  <c r="CR121" i="52"/>
  <c r="CS121" i="52"/>
  <c r="CT121" i="52"/>
  <c r="CU121" i="52"/>
  <c r="CP123" i="52"/>
  <c r="CQ123" i="52"/>
  <c r="CR123" i="52"/>
  <c r="CS123" i="52"/>
  <c r="CT123" i="52"/>
  <c r="CU123" i="52"/>
  <c r="CL121" i="52"/>
  <c r="CM121" i="52"/>
  <c r="BP123" i="52"/>
  <c r="BQ123" i="52"/>
  <c r="BR123" i="52"/>
  <c r="BS123" i="52"/>
  <c r="BT123" i="52"/>
  <c r="BU123" i="52"/>
  <c r="BV123" i="52"/>
  <c r="BW123" i="52"/>
  <c r="BX123" i="52"/>
  <c r="BE123" i="52"/>
  <c r="BH123" i="52"/>
  <c r="BK123" i="52"/>
  <c r="BL123" i="52"/>
  <c r="Z123" i="52"/>
  <c r="Z124" i="52" s="1"/>
  <c r="Z125" i="52" s="1"/>
  <c r="AG123" i="52"/>
  <c r="AJ123" i="52"/>
  <c r="X123" i="52"/>
  <c r="X124" i="52" s="1"/>
  <c r="X125" i="52" s="1"/>
  <c r="CK121" i="52"/>
  <c r="L123" i="52"/>
  <c r="O123" i="52"/>
  <c r="P123" i="52"/>
  <c r="Q123" i="52"/>
  <c r="R123" i="52"/>
  <c r="S123" i="52"/>
  <c r="T123" i="52"/>
  <c r="U123" i="52"/>
  <c r="BP29" i="52"/>
  <c r="BQ29" i="52"/>
  <c r="BR29" i="52"/>
  <c r="BS29" i="52"/>
  <c r="BT29" i="52"/>
  <c r="BU29" i="52"/>
  <c r="BV29" i="52"/>
  <c r="BW29" i="52"/>
  <c r="BX29" i="52"/>
  <c r="BF29" i="52"/>
  <c r="BG29" i="52"/>
  <c r="BH29" i="52"/>
  <c r="BI29" i="52"/>
  <c r="BJ29" i="52"/>
  <c r="BK29" i="52"/>
  <c r="BL29" i="52"/>
  <c r="AF29" i="52"/>
  <c r="AG29" i="52"/>
  <c r="AH29" i="52"/>
  <c r="AI29" i="52"/>
  <c r="AJ29" i="52"/>
  <c r="J29" i="52"/>
  <c r="P29" i="52"/>
  <c r="Q29" i="52"/>
  <c r="R29" i="52"/>
  <c r="S29" i="52"/>
  <c r="T29" i="52"/>
  <c r="U29" i="52"/>
  <c r="BL118" i="52"/>
  <c r="BL119" i="52"/>
  <c r="BL121" i="52"/>
  <c r="H22" i="51"/>
  <c r="L22" i="51"/>
  <c r="N22" i="51"/>
  <c r="O22" i="51"/>
  <c r="P22" i="51"/>
  <c r="Q22" i="51"/>
  <c r="R22" i="51"/>
  <c r="S22" i="51"/>
  <c r="T22" i="51"/>
  <c r="U22" i="51"/>
  <c r="V22" i="51"/>
  <c r="W22" i="51"/>
  <c r="X22" i="51"/>
  <c r="Y22" i="51"/>
  <c r="Z22" i="51"/>
  <c r="AA22" i="51"/>
  <c r="AB22" i="51"/>
  <c r="F22" i="51"/>
  <c r="G22" i="51"/>
  <c r="CG46" i="52" l="1"/>
  <c r="CG75" i="52" s="1"/>
  <c r="CF53" i="52"/>
  <c r="CF111" i="52" s="1"/>
  <c r="BC51" i="52"/>
  <c r="BC110" i="52" s="1"/>
  <c r="CD46" i="52"/>
  <c r="CD75" i="52" s="1"/>
  <c r="CF75" i="52"/>
  <c r="CF96" i="52"/>
  <c r="CG107" i="52"/>
  <c r="CE46" i="52"/>
  <c r="CE107" i="52" s="1"/>
  <c r="CQ124" i="52"/>
  <c r="CQ125" i="52" s="1"/>
  <c r="AP46" i="52"/>
  <c r="AP107" i="52" s="1"/>
  <c r="CD53" i="52"/>
  <c r="CD111" i="52" s="1"/>
  <c r="CD74" i="52"/>
  <c r="CD45" i="52"/>
  <c r="CT124" i="52"/>
  <c r="CT125" i="52" s="1"/>
  <c r="AO46" i="52"/>
  <c r="CF45" i="52"/>
  <c r="CF48" i="52" s="1"/>
  <c r="CF74" i="52"/>
  <c r="CE53" i="52"/>
  <c r="CE111" i="52" s="1"/>
  <c r="CE74" i="52"/>
  <c r="CE45" i="52"/>
  <c r="CP124" i="52"/>
  <c r="CP125" i="52" s="1"/>
  <c r="AL46" i="52"/>
  <c r="AL75" i="52" s="1"/>
  <c r="AQ46" i="52"/>
  <c r="AQ107" i="52" s="1"/>
  <c r="I99" i="52"/>
  <c r="CU124" i="52"/>
  <c r="CU125" i="52" s="1"/>
  <c r="AM46" i="52"/>
  <c r="AM107" i="52" s="1"/>
  <c r="AK46" i="52"/>
  <c r="CG53" i="52"/>
  <c r="CG111" i="52" s="1"/>
  <c r="CG45" i="52"/>
  <c r="CG48" i="52" s="1"/>
  <c r="CG74" i="52"/>
  <c r="AO38" i="52"/>
  <c r="AO42" i="52" s="1"/>
  <c r="AQ38" i="52"/>
  <c r="AQ42" i="52" s="1"/>
  <c r="CS124" i="52"/>
  <c r="CS125" i="52" s="1"/>
  <c r="DA124" i="52"/>
  <c r="DA125" i="52" s="1"/>
  <c r="AK38" i="52"/>
  <c r="AK42" i="52" s="1"/>
  <c r="AK45" i="52" s="1"/>
  <c r="AP38" i="52"/>
  <c r="AP42" i="52" s="1"/>
  <c r="CR124" i="52"/>
  <c r="CR125" i="52" s="1"/>
  <c r="AL38" i="52"/>
  <c r="AL42" i="52" s="1"/>
  <c r="AN96" i="52"/>
  <c r="AN42" i="52"/>
  <c r="AM96" i="52"/>
  <c r="AM38" i="52"/>
  <c r="AM42" i="52" s="1"/>
  <c r="AL96" i="52"/>
  <c r="AN107" i="52"/>
  <c r="AN75" i="52"/>
  <c r="CY124" i="52"/>
  <c r="CY125" i="52" s="1"/>
  <c r="DB124" i="52"/>
  <c r="DB125" i="52" s="1"/>
  <c r="O129" i="52"/>
  <c r="O130" i="52" s="1"/>
  <c r="N129" i="52"/>
  <c r="N130" i="52" s="1"/>
  <c r="BL124" i="52"/>
  <c r="BL125" i="52" s="1"/>
  <c r="A51" i="52"/>
  <c r="A64" i="51"/>
  <c r="I185" i="51"/>
  <c r="I190" i="51" s="1"/>
  <c r="I191" i="51" s="1"/>
  <c r="L185" i="51"/>
  <c r="L190" i="51" s="1"/>
  <c r="L191" i="51" s="1"/>
  <c r="M185" i="51"/>
  <c r="M190" i="51" s="1"/>
  <c r="M191" i="51" s="1"/>
  <c r="N185" i="51"/>
  <c r="N190" i="51" s="1"/>
  <c r="N191" i="51" s="1"/>
  <c r="O185" i="51"/>
  <c r="O190" i="51" s="1"/>
  <c r="O191" i="51" s="1"/>
  <c r="P185" i="51"/>
  <c r="P190" i="51" s="1"/>
  <c r="P191" i="51" s="1"/>
  <c r="Q185" i="51"/>
  <c r="Q190" i="51" s="1"/>
  <c r="Q191" i="51" s="1"/>
  <c r="R185" i="51"/>
  <c r="R190" i="51" s="1"/>
  <c r="R191" i="51" s="1"/>
  <c r="S185" i="51"/>
  <c r="S190" i="51" s="1"/>
  <c r="S191" i="51" s="1"/>
  <c r="T185" i="51"/>
  <c r="T190" i="51" s="1"/>
  <c r="T191" i="51" s="1"/>
  <c r="U185" i="51"/>
  <c r="U190" i="51" s="1"/>
  <c r="U191" i="51" s="1"/>
  <c r="V185" i="51"/>
  <c r="V190" i="51" s="1"/>
  <c r="V191" i="51" s="1"/>
  <c r="W185" i="51"/>
  <c r="W190" i="51" s="1"/>
  <c r="W191" i="51" s="1"/>
  <c r="X185" i="51"/>
  <c r="X190" i="51" s="1"/>
  <c r="X191" i="51" s="1"/>
  <c r="Y185" i="51"/>
  <c r="Y190" i="51" s="1"/>
  <c r="Y191" i="51" s="1"/>
  <c r="Z185" i="51"/>
  <c r="Z190" i="51" s="1"/>
  <c r="Z191" i="51" s="1"/>
  <c r="AA185" i="51"/>
  <c r="AA190" i="51" s="1"/>
  <c r="AA191" i="51" s="1"/>
  <c r="AB185" i="51"/>
  <c r="AB190" i="51" s="1"/>
  <c r="AB191" i="51" s="1"/>
  <c r="L186" i="51"/>
  <c r="M186" i="51"/>
  <c r="N186" i="51"/>
  <c r="O186" i="51"/>
  <c r="P186" i="51"/>
  <c r="Q186" i="51"/>
  <c r="R186" i="51"/>
  <c r="S186" i="51"/>
  <c r="T186" i="51"/>
  <c r="U186" i="51"/>
  <c r="V186" i="51"/>
  <c r="W186" i="51"/>
  <c r="X186" i="51"/>
  <c r="Y186" i="51"/>
  <c r="Z186" i="51"/>
  <c r="AA186" i="51"/>
  <c r="AB186" i="51"/>
  <c r="D162" i="51"/>
  <c r="D151" i="51"/>
  <c r="D124" i="51"/>
  <c r="D104" i="51"/>
  <c r="D106" i="51" s="1"/>
  <c r="D98" i="51"/>
  <c r="D103" i="51" s="1"/>
  <c r="D92" i="51" a="1"/>
  <c r="D92" i="51" s="1"/>
  <c r="D82" i="51"/>
  <c r="D73" i="51"/>
  <c r="D69" i="51"/>
  <c r="D54" i="51"/>
  <c r="D52" i="51"/>
  <c r="D51" i="51"/>
  <c r="D49" i="51"/>
  <c r="D47" i="51"/>
  <c r="D44" i="51"/>
  <c r="D24" i="51"/>
  <c r="D16" i="51"/>
  <c r="D38" i="51" s="1"/>
  <c r="D9" i="51"/>
  <c r="B11" i="55"/>
  <c r="A10" i="55"/>
  <c r="B10" i="55"/>
  <c r="A9" i="55"/>
  <c r="CF113" i="52" l="1"/>
  <c r="CF54" i="52"/>
  <c r="CE75" i="52"/>
  <c r="CE48" i="52"/>
  <c r="CE55" i="52" s="1"/>
  <c r="CD48" i="52"/>
  <c r="CD54" i="52" s="1"/>
  <c r="BC81" i="52"/>
  <c r="BC83" i="52"/>
  <c r="CF55" i="52"/>
  <c r="CD107" i="52"/>
  <c r="CD113" i="52" s="1"/>
  <c r="AP75" i="52"/>
  <c r="BC77" i="52"/>
  <c r="BC79" i="52" s="1" a="1"/>
  <c r="BC79" i="52" s="1"/>
  <c r="CG113" i="52"/>
  <c r="CE113" i="52"/>
  <c r="Y79" i="52" a="1"/>
  <c r="Y79" i="52" s="1"/>
  <c r="AQ75" i="52"/>
  <c r="AK48" i="52"/>
  <c r="AK55" i="52" s="1"/>
  <c r="AM75" i="52"/>
  <c r="AO107" i="52"/>
  <c r="AO75" i="52"/>
  <c r="AL107" i="52"/>
  <c r="AK74" i="52"/>
  <c r="CG55" i="52"/>
  <c r="CG54" i="52"/>
  <c r="AK107" i="52"/>
  <c r="AK75" i="52"/>
  <c r="AK53" i="52"/>
  <c r="AK111" i="52" s="1"/>
  <c r="AP74" i="52"/>
  <c r="AP45" i="52"/>
  <c r="AP48" i="52" s="1"/>
  <c r="AP53" i="52"/>
  <c r="AP111" i="52" s="1"/>
  <c r="AP113" i="52" s="1"/>
  <c r="AO74" i="52"/>
  <c r="AO45" i="52"/>
  <c r="AO48" i="52" s="1"/>
  <c r="AO53" i="52"/>
  <c r="AO111" i="52" s="1"/>
  <c r="AQ74" i="52"/>
  <c r="AQ45" i="52"/>
  <c r="AQ48" i="52" s="1"/>
  <c r="AQ53" i="52"/>
  <c r="AQ111" i="52" s="1"/>
  <c r="AQ113" i="52" s="1"/>
  <c r="AM74" i="52"/>
  <c r="AM45" i="52"/>
  <c r="AM48" i="52" s="1"/>
  <c r="AM53" i="52"/>
  <c r="AM111" i="52" s="1"/>
  <c r="AM113" i="52" s="1"/>
  <c r="AL74" i="52"/>
  <c r="AL45" i="52"/>
  <c r="AL48" i="52" s="1"/>
  <c r="AL53" i="52"/>
  <c r="AL111" i="52" s="1"/>
  <c r="AN74" i="52"/>
  <c r="AN45" i="52"/>
  <c r="AN48" i="52" s="1"/>
  <c r="AN53" i="52"/>
  <c r="AN111" i="52" s="1"/>
  <c r="AN113" i="52" s="1"/>
  <c r="I51" i="52"/>
  <c r="I110" i="52" s="1"/>
  <c r="D156" i="51"/>
  <c r="D166" i="51"/>
  <c r="D148" i="51"/>
  <c r="D46" i="51"/>
  <c r="D48" i="51" s="1"/>
  <c r="D53" i="51" s="1"/>
  <c r="D99" i="51"/>
  <c r="D89" i="51"/>
  <c r="D118" i="51"/>
  <c r="D135" i="51"/>
  <c r="D45" i="51"/>
  <c r="D146" i="51"/>
  <c r="D105" i="51"/>
  <c r="D107" i="51" s="1"/>
  <c r="DD47" i="52"/>
  <c r="DC47" i="52"/>
  <c r="CW47" i="52"/>
  <c r="CV47" i="52"/>
  <c r="CJ47" i="52"/>
  <c r="CI47" i="52"/>
  <c r="BZ47" i="52"/>
  <c r="BY47" i="52"/>
  <c r="BN47" i="52"/>
  <c r="BM47" i="52"/>
  <c r="BA47" i="52"/>
  <c r="AZ47" i="52"/>
  <c r="W47" i="52"/>
  <c r="V47" i="52"/>
  <c r="CY47" i="52"/>
  <c r="CZ47" i="52"/>
  <c r="DA47" i="52"/>
  <c r="DB47" i="52"/>
  <c r="CX47" i="52"/>
  <c r="CL47" i="52"/>
  <c r="CM47" i="52"/>
  <c r="CN47" i="52"/>
  <c r="CO47" i="52"/>
  <c r="CP47" i="52"/>
  <c r="CQ47" i="52"/>
  <c r="CR47" i="52"/>
  <c r="CS47" i="52"/>
  <c r="CT47" i="52"/>
  <c r="CU47" i="52"/>
  <c r="CK47" i="52"/>
  <c r="CB47" i="52"/>
  <c r="CC47" i="52"/>
  <c r="CH47" i="52"/>
  <c r="CA47" i="52"/>
  <c r="BP47" i="52"/>
  <c r="BQ47" i="52"/>
  <c r="BR47" i="52"/>
  <c r="BS47" i="52"/>
  <c r="BT47" i="52"/>
  <c r="BU47" i="52"/>
  <c r="BV47" i="52"/>
  <c r="BW47" i="52"/>
  <c r="BX47" i="52"/>
  <c r="BO47" i="52"/>
  <c r="BD47" i="52"/>
  <c r="BE47" i="52"/>
  <c r="BF47" i="52"/>
  <c r="BG47" i="52"/>
  <c r="BH47" i="52"/>
  <c r="BI47" i="52"/>
  <c r="BJ47" i="52"/>
  <c r="BK47" i="52"/>
  <c r="BL47" i="52"/>
  <c r="BB47" i="52"/>
  <c r="Z47" i="52"/>
  <c r="AA47" i="52"/>
  <c r="AB47" i="52"/>
  <c r="AC47" i="52"/>
  <c r="AD47" i="52"/>
  <c r="AF47" i="52"/>
  <c r="AG47" i="52"/>
  <c r="AH47" i="52"/>
  <c r="AI47" i="52"/>
  <c r="AJ47" i="52"/>
  <c r="X47" i="52"/>
  <c r="D47" i="52"/>
  <c r="E47" i="52"/>
  <c r="G47" i="52"/>
  <c r="H47" i="52"/>
  <c r="J47" i="52"/>
  <c r="K47" i="52"/>
  <c r="L47" i="52"/>
  <c r="M47" i="52"/>
  <c r="N47" i="52"/>
  <c r="O47" i="52"/>
  <c r="P47" i="52"/>
  <c r="Q47" i="52"/>
  <c r="R47" i="52"/>
  <c r="S47" i="52"/>
  <c r="T47" i="52"/>
  <c r="U47" i="52"/>
  <c r="C47" i="52"/>
  <c r="B14" i="55"/>
  <c r="CF114" i="52" l="1"/>
  <c r="CE54" i="52"/>
  <c r="CD55" i="52"/>
  <c r="CD114" i="52"/>
  <c r="CG114" i="52"/>
  <c r="CE114" i="52"/>
  <c r="AK113" i="52"/>
  <c r="AL113" i="52"/>
  <c r="D64" i="51"/>
  <c r="D159" i="51" s="1"/>
  <c r="D66" i="51"/>
  <c r="D161" i="51" s="1"/>
  <c r="AO113" i="52"/>
  <c r="AK54" i="52"/>
  <c r="AP54" i="52"/>
  <c r="AP55" i="52"/>
  <c r="AQ54" i="52"/>
  <c r="AQ55" i="52"/>
  <c r="AO55" i="52"/>
  <c r="AO54" i="52"/>
  <c r="AL54" i="52"/>
  <c r="AL55" i="52"/>
  <c r="AN55" i="52"/>
  <c r="AN54" i="52"/>
  <c r="AM54" i="52"/>
  <c r="AM55" i="52"/>
  <c r="I77" i="52"/>
  <c r="I79" i="52" s="1" a="1"/>
  <c r="I79" i="52" s="1"/>
  <c r="D101" i="51"/>
  <c r="D100" i="51"/>
  <c r="D55" i="51"/>
  <c r="D50" i="51"/>
  <c r="D153" i="51"/>
  <c r="O9" i="63"/>
  <c r="O6" i="63"/>
  <c r="A58" i="36"/>
  <c r="AL114" i="52" l="1"/>
  <c r="AL133" i="52"/>
  <c r="AK114" i="52"/>
  <c r="AK133" i="52"/>
  <c r="AO114" i="52"/>
  <c r="AO133" i="52"/>
  <c r="AN114" i="52"/>
  <c r="AN133" i="52"/>
  <c r="AQ114" i="52"/>
  <c r="AQ133" i="52"/>
  <c r="AM114" i="52"/>
  <c r="AM133" i="52"/>
  <c r="AP114" i="52"/>
  <c r="AP133" i="52"/>
  <c r="D94" i="51"/>
  <c r="D68" i="51"/>
  <c r="D67" i="51"/>
  <c r="D96" i="51"/>
  <c r="D102" i="51"/>
  <c r="D169" i="51"/>
  <c r="F9" i="51"/>
  <c r="Q121" i="36" l="1"/>
  <c r="D171" i="51"/>
  <c r="A83" i="64"/>
  <c r="A78" i="64"/>
  <c r="D59" i="12" l="1"/>
  <c r="D60" i="12"/>
  <c r="S68" i="36"/>
  <c r="T68" i="36" a="1"/>
  <c r="T68" i="36" s="1"/>
  <c r="S69" i="36"/>
  <c r="T69" i="36" a="1"/>
  <c r="T69" i="36" s="1"/>
  <c r="S70" i="36"/>
  <c r="T70" i="36" a="1"/>
  <c r="T70" i="36" s="1"/>
  <c r="S86" i="36"/>
  <c r="T86" i="36" a="1"/>
  <c r="T86" i="36" s="1"/>
  <c r="E114" i="5"/>
  <c r="D114" i="5"/>
  <c r="CL14" i="52"/>
  <c r="A65" i="51"/>
  <c r="A63" i="64" l="1"/>
  <c r="A25" i="64" l="1"/>
  <c r="A24" i="64"/>
  <c r="A45" i="64"/>
  <c r="A43" i="64"/>
  <c r="A42" i="64"/>
  <c r="A37" i="64"/>
  <c r="A14" i="64"/>
  <c r="A15" i="64"/>
  <c r="DM17" i="52"/>
  <c r="EB24" i="52"/>
  <c r="DM23" i="52"/>
  <c r="DP24" i="52" s="1"/>
  <c r="D106" i="52"/>
  <c r="E106" i="52"/>
  <c r="H106" i="52"/>
  <c r="K106" i="52"/>
  <c r="L106" i="52"/>
  <c r="M106" i="52"/>
  <c r="N106" i="52"/>
  <c r="O106" i="52"/>
  <c r="P106" i="52"/>
  <c r="Q106" i="52"/>
  <c r="R106" i="52"/>
  <c r="S106" i="52"/>
  <c r="T106" i="52"/>
  <c r="U106" i="52"/>
  <c r="V106" i="52"/>
  <c r="W106" i="52"/>
  <c r="X106" i="52"/>
  <c r="Z106" i="52"/>
  <c r="AA106" i="52"/>
  <c r="AB106" i="52"/>
  <c r="AC106" i="52"/>
  <c r="AD106" i="52"/>
  <c r="AF106" i="52"/>
  <c r="AG106" i="52"/>
  <c r="AH106" i="52"/>
  <c r="AI106" i="52"/>
  <c r="AJ106" i="52"/>
  <c r="AZ106" i="52"/>
  <c r="BA106" i="52"/>
  <c r="BB106" i="52"/>
  <c r="BD106" i="52"/>
  <c r="BE106" i="52"/>
  <c r="BF106" i="52"/>
  <c r="BG106" i="52"/>
  <c r="BH106" i="52"/>
  <c r="BI106" i="52"/>
  <c r="BJ106" i="52"/>
  <c r="BK106" i="52"/>
  <c r="BL106" i="52"/>
  <c r="BM106" i="52"/>
  <c r="BN106" i="52"/>
  <c r="BO106" i="52"/>
  <c r="BP106" i="52"/>
  <c r="BQ106" i="52"/>
  <c r="BR106" i="52"/>
  <c r="BS106" i="52"/>
  <c r="BT106" i="52"/>
  <c r="BU106" i="52"/>
  <c r="BV106" i="52"/>
  <c r="BW106" i="52"/>
  <c r="BX106" i="52"/>
  <c r="BY106" i="52"/>
  <c r="BZ106" i="52"/>
  <c r="CB106" i="52"/>
  <c r="CC106" i="52"/>
  <c r="CH106" i="52"/>
  <c r="CI106" i="52"/>
  <c r="CJ106" i="52"/>
  <c r="CL106" i="52"/>
  <c r="CM106" i="52"/>
  <c r="CN106" i="52"/>
  <c r="CO106" i="52"/>
  <c r="CP106" i="52"/>
  <c r="CQ106" i="52"/>
  <c r="CR106" i="52"/>
  <c r="CS106" i="52"/>
  <c r="CT106" i="52"/>
  <c r="CU106" i="52"/>
  <c r="CV106" i="52"/>
  <c r="CW106" i="52"/>
  <c r="CY106" i="52"/>
  <c r="CZ106" i="52"/>
  <c r="DA106" i="52"/>
  <c r="DB106" i="52"/>
  <c r="DC106" i="52"/>
  <c r="DD106" i="52"/>
  <c r="E151" i="51"/>
  <c r="I151" i="51"/>
  <c r="J151" i="51"/>
  <c r="K151" i="51"/>
  <c r="L151" i="51"/>
  <c r="M151" i="51"/>
  <c r="N151" i="51"/>
  <c r="P151" i="51"/>
  <c r="Q151" i="51"/>
  <c r="R151" i="51"/>
  <c r="S151" i="51"/>
  <c r="T151" i="51"/>
  <c r="U151" i="51"/>
  <c r="V151" i="51"/>
  <c r="W151" i="51"/>
  <c r="X151" i="51"/>
  <c r="Y151" i="51"/>
  <c r="Z151" i="51"/>
  <c r="AA151" i="51"/>
  <c r="AB151" i="51"/>
  <c r="AC151" i="51"/>
  <c r="AD151" i="51"/>
  <c r="C151" i="51"/>
  <c r="E58" i="52"/>
  <c r="AD68" i="51"/>
  <c r="A42" i="55"/>
  <c r="J58" i="52"/>
  <c r="K58" i="52"/>
  <c r="L58" i="52"/>
  <c r="M58" i="52"/>
  <c r="N58" i="52"/>
  <c r="O58" i="52"/>
  <c r="P58" i="52"/>
  <c r="Q58" i="52"/>
  <c r="R58" i="52"/>
  <c r="S58" i="52"/>
  <c r="T58" i="52"/>
  <c r="U58" i="52"/>
  <c r="V58" i="52"/>
  <c r="W58" i="52"/>
  <c r="X58" i="52"/>
  <c r="Z58" i="52"/>
  <c r="AA58" i="52"/>
  <c r="AB58" i="52"/>
  <c r="AC58" i="52"/>
  <c r="AD58" i="52"/>
  <c r="AF58" i="52"/>
  <c r="AG58" i="52"/>
  <c r="AH58" i="52"/>
  <c r="AI58" i="52"/>
  <c r="AJ58" i="52"/>
  <c r="AZ58" i="52"/>
  <c r="BA58" i="52"/>
  <c r="BB58" i="52"/>
  <c r="BD58" i="52"/>
  <c r="BE58" i="52"/>
  <c r="BF58" i="52"/>
  <c r="BG58" i="52"/>
  <c r="BH58" i="52"/>
  <c r="BI58" i="52"/>
  <c r="BJ58" i="52"/>
  <c r="BK58" i="52"/>
  <c r="BL58" i="52"/>
  <c r="BM58" i="52"/>
  <c r="BN58" i="52"/>
  <c r="BO58" i="52"/>
  <c r="BP58" i="52"/>
  <c r="BQ58" i="52"/>
  <c r="BR58" i="52"/>
  <c r="BS58" i="52"/>
  <c r="BT58" i="52"/>
  <c r="BU58" i="52"/>
  <c r="BV58" i="52"/>
  <c r="BW58" i="52"/>
  <c r="BX58" i="52"/>
  <c r="BY58" i="52"/>
  <c r="BZ58" i="52"/>
  <c r="CA58" i="52"/>
  <c r="CB58" i="52"/>
  <c r="CC58" i="52"/>
  <c r="CH58" i="52"/>
  <c r="CI58" i="52"/>
  <c r="CJ58" i="52"/>
  <c r="CK58" i="52"/>
  <c r="CL58" i="52"/>
  <c r="CM58" i="52"/>
  <c r="CN58" i="52"/>
  <c r="CO58" i="52"/>
  <c r="CP58" i="52"/>
  <c r="CQ58" i="52"/>
  <c r="CR58" i="52"/>
  <c r="CS58" i="52"/>
  <c r="CT58" i="52"/>
  <c r="CU58" i="52"/>
  <c r="CV58" i="52"/>
  <c r="CW58" i="52"/>
  <c r="CX58" i="52"/>
  <c r="CY58" i="52"/>
  <c r="CZ58" i="52"/>
  <c r="DA58" i="52"/>
  <c r="DB58" i="52"/>
  <c r="DC58" i="52"/>
  <c r="DD58" i="52"/>
  <c r="C58" i="52"/>
  <c r="DR24" i="52" l="1"/>
  <c r="ED24" i="52"/>
  <c r="DO23" i="52"/>
  <c r="E20" i="20" l="1"/>
  <c r="H69" i="51"/>
  <c r="M69" i="51"/>
  <c r="N69" i="51"/>
  <c r="O69" i="51"/>
  <c r="P69" i="51"/>
  <c r="Q69" i="51"/>
  <c r="R69" i="51"/>
  <c r="S69" i="51"/>
  <c r="T69" i="51"/>
  <c r="U69" i="51"/>
  <c r="V69" i="51"/>
  <c r="W69" i="51"/>
  <c r="X69" i="51"/>
  <c r="Y69" i="51"/>
  <c r="Z69" i="51"/>
  <c r="AA69" i="51"/>
  <c r="AB69" i="51"/>
  <c r="C69" i="51"/>
  <c r="C47" i="51"/>
  <c r="S26" i="36"/>
  <c r="T26" i="36" a="1"/>
  <c r="T26" i="36" s="1"/>
  <c r="S27" i="36"/>
  <c r="T27" i="36" a="1"/>
  <c r="T27" i="36" s="1"/>
  <c r="S29" i="36"/>
  <c r="T29" i="36" a="1"/>
  <c r="T29" i="36" s="1"/>
  <c r="S30" i="36"/>
  <c r="T30" i="36" a="1"/>
  <c r="T30" i="36" s="1"/>
  <c r="G59" i="12"/>
  <c r="H59" i="12"/>
  <c r="G60" i="12"/>
  <c r="H60" i="12"/>
  <c r="H46" i="12"/>
  <c r="H47" i="12"/>
  <c r="H48" i="12"/>
  <c r="D46" i="12"/>
  <c r="G46" i="12" s="1"/>
  <c r="D47" i="12"/>
  <c r="G47" i="12" s="1"/>
  <c r="D48" i="12"/>
  <c r="G48" i="12" s="1"/>
  <c r="H26" i="12"/>
  <c r="H27" i="12"/>
  <c r="H28" i="12"/>
  <c r="D26" i="12"/>
  <c r="G26" i="12" s="1"/>
  <c r="D27" i="12"/>
  <c r="G27" i="12" s="1"/>
  <c r="D28" i="12"/>
  <c r="G28" i="12" s="1"/>
  <c r="H9" i="12"/>
  <c r="H10" i="12"/>
  <c r="H11" i="12"/>
  <c r="D9" i="12"/>
  <c r="G9" i="12" s="1"/>
  <c r="D10" i="12"/>
  <c r="G10" i="12" s="1"/>
  <c r="D11" i="12"/>
  <c r="G11" i="12" s="1"/>
  <c r="B121" i="8"/>
  <c r="B10" i="1"/>
  <c r="B8" i="1"/>
  <c r="A12" i="55"/>
  <c r="A8" i="55"/>
  <c r="B8" i="55"/>
  <c r="A7" i="55"/>
  <c r="A6" i="55"/>
  <c r="A5" i="55" l="1"/>
  <c r="A4" i="55"/>
  <c r="P9" i="63" l="1"/>
  <c r="AI42" i="51"/>
  <c r="AI30" i="51"/>
  <c r="AI15" i="51"/>
  <c r="AI4" i="51"/>
  <c r="E162" i="51"/>
  <c r="F162" i="51"/>
  <c r="G162" i="51"/>
  <c r="H162" i="51"/>
  <c r="I162" i="51"/>
  <c r="J162" i="51"/>
  <c r="K162" i="51"/>
  <c r="L162" i="51"/>
  <c r="M162" i="51"/>
  <c r="N162" i="51"/>
  <c r="O162" i="51"/>
  <c r="P162" i="51"/>
  <c r="Q162" i="51"/>
  <c r="R162" i="51"/>
  <c r="S162" i="51"/>
  <c r="T162" i="51"/>
  <c r="U162" i="51"/>
  <c r="V162" i="51"/>
  <c r="W162" i="51"/>
  <c r="X162" i="51"/>
  <c r="Y162" i="51"/>
  <c r="Z162" i="51"/>
  <c r="AA162" i="51"/>
  <c r="AB162" i="51"/>
  <c r="AC162" i="51"/>
  <c r="AD162" i="51"/>
  <c r="C162" i="51"/>
  <c r="DS17" i="52"/>
  <c r="DV17" i="52" s="1"/>
  <c r="DY17" i="52" s="1"/>
  <c r="EB18" i="52" s="1"/>
  <c r="DM26" i="52"/>
  <c r="J109" i="52"/>
  <c r="K109" i="52"/>
  <c r="L109" i="52"/>
  <c r="M109" i="52"/>
  <c r="N109" i="52"/>
  <c r="O109" i="52"/>
  <c r="P109" i="52"/>
  <c r="Q109" i="52"/>
  <c r="R109" i="52"/>
  <c r="S109" i="52"/>
  <c r="T109" i="52"/>
  <c r="U109" i="52"/>
  <c r="V109" i="52"/>
  <c r="W109" i="52"/>
  <c r="X109" i="52"/>
  <c r="Z109" i="52"/>
  <c r="AA109" i="52"/>
  <c r="AB109" i="52"/>
  <c r="AC109" i="52"/>
  <c r="AD109" i="52"/>
  <c r="AF109" i="52"/>
  <c r="AG109" i="52"/>
  <c r="AH109" i="52"/>
  <c r="AI109" i="52"/>
  <c r="AJ109" i="52"/>
  <c r="AZ109" i="52"/>
  <c r="BA109" i="52"/>
  <c r="BB109" i="52"/>
  <c r="BD109" i="52"/>
  <c r="BE109" i="52"/>
  <c r="BF109" i="52"/>
  <c r="BG109" i="52"/>
  <c r="BH109" i="52"/>
  <c r="BI109" i="52"/>
  <c r="BJ109" i="52"/>
  <c r="BK109" i="52"/>
  <c r="BL109" i="52"/>
  <c r="BM109" i="52"/>
  <c r="BN109" i="52"/>
  <c r="BO109" i="52"/>
  <c r="BP109" i="52"/>
  <c r="BQ109" i="52"/>
  <c r="BR109" i="52"/>
  <c r="BS109" i="52"/>
  <c r="BT109" i="52"/>
  <c r="BU109" i="52"/>
  <c r="BV109" i="52"/>
  <c r="BW109" i="52"/>
  <c r="BX109" i="52"/>
  <c r="BY109" i="52"/>
  <c r="BZ109" i="52"/>
  <c r="CA109" i="52"/>
  <c r="CB109" i="52"/>
  <c r="CC109" i="52"/>
  <c r="CH109" i="52"/>
  <c r="CI109" i="52"/>
  <c r="CJ109" i="52"/>
  <c r="CK109" i="52"/>
  <c r="CL109" i="52"/>
  <c r="CM109" i="52"/>
  <c r="CN109" i="52"/>
  <c r="CO109" i="52"/>
  <c r="CP109" i="52"/>
  <c r="CQ109" i="52"/>
  <c r="CR109" i="52"/>
  <c r="CS109" i="52"/>
  <c r="CT109" i="52"/>
  <c r="CU109" i="52"/>
  <c r="CV109" i="52"/>
  <c r="CW109" i="52"/>
  <c r="CX109" i="52"/>
  <c r="CY109" i="52"/>
  <c r="CZ109" i="52"/>
  <c r="DA109" i="52"/>
  <c r="DB109" i="52"/>
  <c r="DC109" i="52"/>
  <c r="DD109" i="52"/>
  <c r="D109" i="52"/>
  <c r="E109" i="52"/>
  <c r="G109" i="52"/>
  <c r="H109" i="52"/>
  <c r="C109" i="52"/>
  <c r="DO26" i="52" l="1"/>
  <c r="DL26" i="52"/>
  <c r="ED18" i="52"/>
  <c r="EA17" i="52"/>
  <c r="DU17" i="52"/>
  <c r="DX17" i="52"/>
  <c r="DR18" i="52"/>
  <c r="AI39" i="51"/>
  <c r="F26" i="20"/>
  <c r="E26" i="20"/>
  <c r="F20" i="20"/>
  <c r="F24" i="5"/>
  <c r="D20" i="20"/>
  <c r="A63" i="51"/>
  <c r="K7" i="28"/>
  <c r="K18" i="28"/>
  <c r="K12" i="28"/>
  <c r="D35" i="55" l="1"/>
  <c r="F47" i="51" l="1"/>
  <c r="F49" i="51" s="1"/>
  <c r="F52" i="51"/>
  <c r="G47" i="51"/>
  <c r="H47" i="51"/>
  <c r="G49" i="51"/>
  <c r="H49" i="51"/>
  <c r="H51" i="51"/>
  <c r="G52" i="51"/>
  <c r="H52" i="51"/>
  <c r="J47" i="51"/>
  <c r="J49" i="51"/>
  <c r="I51" i="51"/>
  <c r="I52" i="51" s="1"/>
  <c r="J51" i="51"/>
  <c r="J52" i="51"/>
  <c r="K47" i="51"/>
  <c r="L47" i="51"/>
  <c r="K49" i="51"/>
  <c r="L49" i="51"/>
  <c r="K51" i="51"/>
  <c r="L51" i="51"/>
  <c r="K52" i="51"/>
  <c r="L52" i="51"/>
  <c r="M47" i="51"/>
  <c r="N47" i="51"/>
  <c r="O47" i="51"/>
  <c r="P47" i="51"/>
  <c r="M49" i="51"/>
  <c r="N49" i="51"/>
  <c r="O49" i="51"/>
  <c r="P49" i="51"/>
  <c r="M51" i="51"/>
  <c r="N51" i="51"/>
  <c r="O51" i="51"/>
  <c r="P51" i="51"/>
  <c r="M52" i="51"/>
  <c r="N52" i="51"/>
  <c r="O52" i="51"/>
  <c r="P52" i="51"/>
  <c r="Q47" i="51"/>
  <c r="R47" i="51"/>
  <c r="S47" i="51"/>
  <c r="Q49" i="51"/>
  <c r="R49" i="51"/>
  <c r="S49" i="51"/>
  <c r="Q51" i="51"/>
  <c r="R51" i="51"/>
  <c r="S51" i="51"/>
  <c r="Q52" i="51"/>
  <c r="R52" i="51"/>
  <c r="S52" i="51"/>
  <c r="T47" i="51"/>
  <c r="U47" i="51"/>
  <c r="V47" i="51"/>
  <c r="T49" i="51"/>
  <c r="U49" i="51"/>
  <c r="V49" i="51"/>
  <c r="T51" i="51"/>
  <c r="U51" i="51"/>
  <c r="V51" i="51"/>
  <c r="T52" i="51"/>
  <c r="U52" i="51"/>
  <c r="V52" i="51"/>
  <c r="W47" i="51"/>
  <c r="X47" i="51"/>
  <c r="Y47" i="51"/>
  <c r="W49" i="51"/>
  <c r="X49" i="51"/>
  <c r="Y49" i="51"/>
  <c r="W51" i="51"/>
  <c r="X51" i="51"/>
  <c r="Y51" i="51"/>
  <c r="W52" i="51"/>
  <c r="X52" i="51"/>
  <c r="Y52" i="51"/>
  <c r="AA47" i="51"/>
  <c r="AA49" i="51"/>
  <c r="Z51" i="51"/>
  <c r="Z52" i="51" s="1"/>
  <c r="AA51" i="51"/>
  <c r="AA52" i="51"/>
  <c r="AB51" i="51"/>
  <c r="AB52" i="51" s="1"/>
  <c r="E51" i="51"/>
  <c r="E52" i="51" s="1"/>
  <c r="F81" i="5"/>
  <c r="F80" i="5"/>
  <c r="F75" i="5"/>
  <c r="G75" i="5" s="1"/>
  <c r="F70" i="5"/>
  <c r="E163" i="32"/>
  <c r="F163" i="32"/>
  <c r="E158" i="32"/>
  <c r="F158" i="32"/>
  <c r="E133" i="32"/>
  <c r="F133" i="32"/>
  <c r="F139" i="32"/>
  <c r="E143" i="32"/>
  <c r="F143" i="32"/>
  <c r="E147" i="32"/>
  <c r="F147" i="32"/>
  <c r="E151" i="32"/>
  <c r="E130" i="5" s="1"/>
  <c r="F151" i="32"/>
  <c r="A123" i="32"/>
  <c r="F6" i="32"/>
  <c r="E6" i="32"/>
  <c r="E11" i="32"/>
  <c r="F11" i="32"/>
  <c r="E15" i="32"/>
  <c r="F15" i="32"/>
  <c r="E23" i="32"/>
  <c r="F23" i="32"/>
  <c r="E31" i="32"/>
  <c r="F31" i="32"/>
  <c r="E35" i="32"/>
  <c r="F35" i="32"/>
  <c r="E43" i="32"/>
  <c r="F43" i="32"/>
  <c r="E51" i="32"/>
  <c r="F51" i="32"/>
  <c r="E58" i="32"/>
  <c r="F58" i="32"/>
  <c r="E62" i="32"/>
  <c r="F62" i="32"/>
  <c r="E75" i="32"/>
  <c r="F75" i="32"/>
  <c r="E81" i="32"/>
  <c r="F81" i="32"/>
  <c r="E98" i="32"/>
  <c r="F98" i="32"/>
  <c r="F105" i="32"/>
  <c r="E105" i="32"/>
  <c r="E109" i="32"/>
  <c r="F109" i="32"/>
  <c r="E113" i="32"/>
  <c r="F64" i="5" s="1"/>
  <c r="F113" i="32"/>
  <c r="E122" i="32"/>
  <c r="F122" i="32"/>
  <c r="F46" i="23"/>
  <c r="F57" i="5"/>
  <c r="E45" i="23"/>
  <c r="F58" i="5" s="1"/>
  <c r="F45" i="23"/>
  <c r="F40" i="23"/>
  <c r="E40" i="23"/>
  <c r="D40" i="23"/>
  <c r="E39" i="23"/>
  <c r="F39" i="23"/>
  <c r="F35" i="23"/>
  <c r="E35" i="23"/>
  <c r="F10" i="23"/>
  <c r="E15" i="23"/>
  <c r="F15" i="23"/>
  <c r="E19" i="23"/>
  <c r="F19" i="23"/>
  <c r="E27" i="23"/>
  <c r="F27" i="23"/>
  <c r="D27" i="23"/>
  <c r="E10" i="23"/>
  <c r="E65" i="24"/>
  <c r="F208" i="36"/>
  <c r="F185" i="36"/>
  <c r="E185" i="36"/>
  <c r="F178" i="36"/>
  <c r="E178" i="36"/>
  <c r="F171" i="36"/>
  <c r="E171" i="36"/>
  <c r="D126" i="5" s="1"/>
  <c r="F165" i="36"/>
  <c r="E165" i="36"/>
  <c r="F153" i="36"/>
  <c r="E153" i="36"/>
  <c r="F146" i="36"/>
  <c r="E146" i="36"/>
  <c r="F136" i="36"/>
  <c r="E136" i="36"/>
  <c r="F125" i="36"/>
  <c r="E125" i="36"/>
  <c r="F129" i="20"/>
  <c r="E129" i="20"/>
  <c r="F40" i="5" s="1"/>
  <c r="F112" i="20"/>
  <c r="F109" i="20"/>
  <c r="E109" i="20"/>
  <c r="F92" i="20"/>
  <c r="E92" i="20"/>
  <c r="F86" i="20"/>
  <c r="E86" i="20"/>
  <c r="F79" i="20"/>
  <c r="E79" i="20"/>
  <c r="E124" i="5" s="1"/>
  <c r="F72" i="20"/>
  <c r="E72" i="20"/>
  <c r="F63" i="20"/>
  <c r="E63" i="20"/>
  <c r="F59" i="20"/>
  <c r="E59" i="20"/>
  <c r="F52" i="20"/>
  <c r="E52" i="20"/>
  <c r="F39" i="20"/>
  <c r="E39" i="20"/>
  <c r="F32" i="20"/>
  <c r="E32" i="20"/>
  <c r="D124" i="5" l="1"/>
  <c r="F113" i="20"/>
  <c r="D130" i="5"/>
  <c r="F76" i="5"/>
  <c r="D129" i="5"/>
  <c r="E129" i="5"/>
  <c r="D127" i="5"/>
  <c r="E127" i="5"/>
  <c r="E126" i="5"/>
  <c r="F186" i="36"/>
  <c r="E125" i="5"/>
  <c r="A66" i="51"/>
  <c r="AZ92" i="52" l="1"/>
  <c r="BA92" i="52"/>
  <c r="W92" i="52"/>
  <c r="V92" i="52"/>
  <c r="W91" i="52"/>
  <c r="V91" i="52"/>
  <c r="BM92" i="52"/>
  <c r="BN92" i="52"/>
  <c r="BZ92" i="52"/>
  <c r="BY92" i="52"/>
  <c r="BZ91" i="52"/>
  <c r="BY91" i="52"/>
  <c r="CJ92" i="52"/>
  <c r="CI92" i="52"/>
  <c r="CJ91" i="52"/>
  <c r="CI91" i="52"/>
  <c r="CW92" i="52"/>
  <c r="CV92" i="52"/>
  <c r="CW91" i="52"/>
  <c r="CV91" i="52"/>
  <c r="DD91" i="52"/>
  <c r="DD92" i="52"/>
  <c r="DC91" i="52"/>
  <c r="DC92" i="52"/>
  <c r="AD104" i="51"/>
  <c r="AD105" i="51" s="1"/>
  <c r="AC104" i="51"/>
  <c r="AC106" i="51" s="1"/>
  <c r="BD91" i="52"/>
  <c r="BE91" i="52" s="1"/>
  <c r="BF91" i="52" s="1"/>
  <c r="BG91" i="52" s="1"/>
  <c r="BH91" i="52" s="1"/>
  <c r="BI91" i="52" s="1"/>
  <c r="BJ91" i="52" s="1"/>
  <c r="BK91" i="52" s="1"/>
  <c r="BL91" i="52" s="1"/>
  <c r="BD92" i="52"/>
  <c r="BE92" i="52"/>
  <c r="BF92" i="52"/>
  <c r="BG92" i="52"/>
  <c r="BH92" i="52"/>
  <c r="BI92" i="52"/>
  <c r="BJ92" i="52"/>
  <c r="BK92" i="52"/>
  <c r="BL92" i="52"/>
  <c r="BB92" i="52"/>
  <c r="AB92" i="52"/>
  <c r="AC92" i="52"/>
  <c r="AD92" i="52"/>
  <c r="AF92" i="52"/>
  <c r="AG92" i="52"/>
  <c r="AH92" i="52"/>
  <c r="AI92" i="52"/>
  <c r="AJ92" i="52"/>
  <c r="Z92" i="52"/>
  <c r="AA92" i="52"/>
  <c r="X92" i="52"/>
  <c r="D91" i="52"/>
  <c r="E91" i="52"/>
  <c r="G91" i="52"/>
  <c r="H91" i="52"/>
  <c r="J91" i="52"/>
  <c r="K91" i="52"/>
  <c r="L91" i="52"/>
  <c r="M91" i="52"/>
  <c r="N91" i="52"/>
  <c r="O91" i="52"/>
  <c r="P91" i="52"/>
  <c r="Q91" i="52"/>
  <c r="R91" i="52"/>
  <c r="S91" i="52"/>
  <c r="T91" i="52"/>
  <c r="U91" i="52"/>
  <c r="BO91" i="52"/>
  <c r="BP91" i="52"/>
  <c r="BQ91" i="52"/>
  <c r="BR91" i="52"/>
  <c r="BS91" i="52"/>
  <c r="BT91" i="52"/>
  <c r="BU91" i="52"/>
  <c r="BV91" i="52"/>
  <c r="BW91" i="52"/>
  <c r="BX91" i="52"/>
  <c r="CA91" i="52"/>
  <c r="CB91" i="52"/>
  <c r="CC91" i="52"/>
  <c r="CH91" i="52"/>
  <c r="CK91" i="52"/>
  <c r="CL91" i="52"/>
  <c r="CM91" i="52"/>
  <c r="CN91" i="52"/>
  <c r="CO91" i="52"/>
  <c r="CP91" i="52"/>
  <c r="CQ91" i="52"/>
  <c r="CR91" i="52"/>
  <c r="CS91" i="52"/>
  <c r="CT91" i="52"/>
  <c r="CU91" i="52"/>
  <c r="CX91" i="52"/>
  <c r="CY91" i="52"/>
  <c r="CZ91" i="52"/>
  <c r="DA91" i="52"/>
  <c r="DB91" i="52"/>
  <c r="D92" i="52"/>
  <c r="E92" i="52"/>
  <c r="G92" i="52"/>
  <c r="H92" i="52"/>
  <c r="J92" i="52"/>
  <c r="K92" i="52"/>
  <c r="L92" i="52"/>
  <c r="M92" i="52"/>
  <c r="N92" i="52"/>
  <c r="O92" i="52"/>
  <c r="P92" i="52"/>
  <c r="Q92" i="52"/>
  <c r="R92" i="52"/>
  <c r="S92" i="52"/>
  <c r="T92" i="52"/>
  <c r="U92" i="52"/>
  <c r="BO92" i="52"/>
  <c r="BP92" i="52"/>
  <c r="BQ92" i="52"/>
  <c r="BR92" i="52"/>
  <c r="BS92" i="52"/>
  <c r="BT92" i="52"/>
  <c r="BU92" i="52"/>
  <c r="BV92" i="52"/>
  <c r="BW92" i="52"/>
  <c r="BX92" i="52"/>
  <c r="CA92" i="52"/>
  <c r="CB92" i="52"/>
  <c r="CC92" i="52"/>
  <c r="CH92" i="52"/>
  <c r="CK92" i="52"/>
  <c r="CL92" i="52"/>
  <c r="CM92" i="52"/>
  <c r="CN92" i="52"/>
  <c r="CO92" i="52"/>
  <c r="CP92" i="52"/>
  <c r="CQ92" i="52"/>
  <c r="CR92" i="52"/>
  <c r="CS92" i="52"/>
  <c r="CT92" i="52"/>
  <c r="CU92" i="52"/>
  <c r="CX92" i="52"/>
  <c r="CY92" i="52"/>
  <c r="CZ92" i="52"/>
  <c r="DA92" i="52"/>
  <c r="DB92" i="52"/>
  <c r="C92" i="52"/>
  <c r="C91" i="52"/>
  <c r="B90" i="52"/>
  <c r="B86" i="52"/>
  <c r="B92" i="52"/>
  <c r="B91" i="52"/>
  <c r="E104" i="51"/>
  <c r="E106" i="51" s="1"/>
  <c r="F104" i="51"/>
  <c r="F106" i="51" s="1"/>
  <c r="G104" i="51"/>
  <c r="G106" i="51" s="1"/>
  <c r="H104" i="51"/>
  <c r="H106" i="51" s="1"/>
  <c r="I104" i="51"/>
  <c r="I105" i="51" s="1"/>
  <c r="J104" i="51"/>
  <c r="J106" i="51" s="1"/>
  <c r="K104" i="51"/>
  <c r="K105" i="51" s="1"/>
  <c r="L104" i="51"/>
  <c r="L106" i="51" s="1"/>
  <c r="M104" i="51"/>
  <c r="M106" i="51" s="1"/>
  <c r="N104" i="51"/>
  <c r="N106" i="51" s="1"/>
  <c r="O104" i="51"/>
  <c r="O106" i="51" s="1"/>
  <c r="P104" i="51"/>
  <c r="P106" i="51" s="1"/>
  <c r="Q104" i="51"/>
  <c r="Q106" i="51" s="1"/>
  <c r="R104" i="51"/>
  <c r="R105" i="51" s="1"/>
  <c r="S104" i="51"/>
  <c r="S105" i="51" s="1"/>
  <c r="T104" i="51"/>
  <c r="T106" i="51" s="1"/>
  <c r="U104" i="51"/>
  <c r="U106" i="51" s="1"/>
  <c r="V104" i="51"/>
  <c r="V106" i="51" s="1"/>
  <c r="W104" i="51"/>
  <c r="W106" i="51" s="1"/>
  <c r="X104" i="51"/>
  <c r="X106" i="51" s="1"/>
  <c r="Y104" i="51"/>
  <c r="Y105" i="51" s="1"/>
  <c r="Z104" i="51"/>
  <c r="Z105" i="51" s="1"/>
  <c r="AA104" i="51"/>
  <c r="AA106" i="51" s="1"/>
  <c r="AB104" i="51"/>
  <c r="AB105" i="51" s="1"/>
  <c r="C104" i="51"/>
  <c r="C106" i="51" s="1"/>
  <c r="A103" i="51"/>
  <c r="A98" i="51"/>
  <c r="B106" i="51"/>
  <c r="B105" i="51"/>
  <c r="A105" i="51"/>
  <c r="A106" i="51" s="1"/>
  <c r="A107" i="51" s="1"/>
  <c r="A85" i="52"/>
  <c r="A84" i="52"/>
  <c r="A13" i="52"/>
  <c r="A12" i="52"/>
  <c r="A11" i="52"/>
  <c r="B96" i="51"/>
  <c r="B94" i="51"/>
  <c r="B95" i="51"/>
  <c r="B93" i="51"/>
  <c r="B91" i="51"/>
  <c r="B92" i="51"/>
  <c r="A95" i="51"/>
  <c r="A93" i="51"/>
  <c r="A91" i="51"/>
  <c r="A6" i="51"/>
  <c r="A7" i="51"/>
  <c r="A8" i="51"/>
  <c r="A10" i="51"/>
  <c r="DC85" i="52"/>
  <c r="DC84" i="52"/>
  <c r="CV85" i="52"/>
  <c r="CV84" i="52"/>
  <c r="CI85" i="52"/>
  <c r="CI84" i="52"/>
  <c r="BY85" i="52"/>
  <c r="BY84" i="52"/>
  <c r="BM85" i="52"/>
  <c r="BM84" i="52"/>
  <c r="AZ85" i="52"/>
  <c r="AZ84" i="52"/>
  <c r="V85" i="52"/>
  <c r="V84" i="52"/>
  <c r="F138" i="32"/>
  <c r="F137" i="32"/>
  <c r="F136" i="32"/>
  <c r="K3" i="28"/>
  <c r="M23" i="28"/>
  <c r="L23" i="28"/>
  <c r="M17" i="28"/>
  <c r="L17" i="28"/>
  <c r="M11" i="28"/>
  <c r="L11" i="28"/>
  <c r="M18" i="28"/>
  <c r="L18" i="28"/>
  <c r="M12" i="28"/>
  <c r="L12" i="28"/>
  <c r="M7" i="28"/>
  <c r="L7" i="28"/>
  <c r="L6" i="28"/>
  <c r="M6" i="28"/>
  <c r="F135" i="32" s="1"/>
  <c r="M3" i="28"/>
  <c r="L3" i="28"/>
  <c r="J18" i="28"/>
  <c r="J12" i="28"/>
  <c r="J7" i="28"/>
  <c r="J3" i="28"/>
  <c r="E123" i="5"/>
  <c r="D123" i="5"/>
  <c r="E112" i="5"/>
  <c r="D112" i="5"/>
  <c r="F72" i="5"/>
  <c r="G72" i="5" s="1"/>
  <c r="F125" i="32"/>
  <c r="F97" i="24"/>
  <c r="F88" i="24"/>
  <c r="F81" i="24"/>
  <c r="F76" i="24"/>
  <c r="F71" i="24"/>
  <c r="F50" i="5"/>
  <c r="G50" i="5" s="1"/>
  <c r="F65" i="24"/>
  <c r="F55" i="24"/>
  <c r="F38" i="24"/>
  <c r="F42" i="24"/>
  <c r="F46" i="24"/>
  <c r="F32" i="24"/>
  <c r="F25" i="24"/>
  <c r="F16" i="24"/>
  <c r="F9" i="24"/>
  <c r="F138" i="36"/>
  <c r="F148" i="36" s="1"/>
  <c r="F155" i="36" s="1"/>
  <c r="F167" i="36" s="1"/>
  <c r="F173" i="36" s="1"/>
  <c r="F180" i="36" s="1"/>
  <c r="F131" i="20"/>
  <c r="F130" i="20"/>
  <c r="U105" i="51" l="1"/>
  <c r="X105" i="51"/>
  <c r="W105" i="51"/>
  <c r="V105" i="51"/>
  <c r="AC105" i="51"/>
  <c r="AC107" i="51" s="1"/>
  <c r="P105" i="51"/>
  <c r="E105" i="51"/>
  <c r="C105" i="51"/>
  <c r="AB106" i="51"/>
  <c r="AD106" i="51"/>
  <c r="AD107" i="51" s="1"/>
  <c r="Y106" i="51"/>
  <c r="T105" i="51"/>
  <c r="S106" i="51"/>
  <c r="R106" i="51"/>
  <c r="AA105" i="51"/>
  <c r="Z106" i="51"/>
  <c r="Q105" i="51"/>
  <c r="I106" i="51"/>
  <c r="K106" i="51"/>
  <c r="J105" i="51"/>
  <c r="H105" i="51"/>
  <c r="O105" i="51"/>
  <c r="G105" i="51"/>
  <c r="N105" i="51"/>
  <c r="F105" i="51"/>
  <c r="M105" i="51"/>
  <c r="L105" i="51"/>
  <c r="CW93" i="52"/>
  <c r="DD93" i="52"/>
  <c r="BA93" i="52"/>
  <c r="BO57" i="52"/>
  <c r="BO56" i="52"/>
  <c r="BZ111" i="52"/>
  <c r="BY111" i="52"/>
  <c r="BZ110" i="52"/>
  <c r="BY110" i="52"/>
  <c r="BX79" i="52" a="1"/>
  <c r="BX79" i="52" s="1"/>
  <c r="BW79" i="52" a="1"/>
  <c r="BW79" i="52" s="1"/>
  <c r="BV79" i="52" a="1"/>
  <c r="BV79" i="52" s="1"/>
  <c r="BU79" i="52" a="1"/>
  <c r="BU79" i="52" s="1"/>
  <c r="BT79" i="52" a="1"/>
  <c r="BT79" i="52" s="1"/>
  <c r="BS79" i="52" a="1"/>
  <c r="BS79" i="52" s="1"/>
  <c r="BR79" i="52" a="1"/>
  <c r="BR79" i="52" s="1"/>
  <c r="BQ79" i="52" a="1"/>
  <c r="BQ79" i="52" s="1"/>
  <c r="BP79" i="52" a="1"/>
  <c r="BP79" i="52" s="1"/>
  <c r="BO79" i="52" a="1"/>
  <c r="BO79" i="52" s="1"/>
  <c r="BZ68" i="52"/>
  <c r="BY68" i="52"/>
  <c r="BX68" i="52"/>
  <c r="BW68" i="52"/>
  <c r="BV68" i="52"/>
  <c r="BU68" i="52"/>
  <c r="BT68" i="52"/>
  <c r="BS68" i="52"/>
  <c r="BR68" i="52"/>
  <c r="BQ68" i="52"/>
  <c r="BP68" i="52"/>
  <c r="BO68" i="52"/>
  <c r="BW76" i="52"/>
  <c r="BT76" i="52"/>
  <c r="BW26" i="52"/>
  <c r="BV26" i="52"/>
  <c r="BU26" i="52"/>
  <c r="BT26" i="52"/>
  <c r="BS26" i="52"/>
  <c r="BZ14" i="52"/>
  <c r="BZ112" i="52" s="1"/>
  <c r="BY14" i="52"/>
  <c r="BY112" i="52" s="1"/>
  <c r="BX14" i="52"/>
  <c r="BW14" i="52"/>
  <c r="BV14" i="52"/>
  <c r="BU14" i="52"/>
  <c r="BT14" i="52"/>
  <c r="BS14" i="52"/>
  <c r="BR14" i="52"/>
  <c r="BQ14" i="52"/>
  <c r="BP14" i="52"/>
  <c r="BO14" i="52"/>
  <c r="BX77" i="52" l="1"/>
  <c r="BX120" i="52"/>
  <c r="BX28" i="52" s="1"/>
  <c r="BT77" i="52"/>
  <c r="BT120" i="52"/>
  <c r="BT28" i="52" s="1"/>
  <c r="BT99" i="52" s="1"/>
  <c r="BU77" i="52"/>
  <c r="BU120" i="52"/>
  <c r="BU28" i="52" s="1"/>
  <c r="BU99" i="52" s="1"/>
  <c r="BV77" i="52"/>
  <c r="BV120" i="52"/>
  <c r="BV28" i="52" s="1"/>
  <c r="BV99" i="52" s="1"/>
  <c r="BW77" i="52"/>
  <c r="BW120" i="52"/>
  <c r="BW28" i="52" s="1"/>
  <c r="BP77" i="52"/>
  <c r="BP120" i="52"/>
  <c r="BP28" i="52" s="1"/>
  <c r="BR77" i="52"/>
  <c r="BR120" i="52"/>
  <c r="BR28" i="52" s="1"/>
  <c r="BQ77" i="52"/>
  <c r="BQ120" i="52"/>
  <c r="BQ28" i="52" s="1"/>
  <c r="BS77" i="52"/>
  <c r="BS120" i="52"/>
  <c r="BS28" i="52" s="1"/>
  <c r="BS99" i="52" s="1"/>
  <c r="BX51" i="52"/>
  <c r="BX112" i="52"/>
  <c r="BT44" i="52"/>
  <c r="BP51" i="52"/>
  <c r="BP112" i="52"/>
  <c r="BQ51" i="52"/>
  <c r="BQ112" i="52"/>
  <c r="BS51" i="52"/>
  <c r="BS110" i="52" s="1"/>
  <c r="BS112" i="52"/>
  <c r="BU51" i="52"/>
  <c r="BU110" i="52" s="1"/>
  <c r="BU112" i="52"/>
  <c r="BU44" i="52"/>
  <c r="BW51" i="52"/>
  <c r="BW110" i="52" s="1"/>
  <c r="BW112" i="52"/>
  <c r="BW44" i="52"/>
  <c r="BR51" i="52"/>
  <c r="BR112" i="52"/>
  <c r="BS44" i="52"/>
  <c r="BT51" i="52"/>
  <c r="BT110" i="52" s="1"/>
  <c r="BT112" i="52"/>
  <c r="BV51" i="52"/>
  <c r="BV110" i="52" s="1"/>
  <c r="BV112" i="52"/>
  <c r="BV44" i="52"/>
  <c r="BZ108" i="52"/>
  <c r="BZ88" i="52"/>
  <c r="BZ87" i="52"/>
  <c r="BY88" i="52"/>
  <c r="BY87" i="52"/>
  <c r="F112" i="36"/>
  <c r="BT104" i="52"/>
  <c r="BU104" i="52"/>
  <c r="BZ93" i="52"/>
  <c r="BV104" i="52"/>
  <c r="BW88" i="52"/>
  <c r="BO88" i="52"/>
  <c r="BO104" i="52"/>
  <c r="BZ105" i="52"/>
  <c r="BZ99" i="52"/>
  <c r="BY99" i="52"/>
  <c r="BX88" i="52"/>
  <c r="BR105" i="52"/>
  <c r="BR108" i="52"/>
  <c r="BQ88" i="52"/>
  <c r="BP88" i="52"/>
  <c r="BS108" i="52"/>
  <c r="BS27" i="52"/>
  <c r="BU108" i="52"/>
  <c r="BU76" i="52"/>
  <c r="BZ85" i="52"/>
  <c r="BZ70" i="52"/>
  <c r="BV108" i="52"/>
  <c r="BO108" i="52"/>
  <c r="BW108" i="52"/>
  <c r="BP108" i="52"/>
  <c r="BX108" i="52"/>
  <c r="BW99" i="52"/>
  <c r="BQ108" i="52"/>
  <c r="BY108" i="52"/>
  <c r="BO76" i="52"/>
  <c r="BQ76" i="52"/>
  <c r="BS76" i="52"/>
  <c r="BZ84" i="52"/>
  <c r="BT27" i="52"/>
  <c r="BR88" i="52"/>
  <c r="BO100" i="52"/>
  <c r="BW100" i="52"/>
  <c r="BW104" i="52"/>
  <c r="BS105" i="52"/>
  <c r="BU27" i="52"/>
  <c r="BV76" i="52"/>
  <c r="BS88" i="52"/>
  <c r="BP100" i="52"/>
  <c r="BX100" i="52"/>
  <c r="BP104" i="52"/>
  <c r="BX104" i="52"/>
  <c r="BT105" i="52"/>
  <c r="BT108" i="52"/>
  <c r="BV27" i="52"/>
  <c r="BT88" i="52"/>
  <c r="BQ100" i="52"/>
  <c r="BY100" i="52"/>
  <c r="BQ104" i="52"/>
  <c r="BY104" i="52"/>
  <c r="BU105" i="52"/>
  <c r="BW27" i="52"/>
  <c r="BP76" i="52"/>
  <c r="BX76" i="52"/>
  <c r="BU88" i="52"/>
  <c r="BR100" i="52"/>
  <c r="BZ100" i="52"/>
  <c r="BR104" i="52"/>
  <c r="BZ104" i="52"/>
  <c r="BV105" i="52"/>
  <c r="BV88" i="52"/>
  <c r="BS100" i="52"/>
  <c r="BS104" i="52"/>
  <c r="BO105" i="52"/>
  <c r="BW105" i="52"/>
  <c r="BR76" i="52"/>
  <c r="BT100" i="52"/>
  <c r="BP105" i="52"/>
  <c r="BX105" i="52"/>
  <c r="BU100" i="52"/>
  <c r="BQ105" i="52"/>
  <c r="BY105" i="52"/>
  <c r="BV100" i="52"/>
  <c r="C54" i="51"/>
  <c r="C44" i="51"/>
  <c r="AC52" i="51"/>
  <c r="AD52" i="51"/>
  <c r="G29" i="1"/>
  <c r="G28" i="1"/>
  <c r="E9" i="51"/>
  <c r="G9" i="51"/>
  <c r="I9" i="51"/>
  <c r="J9" i="51"/>
  <c r="K9" i="51"/>
  <c r="L9" i="51"/>
  <c r="M9" i="51"/>
  <c r="M22" i="51" s="1"/>
  <c r="N9" i="51"/>
  <c r="O9" i="51"/>
  <c r="P9" i="51"/>
  <c r="Q9" i="51"/>
  <c r="R9" i="51"/>
  <c r="S9" i="51"/>
  <c r="T9" i="51"/>
  <c r="U9" i="51"/>
  <c r="V9" i="51"/>
  <c r="W9" i="51"/>
  <c r="W90" i="51" s="1"/>
  <c r="X9" i="51"/>
  <c r="Y9" i="51"/>
  <c r="Z9" i="51"/>
  <c r="Z90" i="51" s="1"/>
  <c r="AA9" i="51"/>
  <c r="AA90" i="51" s="1"/>
  <c r="AB9" i="51"/>
  <c r="AB90" i="51" s="1"/>
  <c r="AC9" i="51"/>
  <c r="AC99" i="51" s="1"/>
  <c r="AD9" i="51"/>
  <c r="AD99" i="51" s="1"/>
  <c r="Y187" i="51" l="1"/>
  <c r="Y37" i="51" s="1"/>
  <c r="Q187" i="51"/>
  <c r="Q37" i="51" s="1"/>
  <c r="X187" i="51"/>
  <c r="X37" i="51" s="1"/>
  <c r="P187" i="51"/>
  <c r="P37" i="51" s="1"/>
  <c r="W187" i="51"/>
  <c r="W37" i="51" s="1"/>
  <c r="W64" i="51"/>
  <c r="O187" i="51"/>
  <c r="O37" i="51" s="1"/>
  <c r="V187" i="51"/>
  <c r="V37" i="51" s="1"/>
  <c r="N187" i="51"/>
  <c r="N37" i="51" s="1"/>
  <c r="U187" i="51"/>
  <c r="U37" i="51" s="1"/>
  <c r="M187" i="51"/>
  <c r="M37" i="51" s="1"/>
  <c r="AB187" i="51"/>
  <c r="AB37" i="51" s="1"/>
  <c r="AB64" i="51"/>
  <c r="T187" i="51"/>
  <c r="T37" i="51" s="1"/>
  <c r="L187" i="51"/>
  <c r="L37" i="51" s="1"/>
  <c r="AA187" i="51"/>
  <c r="AA37" i="51" s="1"/>
  <c r="AA64" i="51"/>
  <c r="S187" i="51"/>
  <c r="S37" i="51" s="1"/>
  <c r="Z187" i="51"/>
  <c r="Z37" i="51" s="1"/>
  <c r="Z64" i="51"/>
  <c r="R187" i="51"/>
  <c r="R37" i="51" s="1"/>
  <c r="BS96" i="52"/>
  <c r="ED23" i="52"/>
  <c r="ED14" i="52"/>
  <c r="ED16" i="52"/>
  <c r="ED19" i="52"/>
  <c r="BZ89" i="52"/>
  <c r="BV96" i="52"/>
  <c r="BT96" i="52"/>
  <c r="BU96" i="52"/>
  <c r="BW96" i="52"/>
  <c r="AA73" i="51"/>
  <c r="AA98" i="51"/>
  <c r="AA103" i="51" s="1"/>
  <c r="AA92" i="51" a="1"/>
  <c r="AA92" i="51" s="1"/>
  <c r="AA176" i="51" l="1"/>
  <c r="AA177" i="51"/>
  <c r="AA178" i="51"/>
  <c r="AA179" i="51"/>
  <c r="AA112" i="51"/>
  <c r="AA113" i="51"/>
  <c r="AA114" i="51"/>
  <c r="AA54" i="51"/>
  <c r="AA44" i="51"/>
  <c r="AA21" i="51"/>
  <c r="AA23" i="51"/>
  <c r="AF96" i="51"/>
  <c r="AF94" i="51"/>
  <c r="A53" i="52"/>
  <c r="A52" i="52"/>
  <c r="AA124" i="51" l="1"/>
  <c r="AA24" i="51"/>
  <c r="AA99" i="51"/>
  <c r="AA156" i="51"/>
  <c r="AA166" i="51"/>
  <c r="AA121" i="51"/>
  <c r="AA148" i="51"/>
  <c r="T64" i="36" a="1"/>
  <c r="T64" i="36" s="1"/>
  <c r="T23" i="36" a="1"/>
  <c r="T23" i="36" s="1"/>
  <c r="T24" i="36" a="1"/>
  <c r="T24" i="36" s="1"/>
  <c r="T25" i="36" a="1"/>
  <c r="T25" i="36" s="1"/>
  <c r="T35" i="36" a="1"/>
  <c r="T35" i="36" s="1"/>
  <c r="T36" i="36" a="1"/>
  <c r="T36" i="36" s="1"/>
  <c r="AA100" i="51" l="1"/>
  <c r="AA101" i="51"/>
  <c r="S23" i="36"/>
  <c r="S24" i="36"/>
  <c r="S25" i="36"/>
  <c r="S35" i="36"/>
  <c r="S36" i="36"/>
  <c r="CR14" i="52"/>
  <c r="CP68" i="52"/>
  <c r="CP14" i="52"/>
  <c r="CN14" i="52"/>
  <c r="CL70" i="52"/>
  <c r="CL76" i="52"/>
  <c r="AC61" i="51"/>
  <c r="AD61" i="51"/>
  <c r="CR51" i="52" l="1"/>
  <c r="CR77" i="52"/>
  <c r="CP51" i="52"/>
  <c r="CP77" i="52"/>
  <c r="CP99" i="52"/>
  <c r="CL100" i="52"/>
  <c r="CN105" i="52"/>
  <c r="CR105" i="52"/>
  <c r="CR99" i="52"/>
  <c r="AA102" i="51"/>
  <c r="CN108" i="52"/>
  <c r="CP108" i="52"/>
  <c r="CR108" i="52"/>
  <c r="CR87" i="52"/>
  <c r="CR88" i="52"/>
  <c r="CR104" i="52"/>
  <c r="CN87" i="52"/>
  <c r="CR76" i="52"/>
  <c r="CP87" i="52"/>
  <c r="CP105" i="52"/>
  <c r="CP88" i="52"/>
  <c r="CP76" i="52"/>
  <c r="CP104" i="52"/>
  <c r="CN88" i="52"/>
  <c r="CN104" i="52"/>
  <c r="CN76" i="52"/>
  <c r="CL87" i="52"/>
  <c r="CL104" i="52"/>
  <c r="CL108" i="52"/>
  <c r="CL88" i="52"/>
  <c r="CL105" i="52"/>
  <c r="CR79" i="52" l="1" a="1"/>
  <c r="CR79" i="52" s="1"/>
  <c r="CP79" i="52" a="1"/>
  <c r="CP79" i="52" s="1"/>
  <c r="I26" i="28" l="1"/>
  <c r="I25" i="28"/>
  <c r="A56" i="24"/>
  <c r="A33" i="24"/>
  <c r="A17" i="24"/>
  <c r="B90" i="36"/>
  <c r="B37" i="36"/>
  <c r="A12" i="63"/>
  <c r="A129" i="20"/>
  <c r="C113" i="20"/>
  <c r="B34" i="12"/>
  <c r="M20" i="63" l="1"/>
  <c r="M28" i="63"/>
  <c r="H117" i="12" s="1"/>
  <c r="N6" i="63" a="1"/>
  <c r="N6" i="63" s="1"/>
  <c r="N7" i="63" a="1"/>
  <c r="N7" i="63" s="1"/>
  <c r="N8" i="63" a="1"/>
  <c r="N8" i="63" s="1"/>
  <c r="N9" i="63" a="1"/>
  <c r="N9" i="63" s="1"/>
  <c r="N10" i="63" a="1"/>
  <c r="N10" i="63" s="1"/>
  <c r="N11" i="63" a="1"/>
  <c r="N11" i="63" s="1"/>
  <c r="M7" i="63"/>
  <c r="M8" i="63"/>
  <c r="M9" i="63"/>
  <c r="M10" i="63"/>
  <c r="M11" i="63"/>
  <c r="M6" i="63"/>
  <c r="S11" i="36"/>
  <c r="S37" i="36" s="1"/>
  <c r="M12" i="63" l="1"/>
  <c r="H99" i="12" s="1"/>
  <c r="O8" i="63"/>
  <c r="O10" i="63" s="1"/>
  <c r="N12" i="63"/>
  <c r="H114" i="12" s="1"/>
  <c r="CY79" i="52" a="1"/>
  <c r="CY79" i="52" s="1"/>
  <c r="CZ79" i="52" a="1"/>
  <c r="CZ79" i="52" s="1"/>
  <c r="DA79" i="52" a="1"/>
  <c r="DA79" i="52" s="1"/>
  <c r="DB79" i="52" a="1"/>
  <c r="DB79" i="52" s="1"/>
  <c r="CX79" i="52" a="1"/>
  <c r="CX79" i="52" s="1"/>
  <c r="CS79" i="52" a="1"/>
  <c r="CS79" i="52" s="1"/>
  <c r="CT79" i="52" a="1"/>
  <c r="CT79" i="52" s="1"/>
  <c r="CU79" i="52" a="1"/>
  <c r="CU79" i="52" s="1"/>
  <c r="CB79" i="52" a="1"/>
  <c r="CB79" i="52" s="1"/>
  <c r="CC79" i="52" a="1"/>
  <c r="CC79" i="52" s="1"/>
  <c r="CH79" i="52" a="1"/>
  <c r="CH79" i="52" s="1"/>
  <c r="BD79" i="52" a="1"/>
  <c r="BD79" i="52" s="1"/>
  <c r="BE79" i="52" a="1"/>
  <c r="BE79" i="52" s="1"/>
  <c r="BF79" i="52" a="1"/>
  <c r="BF79" i="52" s="1"/>
  <c r="BG79" i="52" a="1"/>
  <c r="BG79" i="52" s="1"/>
  <c r="BH79" i="52" a="1"/>
  <c r="BH79" i="52" s="1"/>
  <c r="BI79" i="52" a="1"/>
  <c r="BI79" i="52" s="1"/>
  <c r="BJ79" i="52" a="1"/>
  <c r="BJ79" i="52" s="1"/>
  <c r="BK79" i="52" a="1"/>
  <c r="BK79" i="52" s="1"/>
  <c r="BL79" i="52" a="1"/>
  <c r="BL79" i="52" s="1"/>
  <c r="Z79" i="52" a="1"/>
  <c r="Z79" i="52" s="1"/>
  <c r="AH79" i="52" a="1"/>
  <c r="AH79" i="52" s="1"/>
  <c r="AI79" i="52" a="1"/>
  <c r="AI79" i="52" s="1"/>
  <c r="AJ79" i="52" a="1"/>
  <c r="AJ79" i="52" s="1"/>
  <c r="M79" i="52" a="1"/>
  <c r="M79" i="52" s="1"/>
  <c r="N79" i="52" a="1"/>
  <c r="N79" i="52" s="1"/>
  <c r="O79" i="52" a="1"/>
  <c r="O79" i="52" s="1"/>
  <c r="P79" i="52" a="1"/>
  <c r="P79" i="52" s="1"/>
  <c r="Q79" i="52" a="1"/>
  <c r="Q79" i="52" s="1"/>
  <c r="R79" i="52" a="1"/>
  <c r="R79" i="52" s="1"/>
  <c r="S79" i="52" a="1"/>
  <c r="S79" i="52" s="1"/>
  <c r="T79" i="52" a="1"/>
  <c r="T79" i="52" s="1"/>
  <c r="U79" i="52" a="1"/>
  <c r="U79" i="52" s="1"/>
  <c r="C79" i="52" a="1"/>
  <c r="C79" i="52" s="1"/>
  <c r="D79" i="52" a="1"/>
  <c r="D79" i="52" s="1"/>
  <c r="AB92" i="51" a="1"/>
  <c r="AB92" i="51" s="1"/>
  <c r="H68" i="52"/>
  <c r="H76" i="52"/>
  <c r="H14" i="52"/>
  <c r="L68" i="52"/>
  <c r="L76" i="52"/>
  <c r="L14" i="52"/>
  <c r="L120" i="52" s="1"/>
  <c r="H105" i="52" l="1"/>
  <c r="F7" i="5"/>
  <c r="M29" i="63"/>
  <c r="I117" i="12"/>
  <c r="F20" i="5"/>
  <c r="F27" i="5"/>
  <c r="H27" i="5" s="1"/>
  <c r="H104" i="52"/>
  <c r="H100" i="52"/>
  <c r="H87" i="52"/>
  <c r="H108" i="52"/>
  <c r="H88" i="52"/>
  <c r="L100" i="52"/>
  <c r="L88" i="52"/>
  <c r="L105" i="52"/>
  <c r="L87" i="52"/>
  <c r="L104" i="52"/>
  <c r="L108" i="52"/>
  <c r="G27" i="5" l="1"/>
  <c r="I114" i="12" s="1"/>
  <c r="H20" i="5"/>
  <c r="G20" i="5"/>
  <c r="V179" i="51"/>
  <c r="V178" i="51"/>
  <c r="V177" i="51"/>
  <c r="V176" i="51"/>
  <c r="V114" i="51"/>
  <c r="V113" i="51"/>
  <c r="V112" i="51"/>
  <c r="V98" i="51"/>
  <c r="V103" i="51" s="1"/>
  <c r="V82" i="51"/>
  <c r="V73" i="51"/>
  <c r="V54" i="51"/>
  <c r="V44" i="51"/>
  <c r="V166" i="51"/>
  <c r="I99" i="12" l="1"/>
  <c r="V156" i="51"/>
  <c r="V148" i="51"/>
  <c r="V89" i="51"/>
  <c r="V99" i="51"/>
  <c r="D29" i="5" l="1"/>
  <c r="V100" i="51"/>
  <c r="V101" i="51"/>
  <c r="H6" i="5"/>
  <c r="V102" i="51" l="1"/>
  <c r="V113" i="36" l="1"/>
  <c r="Q117" i="36"/>
  <c r="V112" i="36"/>
  <c r="K54" i="51"/>
  <c r="U114" i="36" l="1"/>
  <c r="V114" i="36" s="1"/>
  <c r="C9" i="51"/>
  <c r="AC161" i="51"/>
  <c r="AD161" i="51"/>
  <c r="V110" i="52"/>
  <c r="W110" i="52"/>
  <c r="AZ110" i="52"/>
  <c r="BA110" i="52"/>
  <c r="BM110" i="52"/>
  <c r="BN110" i="52"/>
  <c r="CI110" i="52"/>
  <c r="CJ110" i="52"/>
  <c r="CV110" i="52"/>
  <c r="CW110" i="52"/>
  <c r="DC110" i="52"/>
  <c r="DD110" i="52"/>
  <c r="H2" i="5"/>
  <c r="F2" i="5"/>
  <c r="H3" i="5" s="1"/>
  <c r="G2" i="5"/>
  <c r="G3" i="5"/>
  <c r="T11" i="36" a="1"/>
  <c r="T11" i="36" s="1"/>
  <c r="T37" i="36" s="1"/>
  <c r="T65" i="36" a="1"/>
  <c r="T65" i="36" s="1"/>
  <c r="T66" i="36" a="1"/>
  <c r="T66" i="36" s="1"/>
  <c r="T67" i="36" a="1"/>
  <c r="T67" i="36" s="1"/>
  <c r="T87" i="36" a="1"/>
  <c r="T87" i="36" s="1"/>
  <c r="T89" i="36" a="1"/>
  <c r="T89" i="36" s="1"/>
  <c r="S65" i="36"/>
  <c r="S66" i="36"/>
  <c r="S67" i="36"/>
  <c r="S87" i="36"/>
  <c r="S89" i="36"/>
  <c r="S64" i="36"/>
  <c r="S106" i="36"/>
  <c r="H116" i="12" s="1"/>
  <c r="U105" i="36"/>
  <c r="U101" i="36"/>
  <c r="S98" i="36"/>
  <c r="U97" i="36"/>
  <c r="U93" i="36"/>
  <c r="A5" i="36"/>
  <c r="C99" i="51" l="1"/>
  <c r="S90" i="36"/>
  <c r="H98" i="12" s="1"/>
  <c r="T90" i="36"/>
  <c r="F26" i="5" s="1"/>
  <c r="H26" i="5" s="1"/>
  <c r="A100" i="36"/>
  <c r="I113" i="12"/>
  <c r="I116" i="12"/>
  <c r="F19" i="5"/>
  <c r="H19" i="5" s="1"/>
  <c r="A92" i="36"/>
  <c r="B2" i="55"/>
  <c r="A78" i="52"/>
  <c r="CO14" i="52"/>
  <c r="CQ76" i="52"/>
  <c r="CQ14" i="52"/>
  <c r="J176" i="51"/>
  <c r="K176" i="51"/>
  <c r="L176" i="51"/>
  <c r="M176" i="51"/>
  <c r="N176" i="51"/>
  <c r="O176" i="51"/>
  <c r="P176" i="51"/>
  <c r="Q176" i="51"/>
  <c r="R176" i="51"/>
  <c r="S176" i="51"/>
  <c r="T176" i="51"/>
  <c r="U176" i="51"/>
  <c r="W176" i="51"/>
  <c r="X176" i="51"/>
  <c r="Y176" i="51"/>
  <c r="Z176" i="51"/>
  <c r="AB176" i="51"/>
  <c r="G177" i="51"/>
  <c r="H177" i="51"/>
  <c r="I177" i="51"/>
  <c r="J177" i="51"/>
  <c r="K177" i="51"/>
  <c r="L177" i="51"/>
  <c r="M177" i="51"/>
  <c r="N177" i="51"/>
  <c r="O177" i="51"/>
  <c r="P177" i="51"/>
  <c r="Q177" i="51"/>
  <c r="R177" i="51"/>
  <c r="S177" i="51"/>
  <c r="T177" i="51"/>
  <c r="U177" i="51"/>
  <c r="W177" i="51"/>
  <c r="X177" i="51"/>
  <c r="Y177" i="51"/>
  <c r="Z177" i="51"/>
  <c r="AB177" i="51"/>
  <c r="G178" i="51"/>
  <c r="I178" i="51"/>
  <c r="L178" i="51"/>
  <c r="M178" i="51"/>
  <c r="N178" i="51"/>
  <c r="O178" i="51"/>
  <c r="P178" i="51"/>
  <c r="Q178" i="51"/>
  <c r="R178" i="51"/>
  <c r="S178" i="51"/>
  <c r="T178" i="51"/>
  <c r="U178" i="51"/>
  <c r="W178" i="51"/>
  <c r="X178" i="51"/>
  <c r="Y178" i="51"/>
  <c r="Z178" i="51"/>
  <c r="AB178" i="51"/>
  <c r="J179" i="51"/>
  <c r="L179" i="51"/>
  <c r="M179" i="51"/>
  <c r="O179" i="51"/>
  <c r="P179" i="51"/>
  <c r="Q179" i="51"/>
  <c r="R179" i="51"/>
  <c r="S179" i="51"/>
  <c r="T179" i="51"/>
  <c r="U179" i="51"/>
  <c r="W179" i="51"/>
  <c r="X179" i="51"/>
  <c r="Y179" i="51"/>
  <c r="Z179" i="51"/>
  <c r="AB179" i="51"/>
  <c r="F178" i="51"/>
  <c r="F177" i="51"/>
  <c r="CU14" i="52"/>
  <c r="E14" i="52"/>
  <c r="G14" i="52"/>
  <c r="J14" i="52"/>
  <c r="K14" i="52"/>
  <c r="K120" i="52" s="1"/>
  <c r="M14" i="52"/>
  <c r="M120" i="52" s="1"/>
  <c r="N14" i="52"/>
  <c r="N120" i="52" s="1"/>
  <c r="O14" i="52"/>
  <c r="O120" i="52" s="1"/>
  <c r="P14" i="52"/>
  <c r="P120" i="52" s="1"/>
  <c r="P28" i="52" s="1"/>
  <c r="Q14" i="52"/>
  <c r="Q120" i="52" s="1"/>
  <c r="Q28" i="52" s="1"/>
  <c r="R14" i="52"/>
  <c r="R120" i="52" s="1"/>
  <c r="R28" i="52" s="1"/>
  <c r="S14" i="52"/>
  <c r="S120" i="52" s="1"/>
  <c r="S28" i="52" s="1"/>
  <c r="T14" i="52"/>
  <c r="T120" i="52" s="1"/>
  <c r="T28" i="52" s="1"/>
  <c r="U14" i="52"/>
  <c r="U120" i="52" s="1"/>
  <c r="U28" i="52" s="1"/>
  <c r="V14" i="52"/>
  <c r="W14" i="52"/>
  <c r="X14" i="52"/>
  <c r="Z14" i="52"/>
  <c r="AA14" i="52"/>
  <c r="AB14" i="52"/>
  <c r="AB120" i="52" s="1"/>
  <c r="AC14" i="52"/>
  <c r="AD14" i="52"/>
  <c r="AF14" i="52"/>
  <c r="AG14" i="52"/>
  <c r="AG120" i="52" s="1"/>
  <c r="AH14" i="52"/>
  <c r="AH120" i="52" s="1"/>
  <c r="AI14" i="52"/>
  <c r="AI120" i="52" s="1"/>
  <c r="AJ14" i="52"/>
  <c r="AJ120" i="52" s="1"/>
  <c r="AZ14" i="52"/>
  <c r="BA14" i="52"/>
  <c r="BB14" i="52"/>
  <c r="BD14" i="52"/>
  <c r="BD120" i="52" s="1"/>
  <c r="BE14" i="52"/>
  <c r="BE120" i="52" s="1"/>
  <c r="BF14" i="52"/>
  <c r="BF120" i="52" s="1"/>
  <c r="BG14" i="52"/>
  <c r="BG120" i="52" s="1"/>
  <c r="BH14" i="52"/>
  <c r="BH120" i="52" s="1"/>
  <c r="BI14" i="52"/>
  <c r="BI120" i="52" s="1"/>
  <c r="BJ14" i="52"/>
  <c r="BJ120" i="52" s="1"/>
  <c r="BK14" i="52"/>
  <c r="BK120" i="52" s="1"/>
  <c r="BL14" i="52"/>
  <c r="BM14" i="52"/>
  <c r="BN14" i="52"/>
  <c r="CA14" i="52"/>
  <c r="CB14" i="52"/>
  <c r="CC14" i="52"/>
  <c r="CH14" i="52"/>
  <c r="CI14" i="52"/>
  <c r="CJ14" i="52"/>
  <c r="CK14" i="52"/>
  <c r="CM14" i="52"/>
  <c r="CS14" i="52"/>
  <c r="CT14" i="52"/>
  <c r="CV14" i="52"/>
  <c r="CW14" i="52"/>
  <c r="CX14" i="52"/>
  <c r="CY14" i="52"/>
  <c r="CZ14" i="52"/>
  <c r="DA14" i="52"/>
  <c r="DB14" i="52"/>
  <c r="DC14" i="52"/>
  <c r="DD14" i="52"/>
  <c r="D14" i="52"/>
  <c r="C14" i="52"/>
  <c r="H113" i="12" l="1"/>
  <c r="V110" i="36"/>
  <c r="W110" i="36"/>
  <c r="BL77" i="52"/>
  <c r="BL120" i="52"/>
  <c r="BL28" i="52" s="1"/>
  <c r="BL99" i="52" s="1"/>
  <c r="CC51" i="52"/>
  <c r="CC110" i="52" s="1"/>
  <c r="CC77" i="52"/>
  <c r="CS51" i="52"/>
  <c r="CS77" i="52"/>
  <c r="CU51" i="52"/>
  <c r="CU110" i="52" s="1"/>
  <c r="CU77" i="52"/>
  <c r="CQ51" i="52"/>
  <c r="CQ77" i="52"/>
  <c r="CT51" i="52"/>
  <c r="CT110" i="52" s="1"/>
  <c r="CT77" i="52"/>
  <c r="DB51" i="52"/>
  <c r="DB110" i="52" s="1"/>
  <c r="DB77" i="52"/>
  <c r="DA51" i="52"/>
  <c r="DA77" i="52"/>
  <c r="CH51" i="52"/>
  <c r="CH110" i="52" s="1"/>
  <c r="CH77" i="52"/>
  <c r="J112" i="52"/>
  <c r="BG112" i="52"/>
  <c r="BF112" i="52"/>
  <c r="AI112" i="52"/>
  <c r="Q112" i="52"/>
  <c r="T112" i="52"/>
  <c r="S112" i="52"/>
  <c r="R112" i="52"/>
  <c r="P112" i="52"/>
  <c r="BK112" i="52"/>
  <c r="AF112" i="52"/>
  <c r="BI112" i="52"/>
  <c r="BH112" i="52"/>
  <c r="AJ112" i="52"/>
  <c r="AH112" i="52"/>
  <c r="BL51" i="52"/>
  <c r="BL110" i="52" s="1"/>
  <c r="BL112" i="52"/>
  <c r="AG112" i="52"/>
  <c r="BJ112" i="52"/>
  <c r="U112" i="52"/>
  <c r="DC87" i="52"/>
  <c r="DD87" i="52"/>
  <c r="DD99" i="52"/>
  <c r="CV99" i="52"/>
  <c r="CC99" i="52"/>
  <c r="AZ99" i="52"/>
  <c r="CI99" i="52"/>
  <c r="CW99" i="52"/>
  <c r="CQ99" i="52"/>
  <c r="DB99" i="52"/>
  <c r="CS99" i="52"/>
  <c r="CA99" i="52"/>
  <c r="CJ93" i="52"/>
  <c r="V99" i="52"/>
  <c r="CH99" i="52"/>
  <c r="BA99" i="52"/>
  <c r="CT99" i="52"/>
  <c r="CB99" i="52"/>
  <c r="DA99" i="52"/>
  <c r="BN99" i="52"/>
  <c r="Z99" i="52"/>
  <c r="CJ99" i="52"/>
  <c r="BN93" i="52"/>
  <c r="W99" i="52"/>
  <c r="BM99" i="52"/>
  <c r="CU99" i="52"/>
  <c r="X99" i="52"/>
  <c r="DC99" i="52"/>
  <c r="CO108" i="52"/>
  <c r="CS110" i="52"/>
  <c r="DA110" i="52"/>
  <c r="R99" i="52"/>
  <c r="U99" i="52"/>
  <c r="CO76" i="52"/>
  <c r="Q99" i="52"/>
  <c r="P99" i="52"/>
  <c r="CO104" i="52"/>
  <c r="CO105" i="52"/>
  <c r="CQ104" i="52"/>
  <c r="CO87" i="52"/>
  <c r="CQ105" i="52"/>
  <c r="CQ108" i="52"/>
  <c r="CQ87" i="52"/>
  <c r="B83" i="52"/>
  <c r="B82" i="52"/>
  <c r="B81" i="52"/>
  <c r="B80" i="52"/>
  <c r="A82" i="52"/>
  <c r="A80" i="52"/>
  <c r="B79" i="52"/>
  <c r="B78" i="52"/>
  <c r="B77" i="52"/>
  <c r="M34" i="63" l="1"/>
  <c r="W93" i="52"/>
  <c r="B76" i="52"/>
  <c r="B75" i="52"/>
  <c r="B74" i="52"/>
  <c r="A15" i="52"/>
  <c r="M33" i="63"/>
  <c r="A2" i="63"/>
  <c r="V111" i="52" l="1"/>
  <c r="W111" i="52"/>
  <c r="AZ111" i="52"/>
  <c r="BA111" i="52"/>
  <c r="BM111" i="52"/>
  <c r="BN111" i="52"/>
  <c r="CI111" i="52"/>
  <c r="CJ111" i="52"/>
  <c r="CV111" i="52"/>
  <c r="CW111" i="52"/>
  <c r="DC111" i="52"/>
  <c r="DD111" i="52"/>
  <c r="O166" i="51"/>
  <c r="M166" i="51"/>
  <c r="AG173" i="51"/>
  <c r="AG172" i="51"/>
  <c r="AG170" i="51"/>
  <c r="AG160" i="51"/>
  <c r="AH161" i="51"/>
  <c r="AG158" i="51"/>
  <c r="AG157" i="51"/>
  <c r="AH159" i="51"/>
  <c r="AH158" i="51"/>
  <c r="AG155" i="51"/>
  <c r="AH156" i="51"/>
  <c r="AH155" i="51"/>
  <c r="AG152" i="51"/>
  <c r="AG151" i="51"/>
  <c r="AH153" i="51"/>
  <c r="AG147" i="51"/>
  <c r="E124" i="51"/>
  <c r="C124" i="51"/>
  <c r="AF118" i="51"/>
  <c r="F23" i="5" l="1"/>
  <c r="CO88" i="52" l="1"/>
  <c r="CQ88" i="52"/>
  <c r="AF93" i="51" l="1"/>
  <c r="AF92" i="51"/>
  <c r="AD96" i="51"/>
  <c r="AF95" i="51"/>
  <c r="B3" i="55" l="1"/>
  <c r="I130" i="32" l="1"/>
  <c r="I131" i="32"/>
  <c r="I132" i="32"/>
  <c r="I129" i="32"/>
  <c r="E7" i="32" l="1"/>
  <c r="Z114" i="51"/>
  <c r="Z113" i="51"/>
  <c r="Z112" i="51"/>
  <c r="Z98" i="51"/>
  <c r="Z103" i="51" s="1"/>
  <c r="Z82" i="51"/>
  <c r="Z73" i="51"/>
  <c r="Z54" i="51"/>
  <c r="Z89" i="51" s="1"/>
  <c r="Z44" i="51"/>
  <c r="Y114" i="51"/>
  <c r="X114" i="51"/>
  <c r="Y98" i="51"/>
  <c r="Y103" i="51" s="1"/>
  <c r="X98" i="51"/>
  <c r="X103" i="51" s="1"/>
  <c r="W98" i="51"/>
  <c r="W103" i="51" s="1"/>
  <c r="Y82" i="51"/>
  <c r="X82" i="51"/>
  <c r="W82" i="51"/>
  <c r="Y73" i="51"/>
  <c r="X73" i="51"/>
  <c r="W73" i="51"/>
  <c r="Y54" i="51"/>
  <c r="Y89" i="51" s="1"/>
  <c r="X54" i="51"/>
  <c r="X89" i="51" s="1"/>
  <c r="W54" i="51"/>
  <c r="W89" i="51" s="1"/>
  <c r="Y44" i="51"/>
  <c r="X44" i="51"/>
  <c r="W44" i="51"/>
  <c r="Z156" i="51" l="1"/>
  <c r="X156" i="51"/>
  <c r="Y166" i="51"/>
  <c r="W166" i="51"/>
  <c r="X166" i="51"/>
  <c r="Z166" i="51"/>
  <c r="Y148" i="51"/>
  <c r="W156" i="51"/>
  <c r="Z99" i="51"/>
  <c r="Z100" i="51" s="1"/>
  <c r="W148" i="51"/>
  <c r="Y156" i="51"/>
  <c r="X148" i="51"/>
  <c r="Z148" i="51"/>
  <c r="W99" i="51"/>
  <c r="X99" i="51"/>
  <c r="Y99" i="51"/>
  <c r="W100" i="51" l="1"/>
  <c r="Y100" i="51"/>
  <c r="X100" i="51"/>
  <c r="Z101" i="51" l="1"/>
  <c r="Z102" i="51" s="1"/>
  <c r="W101" i="51"/>
  <c r="W102" i="51" s="1"/>
  <c r="Y101" i="51"/>
  <c r="Y102" i="51" s="1"/>
  <c r="X101" i="51"/>
  <c r="X102" i="51" s="1"/>
  <c r="BB57" i="52"/>
  <c r="BB56" i="52"/>
  <c r="C89" i="32" l="1"/>
  <c r="B7" i="32"/>
  <c r="B12" i="32" s="1"/>
  <c r="B16" i="32" s="1"/>
  <c r="B24" i="32" s="1"/>
  <c r="B32" i="32" s="1"/>
  <c r="B36" i="32" s="1"/>
  <c r="B44" i="32" s="1"/>
  <c r="B52" i="32" s="1"/>
  <c r="B59" i="32" s="1"/>
  <c r="B63" i="32" s="1"/>
  <c r="B72" i="32" s="1"/>
  <c r="B76" i="32" s="1"/>
  <c r="B82" i="32" s="1"/>
  <c r="B88" i="32" s="1"/>
  <c r="B92" i="32" s="1"/>
  <c r="B99" i="32" s="1"/>
  <c r="B106" i="32" s="1"/>
  <c r="B110" i="32" s="1"/>
  <c r="B114" i="32" s="1"/>
  <c r="B128" i="32" s="1"/>
  <c r="B134" i="32" s="1"/>
  <c r="B140" i="32" s="1"/>
  <c r="B144" i="32" s="1"/>
  <c r="B148" i="32" s="1"/>
  <c r="B155" i="32" s="1"/>
  <c r="B160" i="32" s="1"/>
  <c r="B11" i="23"/>
  <c r="B16" i="23" s="1"/>
  <c r="B20" i="23" s="1"/>
  <c r="B28" i="23" s="1"/>
  <c r="B36" i="23" s="1"/>
  <c r="B42" i="23" s="1"/>
  <c r="A117" i="36"/>
  <c r="A127" i="36" s="1"/>
  <c r="A138" i="36" s="1"/>
  <c r="A148" i="36" s="1"/>
  <c r="A155" i="36" s="1"/>
  <c r="A167" i="36" s="1"/>
  <c r="A173" i="36" s="1"/>
  <c r="A180" i="36" s="1"/>
  <c r="E73" i="24"/>
  <c r="E78" i="24" s="1"/>
  <c r="D73" i="24"/>
  <c r="D78" i="24" s="1"/>
  <c r="B10" i="24"/>
  <c r="B19" i="24" s="1"/>
  <c r="B26" i="24" s="1"/>
  <c r="B35" i="24" s="1"/>
  <c r="B39" i="24" s="1"/>
  <c r="B21" i="20"/>
  <c r="B33" i="20" s="1"/>
  <c r="B115" i="20"/>
  <c r="A194" i="36" l="1"/>
  <c r="A200" i="36" s="1"/>
  <c r="A188" i="36"/>
  <c r="B43" i="24"/>
  <c r="B48" i="24" s="1"/>
  <c r="B58" i="24" s="1"/>
  <c r="B67" i="24" s="1"/>
  <c r="B73" i="24" s="1"/>
  <c r="B78" i="24" s="1"/>
  <c r="B83" i="24" s="1"/>
  <c r="B91" i="24" s="1"/>
  <c r="B27" i="20"/>
  <c r="B40" i="20" s="1"/>
  <c r="B53" i="20" s="1"/>
  <c r="B60" i="20" s="1"/>
  <c r="B64" i="20" s="1"/>
  <c r="B73" i="20" s="1"/>
  <c r="B80" i="20" s="1"/>
  <c r="B87" i="20" s="1"/>
  <c r="B93" i="20" s="1"/>
  <c r="B110" i="20" s="1"/>
  <c r="A2" i="36" l="1"/>
  <c r="F44" i="51" l="1"/>
  <c r="F54" i="51"/>
  <c r="F89" i="51" s="1"/>
  <c r="G44" i="51"/>
  <c r="G54" i="51"/>
  <c r="H44" i="51"/>
  <c r="H54" i="51"/>
  <c r="H89" i="51" s="1"/>
  <c r="B87" i="52"/>
  <c r="E85" i="32"/>
  <c r="F85" i="32" s="1"/>
  <c r="AA76" i="52"/>
  <c r="B57" i="8"/>
  <c r="B68" i="52"/>
  <c r="C17" i="51"/>
  <c r="G24" i="1"/>
  <c r="H25" i="1" s="1"/>
  <c r="E31" i="1"/>
  <c r="E89" i="32" s="1"/>
  <c r="E91" i="32" s="1"/>
  <c r="E71" i="24"/>
  <c r="E38" i="24"/>
  <c r="E42" i="24"/>
  <c r="E46" i="24"/>
  <c r="E55" i="24"/>
  <c r="E6" i="5"/>
  <c r="D6" i="2" s="1"/>
  <c r="C89" i="51"/>
  <c r="E44" i="51"/>
  <c r="E54" i="51"/>
  <c r="E89" i="51" s="1"/>
  <c r="M114" i="51"/>
  <c r="N114" i="51"/>
  <c r="O114" i="51"/>
  <c r="P114" i="51"/>
  <c r="Q114" i="51"/>
  <c r="R114" i="51"/>
  <c r="U114" i="51"/>
  <c r="AB112" i="51"/>
  <c r="AB113" i="51"/>
  <c r="AB114" i="51"/>
  <c r="I44" i="51"/>
  <c r="J44" i="51"/>
  <c r="K44" i="51"/>
  <c r="L44" i="51"/>
  <c r="M44" i="51"/>
  <c r="M148" i="51" s="1"/>
  <c r="N44" i="51"/>
  <c r="O44" i="51"/>
  <c r="O148" i="51" s="1"/>
  <c r="P44" i="51"/>
  <c r="Q44" i="51"/>
  <c r="R44" i="51"/>
  <c r="S44" i="51"/>
  <c r="T44" i="51"/>
  <c r="U44" i="51"/>
  <c r="AB44" i="51"/>
  <c r="I54" i="51"/>
  <c r="I89" i="51" s="1"/>
  <c r="J54" i="51"/>
  <c r="J89" i="51" s="1"/>
  <c r="K89" i="51"/>
  <c r="L54" i="51"/>
  <c r="L89" i="51" s="1"/>
  <c r="M54" i="51"/>
  <c r="N54" i="51"/>
  <c r="N89" i="51" s="1"/>
  <c r="O54" i="51"/>
  <c r="P54" i="51"/>
  <c r="P89" i="51" s="1"/>
  <c r="Q54" i="51"/>
  <c r="Q89" i="51" s="1"/>
  <c r="R54" i="51"/>
  <c r="R89" i="51" s="1"/>
  <c r="S54" i="51"/>
  <c r="S89" i="51" s="1"/>
  <c r="T54" i="51"/>
  <c r="T89" i="51" s="1"/>
  <c r="U54" i="51"/>
  <c r="U89" i="51" s="1"/>
  <c r="AB54" i="51"/>
  <c r="AB89" i="51" s="1"/>
  <c r="AD54" i="51"/>
  <c r="J76" i="52"/>
  <c r="K76" i="52"/>
  <c r="M76" i="52"/>
  <c r="N76" i="52"/>
  <c r="P76" i="52"/>
  <c r="R76" i="52"/>
  <c r="U76" i="52"/>
  <c r="C76" i="52"/>
  <c r="G76" i="52"/>
  <c r="BK76" i="52"/>
  <c r="BK68" i="52"/>
  <c r="BJ76" i="52"/>
  <c r="BJ68" i="52"/>
  <c r="BH76" i="52"/>
  <c r="BH68" i="52"/>
  <c r="BF76" i="52"/>
  <c r="BF68" i="52"/>
  <c r="BD76" i="52"/>
  <c r="BD68" i="52"/>
  <c r="AJ76" i="52"/>
  <c r="AJ68" i="52"/>
  <c r="AI76" i="52"/>
  <c r="AI68" i="52"/>
  <c r="AG68" i="52"/>
  <c r="AD76" i="52"/>
  <c r="AD68" i="52"/>
  <c r="AB76" i="52"/>
  <c r="AB68" i="52"/>
  <c r="T68" i="52"/>
  <c r="S76" i="52"/>
  <c r="S68" i="52"/>
  <c r="Q76" i="52"/>
  <c r="Q68" i="52"/>
  <c r="O76" i="52"/>
  <c r="O68" i="52"/>
  <c r="M68" i="52"/>
  <c r="K68" i="52"/>
  <c r="G68" i="52"/>
  <c r="Z76" i="52"/>
  <c r="Z70" i="52"/>
  <c r="Z68" i="52"/>
  <c r="Z57" i="52"/>
  <c r="Z56" i="52"/>
  <c r="D70" i="52"/>
  <c r="D68" i="52"/>
  <c r="C57" i="52"/>
  <c r="C56" i="52"/>
  <c r="G27" i="1"/>
  <c r="G21" i="1"/>
  <c r="H22" i="1" s="1"/>
  <c r="G22" i="1"/>
  <c r="H23" i="1" s="1"/>
  <c r="G23" i="1"/>
  <c r="H24" i="1" s="1"/>
  <c r="G25" i="1"/>
  <c r="H26" i="1" s="1"/>
  <c r="G26" i="1"/>
  <c r="H27" i="1" s="1"/>
  <c r="B118" i="8"/>
  <c r="E118" i="8"/>
  <c r="B54" i="8"/>
  <c r="E54" i="8"/>
  <c r="CY76" i="52"/>
  <c r="CX76" i="52"/>
  <c r="CM76" i="52"/>
  <c r="CK76" i="52"/>
  <c r="CB76" i="52"/>
  <c r="CA76" i="52"/>
  <c r="BE76" i="52"/>
  <c r="AC76" i="52"/>
  <c r="BB76" i="52"/>
  <c r="AC168" i="51"/>
  <c r="AD168" i="51"/>
  <c r="D163" i="32"/>
  <c r="D158" i="32"/>
  <c r="K6" i="28"/>
  <c r="E135" i="32" s="1"/>
  <c r="D151" i="32"/>
  <c r="D147" i="32"/>
  <c r="D143" i="32"/>
  <c r="D139" i="32"/>
  <c r="D133" i="32"/>
  <c r="D122" i="32"/>
  <c r="D113" i="32"/>
  <c r="D109" i="32"/>
  <c r="D106" i="32"/>
  <c r="D105" i="32"/>
  <c r="D98" i="32"/>
  <c r="D91" i="32"/>
  <c r="D87" i="32"/>
  <c r="D82" i="32"/>
  <c r="D81" i="32"/>
  <c r="D75" i="32"/>
  <c r="D71" i="32"/>
  <c r="D59" i="32"/>
  <c r="D58" i="32"/>
  <c r="D51" i="32"/>
  <c r="D43" i="32"/>
  <c r="D36" i="32"/>
  <c r="D35" i="32"/>
  <c r="D31" i="32"/>
  <c r="D23" i="32"/>
  <c r="D15" i="32"/>
  <c r="E97" i="24"/>
  <c r="D97" i="24"/>
  <c r="E88" i="24"/>
  <c r="E81" i="24"/>
  <c r="E76" i="24"/>
  <c r="D88" i="24"/>
  <c r="D81" i="24"/>
  <c r="D76" i="24"/>
  <c r="D71" i="24"/>
  <c r="D65" i="24"/>
  <c r="D55" i="24"/>
  <c r="D46" i="24"/>
  <c r="D42" i="24"/>
  <c r="D38" i="24"/>
  <c r="E25" i="24"/>
  <c r="E32" i="24"/>
  <c r="D32" i="24"/>
  <c r="D25" i="24"/>
  <c r="E9" i="24"/>
  <c r="E16" i="24"/>
  <c r="D9" i="24"/>
  <c r="D16" i="24"/>
  <c r="F6" i="5"/>
  <c r="H23" i="5" s="1"/>
  <c r="D40" i="12"/>
  <c r="G40" i="12" s="1"/>
  <c r="D41" i="12"/>
  <c r="G41" i="12" s="1"/>
  <c r="D54" i="12"/>
  <c r="G54" i="12" s="1"/>
  <c r="D55" i="12"/>
  <c r="G55" i="12" s="1"/>
  <c r="J68" i="52"/>
  <c r="X76" i="52"/>
  <c r="AF76" i="52"/>
  <c r="AH76" i="52"/>
  <c r="AF68" i="52"/>
  <c r="I4" i="32"/>
  <c r="I8" i="32"/>
  <c r="I26" i="32"/>
  <c r="I53" i="32"/>
  <c r="I77" i="32"/>
  <c r="I107" i="32"/>
  <c r="I115" i="32"/>
  <c r="I44" i="24"/>
  <c r="I20" i="24"/>
  <c r="I36" i="24"/>
  <c r="I49" i="24"/>
  <c r="I59" i="24"/>
  <c r="I68" i="24"/>
  <c r="I92" i="24"/>
  <c r="I27" i="24"/>
  <c r="I40" i="24"/>
  <c r="D78" i="2"/>
  <c r="S45" i="36"/>
  <c r="H97" i="12" s="1"/>
  <c r="E97" i="5"/>
  <c r="E108" i="5" s="1"/>
  <c r="F86" i="5"/>
  <c r="G86" i="5" s="1"/>
  <c r="F88" i="5"/>
  <c r="G88" i="5" s="1"/>
  <c r="F39" i="2" s="1"/>
  <c r="F87" i="5"/>
  <c r="G87" i="5" s="1"/>
  <c r="F38" i="2" s="1"/>
  <c r="U44" i="36"/>
  <c r="G10" i="5"/>
  <c r="I84" i="24"/>
  <c r="I85" i="24"/>
  <c r="I86" i="24"/>
  <c r="I87" i="24"/>
  <c r="I100" i="32"/>
  <c r="I101" i="32"/>
  <c r="I102" i="32"/>
  <c r="I103" i="32"/>
  <c r="I104" i="32"/>
  <c r="I74" i="24"/>
  <c r="I75" i="24"/>
  <c r="I79" i="24"/>
  <c r="I80" i="24"/>
  <c r="I54" i="32"/>
  <c r="I55" i="32"/>
  <c r="I57" i="32"/>
  <c r="I56" i="32"/>
  <c r="I108" i="32"/>
  <c r="I4" i="24"/>
  <c r="D65" i="5"/>
  <c r="G34" i="1"/>
  <c r="J75" i="8" s="1"/>
  <c r="G62" i="5"/>
  <c r="CA68" i="52"/>
  <c r="CB68" i="52"/>
  <c r="CC68" i="52"/>
  <c r="E29" i="5"/>
  <c r="C5" i="3" s="1"/>
  <c r="G6" i="5"/>
  <c r="D42" i="12"/>
  <c r="G42" i="12" s="1"/>
  <c r="D43" i="12"/>
  <c r="G43" i="12" s="1"/>
  <c r="D44" i="12"/>
  <c r="G44" i="12" s="1"/>
  <c r="D45" i="12"/>
  <c r="G45" i="12" s="1"/>
  <c r="D49" i="12"/>
  <c r="G49" i="12" s="1"/>
  <c r="D56" i="12"/>
  <c r="G56" i="12" s="1"/>
  <c r="D57" i="12"/>
  <c r="G57" i="12" s="1"/>
  <c r="D58" i="12"/>
  <c r="G58" i="12" s="1"/>
  <c r="D61" i="12"/>
  <c r="G61" i="12" s="1"/>
  <c r="D62" i="12"/>
  <c r="G62" i="12" s="1"/>
  <c r="D63" i="12"/>
  <c r="G63" i="12" s="1"/>
  <c r="D6" i="12"/>
  <c r="G6" i="12" s="1"/>
  <c r="D7" i="12"/>
  <c r="G7" i="12" s="1"/>
  <c r="D8" i="12"/>
  <c r="G8" i="12" s="1"/>
  <c r="D12" i="12"/>
  <c r="G12" i="12" s="1"/>
  <c r="D13" i="12"/>
  <c r="G13" i="12" s="1"/>
  <c r="D14" i="12"/>
  <c r="G14" i="12" s="1"/>
  <c r="D15" i="12"/>
  <c r="G15" i="12" s="1"/>
  <c r="D20" i="12"/>
  <c r="G20" i="12" s="1"/>
  <c r="D21" i="12"/>
  <c r="G21" i="12" s="1"/>
  <c r="D22" i="12"/>
  <c r="G22" i="12" s="1"/>
  <c r="D23" i="12"/>
  <c r="G23" i="12" s="1"/>
  <c r="D24" i="12"/>
  <c r="G24" i="12" s="1"/>
  <c r="D25" i="12"/>
  <c r="G25" i="12" s="1"/>
  <c r="D29" i="12"/>
  <c r="G29" i="12" s="1"/>
  <c r="H23" i="12"/>
  <c r="H24" i="12"/>
  <c r="H25" i="12"/>
  <c r="H20" i="12"/>
  <c r="H21" i="12"/>
  <c r="H22" i="12"/>
  <c r="H29" i="12"/>
  <c r="E30" i="12"/>
  <c r="E16" i="12"/>
  <c r="H56" i="12"/>
  <c r="H55" i="12"/>
  <c r="H44" i="12"/>
  <c r="H43" i="12"/>
  <c r="H12" i="12"/>
  <c r="H8" i="12"/>
  <c r="H7" i="12"/>
  <c r="D75" i="12"/>
  <c r="G75" i="12" s="1"/>
  <c r="D76" i="12"/>
  <c r="G76" i="12" s="1"/>
  <c r="D77" i="12"/>
  <c r="G77" i="12" s="1"/>
  <c r="D78" i="12"/>
  <c r="G78" i="12" s="1"/>
  <c r="D79" i="12"/>
  <c r="G79" i="12" s="1"/>
  <c r="D74" i="12"/>
  <c r="G74" i="12" s="1"/>
  <c r="D85" i="12"/>
  <c r="G85" i="12" s="1"/>
  <c r="D86" i="12"/>
  <c r="G86" i="12" s="1"/>
  <c r="D87" i="12"/>
  <c r="G87" i="12" s="1"/>
  <c r="D88" i="12"/>
  <c r="G88" i="12" s="1"/>
  <c r="D89" i="12"/>
  <c r="G89" i="12" s="1"/>
  <c r="D84" i="12"/>
  <c r="G84" i="12" s="1"/>
  <c r="H17" i="5"/>
  <c r="A139" i="32"/>
  <c r="A143" i="32"/>
  <c r="A147" i="32"/>
  <c r="A151" i="32"/>
  <c r="A158" i="32"/>
  <c r="A163" i="32"/>
  <c r="AC51" i="51"/>
  <c r="AD51" i="51"/>
  <c r="G38" i="5"/>
  <c r="G34" i="5"/>
  <c r="G36" i="5"/>
  <c r="C82" i="51"/>
  <c r="E82" i="51"/>
  <c r="I82" i="51"/>
  <c r="K82" i="51"/>
  <c r="L82" i="51"/>
  <c r="M82" i="51"/>
  <c r="N82" i="51"/>
  <c r="O82" i="51"/>
  <c r="P82" i="51"/>
  <c r="Q82" i="51"/>
  <c r="R82" i="51"/>
  <c r="S82" i="51"/>
  <c r="T82" i="51"/>
  <c r="U82" i="51"/>
  <c r="AB82" i="51"/>
  <c r="AC82" i="51"/>
  <c r="AD82" i="51"/>
  <c r="D43" i="5"/>
  <c r="C12" i="2" s="1"/>
  <c r="C15" i="2" s="1"/>
  <c r="F15" i="8"/>
  <c r="F16" i="8"/>
  <c r="E34" i="1"/>
  <c r="G21" i="8" s="1"/>
  <c r="F19" i="8"/>
  <c r="G12" i="8"/>
  <c r="F20" i="8"/>
  <c r="F21" i="8"/>
  <c r="G24" i="8"/>
  <c r="F35" i="8"/>
  <c r="F36" i="8"/>
  <c r="F39" i="8"/>
  <c r="G40" i="8"/>
  <c r="F40" i="8"/>
  <c r="F41" i="8"/>
  <c r="G52" i="8"/>
  <c r="E55" i="8"/>
  <c r="J55" i="8" s="1"/>
  <c r="F61" i="8"/>
  <c r="G61" i="8"/>
  <c r="G62" i="8" s="1"/>
  <c r="F62" i="8"/>
  <c r="S53" i="36"/>
  <c r="H115" i="12" s="1"/>
  <c r="I115" i="12" s="1"/>
  <c r="F78" i="8"/>
  <c r="F79" i="8"/>
  <c r="F82" i="8"/>
  <c r="G75" i="8"/>
  <c r="F83" i="8"/>
  <c r="F84" i="8"/>
  <c r="G86" i="8"/>
  <c r="H21" i="1"/>
  <c r="F96" i="8"/>
  <c r="F97" i="8"/>
  <c r="H34" i="1"/>
  <c r="F100" i="8"/>
  <c r="G101" i="8"/>
  <c r="F101" i="8"/>
  <c r="F102" i="8"/>
  <c r="G114" i="8"/>
  <c r="E119" i="8"/>
  <c r="J119" i="8" s="1"/>
  <c r="F125" i="8"/>
  <c r="G125" i="8"/>
  <c r="G126" i="8" s="1"/>
  <c r="F126" i="8"/>
  <c r="E90" i="12"/>
  <c r="G17" i="5"/>
  <c r="G23" i="5"/>
  <c r="G24" i="5"/>
  <c r="D125" i="5"/>
  <c r="I111" i="32"/>
  <c r="I5" i="32"/>
  <c r="I9" i="32"/>
  <c r="I10" i="32"/>
  <c r="I13" i="32"/>
  <c r="I14" i="32"/>
  <c r="I17" i="32"/>
  <c r="I18" i="32"/>
  <c r="I19" i="32"/>
  <c r="I20" i="32"/>
  <c r="I21" i="32"/>
  <c r="I22" i="32"/>
  <c r="I25" i="32"/>
  <c r="I27" i="32"/>
  <c r="I28" i="32"/>
  <c r="I29" i="32"/>
  <c r="I30" i="32"/>
  <c r="I33" i="32"/>
  <c r="I34" i="32"/>
  <c r="I37" i="32"/>
  <c r="I38" i="32"/>
  <c r="I39" i="32"/>
  <c r="I40" i="32"/>
  <c r="I41" i="32"/>
  <c r="I42" i="32"/>
  <c r="I45" i="32"/>
  <c r="I46" i="32"/>
  <c r="I47" i="32"/>
  <c r="I48" i="32"/>
  <c r="I49" i="32"/>
  <c r="I50" i="32"/>
  <c r="I60" i="32"/>
  <c r="I61" i="32"/>
  <c r="I73" i="32"/>
  <c r="I74" i="32"/>
  <c r="I78" i="32"/>
  <c r="I79" i="32"/>
  <c r="I80" i="32"/>
  <c r="I86" i="32"/>
  <c r="I90" i="32"/>
  <c r="I93" i="32"/>
  <c r="I94" i="32"/>
  <c r="I95" i="32"/>
  <c r="I96" i="32"/>
  <c r="I97" i="32"/>
  <c r="I112" i="32"/>
  <c r="I116" i="32"/>
  <c r="I117" i="32"/>
  <c r="I118" i="32"/>
  <c r="I119" i="32"/>
  <c r="I120" i="32"/>
  <c r="I121" i="32"/>
  <c r="I5" i="24"/>
  <c r="I6" i="24"/>
  <c r="I7" i="24"/>
  <c r="I8" i="24"/>
  <c r="I11" i="24"/>
  <c r="I12" i="24"/>
  <c r="I13" i="24"/>
  <c r="F204" i="36"/>
  <c r="D87" i="2" s="1"/>
  <c r="E167" i="36"/>
  <c r="D79" i="20"/>
  <c r="E73" i="20"/>
  <c r="D73" i="20"/>
  <c r="D45" i="23"/>
  <c r="E42" i="23"/>
  <c r="B46" i="23" s="1"/>
  <c r="D42" i="23"/>
  <c r="D39" i="23"/>
  <c r="D35" i="23"/>
  <c r="D19" i="23"/>
  <c r="D15" i="23"/>
  <c r="D10" i="23"/>
  <c r="A39" i="23"/>
  <c r="E36" i="23"/>
  <c r="D36" i="23"/>
  <c r="A35" i="23"/>
  <c r="E28" i="23"/>
  <c r="D28" i="23"/>
  <c r="A27" i="23"/>
  <c r="E20" i="23"/>
  <c r="D20" i="23"/>
  <c r="A19" i="23"/>
  <c r="E16" i="23"/>
  <c r="D16" i="23"/>
  <c r="A15" i="23"/>
  <c r="E11" i="23"/>
  <c r="D11" i="23"/>
  <c r="A10" i="23"/>
  <c r="E3" i="23"/>
  <c r="F2" i="23" s="1"/>
  <c r="D3" i="23"/>
  <c r="I93" i="24"/>
  <c r="I94" i="24"/>
  <c r="I95" i="24"/>
  <c r="I96" i="24"/>
  <c r="I69" i="24"/>
  <c r="I70" i="24"/>
  <c r="I60" i="24"/>
  <c r="I61" i="24"/>
  <c r="I62" i="24"/>
  <c r="I63" i="24"/>
  <c r="I64" i="24"/>
  <c r="I50" i="24"/>
  <c r="I51" i="24"/>
  <c r="I52" i="24"/>
  <c r="I53" i="24"/>
  <c r="I54" i="24"/>
  <c r="I45" i="24"/>
  <c r="I41" i="24"/>
  <c r="I37" i="24"/>
  <c r="I28" i="24"/>
  <c r="I29" i="24"/>
  <c r="I30" i="24"/>
  <c r="I31" i="24"/>
  <c r="I21" i="24"/>
  <c r="I22" i="24"/>
  <c r="I23" i="24"/>
  <c r="I24" i="24"/>
  <c r="I14" i="24"/>
  <c r="I15" i="24"/>
  <c r="I133" i="32"/>
  <c r="E140" i="32"/>
  <c r="I140" i="32" s="1"/>
  <c r="I141" i="32"/>
  <c r="I142" i="32"/>
  <c r="I145" i="32"/>
  <c r="I146" i="32"/>
  <c r="I149" i="32"/>
  <c r="I150" i="32"/>
  <c r="E148" i="32"/>
  <c r="E144" i="32"/>
  <c r="D62" i="32"/>
  <c r="D11" i="32"/>
  <c r="D6" i="32"/>
  <c r="A105" i="32"/>
  <c r="E99" i="32"/>
  <c r="D99" i="32"/>
  <c r="A98" i="32"/>
  <c r="E92" i="32"/>
  <c r="D92" i="32"/>
  <c r="A91" i="32"/>
  <c r="E88" i="32"/>
  <c r="D88" i="32"/>
  <c r="A109" i="32"/>
  <c r="E106" i="32"/>
  <c r="A87" i="32"/>
  <c r="E82" i="32"/>
  <c r="A81" i="32"/>
  <c r="E76" i="32"/>
  <c r="D76" i="32"/>
  <c r="A75" i="32"/>
  <c r="E72" i="32"/>
  <c r="D72" i="32"/>
  <c r="A71" i="32"/>
  <c r="E63" i="32"/>
  <c r="D63" i="32"/>
  <c r="A62" i="32"/>
  <c r="E59" i="32"/>
  <c r="A58" i="32"/>
  <c r="E52" i="32"/>
  <c r="D52" i="32"/>
  <c r="A51" i="32"/>
  <c r="E44" i="32"/>
  <c r="D44" i="32"/>
  <c r="A43" i="32"/>
  <c r="E36" i="32"/>
  <c r="A35" i="32"/>
  <c r="E32" i="32"/>
  <c r="D32" i="32"/>
  <c r="A31" i="32"/>
  <c r="E24" i="32"/>
  <c r="D24" i="32"/>
  <c r="D16" i="32"/>
  <c r="E16" i="32"/>
  <c r="A23" i="32"/>
  <c r="E83" i="24"/>
  <c r="D83" i="24"/>
  <c r="E58" i="24"/>
  <c r="D58" i="24"/>
  <c r="E180" i="36"/>
  <c r="E173" i="36"/>
  <c r="E148" i="36"/>
  <c r="E138" i="36"/>
  <c r="E127" i="36"/>
  <c r="E200" i="36"/>
  <c r="B208" i="36" s="1"/>
  <c r="E194" i="36"/>
  <c r="E188" i="36"/>
  <c r="E155" i="36"/>
  <c r="E117" i="36"/>
  <c r="F116" i="36" s="1"/>
  <c r="D92" i="20"/>
  <c r="D59" i="20"/>
  <c r="D52" i="20"/>
  <c r="D39" i="20"/>
  <c r="D26" i="20"/>
  <c r="D63" i="20"/>
  <c r="D72" i="20"/>
  <c r="D109" i="20"/>
  <c r="D129" i="20"/>
  <c r="A117" i="20"/>
  <c r="A123" i="20"/>
  <c r="A124" i="20" s="1"/>
  <c r="A125" i="20" s="1"/>
  <c r="A126" i="20" s="1"/>
  <c r="A127" i="20" s="1"/>
  <c r="A119" i="20"/>
  <c r="A120" i="20" s="1"/>
  <c r="A95" i="20"/>
  <c r="A96" i="20" s="1"/>
  <c r="A97" i="20" s="1"/>
  <c r="A98" i="20" s="1"/>
  <c r="A99" i="20" s="1"/>
  <c r="A100" i="20" s="1"/>
  <c r="A101" i="20" s="1"/>
  <c r="A102" i="20" s="1"/>
  <c r="A103" i="20" s="1"/>
  <c r="A104" i="20" s="1"/>
  <c r="A105" i="20" s="1"/>
  <c r="A106" i="20" s="1"/>
  <c r="A107" i="20" s="1"/>
  <c r="A108" i="20" s="1"/>
  <c r="E93" i="20"/>
  <c r="D93" i="20"/>
  <c r="A23" i="20"/>
  <c r="A24" i="20" s="1"/>
  <c r="A25" i="20" s="1"/>
  <c r="A55" i="20"/>
  <c r="A56" i="20" s="1"/>
  <c r="A57" i="20" s="1"/>
  <c r="A42" i="20"/>
  <c r="A43" i="20" s="1"/>
  <c r="A44" i="20" s="1"/>
  <c r="A45" i="20" s="1"/>
  <c r="A46" i="20" s="1"/>
  <c r="A47" i="20" s="1"/>
  <c r="A51" i="20"/>
  <c r="A49" i="20"/>
  <c r="E40" i="20"/>
  <c r="D40" i="20"/>
  <c r="A35" i="20"/>
  <c r="A36" i="20" s="1"/>
  <c r="E33" i="20"/>
  <c r="D33" i="20"/>
  <c r="H24" i="5"/>
  <c r="A121" i="12"/>
  <c r="A141" i="12"/>
  <c r="U48" i="36"/>
  <c r="U52" i="36"/>
  <c r="A113" i="12"/>
  <c r="L100" i="12"/>
  <c r="L107" i="12"/>
  <c r="L118" i="12"/>
  <c r="L147" i="12"/>
  <c r="I111" i="12"/>
  <c r="H111" i="12"/>
  <c r="I95" i="12"/>
  <c r="H77" i="12"/>
  <c r="H78" i="12"/>
  <c r="H79" i="12"/>
  <c r="H74" i="12"/>
  <c r="H75" i="12"/>
  <c r="H76" i="12"/>
  <c r="H84" i="12"/>
  <c r="H85" i="12"/>
  <c r="H86" i="12"/>
  <c r="H87" i="12"/>
  <c r="H88" i="12"/>
  <c r="H89" i="12"/>
  <c r="H95" i="12"/>
  <c r="K90" i="12"/>
  <c r="E80" i="12"/>
  <c r="K80" i="12" s="1"/>
  <c r="H40" i="12"/>
  <c r="H41" i="12"/>
  <c r="H42" i="12"/>
  <c r="H45" i="12"/>
  <c r="H49" i="12"/>
  <c r="H54" i="12"/>
  <c r="H57" i="12"/>
  <c r="H58" i="12"/>
  <c r="H61" i="12"/>
  <c r="H62" i="12"/>
  <c r="H63" i="12"/>
  <c r="E64" i="12"/>
  <c r="K64" i="12" s="1"/>
  <c r="E50" i="12"/>
  <c r="K50" i="12" s="1"/>
  <c r="H6" i="12"/>
  <c r="H13" i="12"/>
  <c r="H14" i="12"/>
  <c r="H15" i="12"/>
  <c r="A81" i="12"/>
  <c r="A70" i="12"/>
  <c r="A36" i="12"/>
  <c r="A51" i="12"/>
  <c r="AA68" i="52"/>
  <c r="A100" i="51"/>
  <c r="A101" i="51" s="1"/>
  <c r="A102" i="51" s="1"/>
  <c r="CZ76" i="52"/>
  <c r="DA76" i="52"/>
  <c r="DB76" i="52"/>
  <c r="CT76" i="52"/>
  <c r="CU76" i="52"/>
  <c r="CH76" i="52"/>
  <c r="BA108" i="52"/>
  <c r="BG76" i="52"/>
  <c r="BL76" i="52"/>
  <c r="C68" i="52"/>
  <c r="E68" i="52"/>
  <c r="N68" i="52"/>
  <c r="P68" i="52"/>
  <c r="R68" i="52"/>
  <c r="U68" i="52"/>
  <c r="V68" i="52"/>
  <c r="W68" i="52"/>
  <c r="BB68" i="52"/>
  <c r="BE68" i="52"/>
  <c r="BG68" i="52"/>
  <c r="BI68" i="52"/>
  <c r="BL68" i="52"/>
  <c r="BM68" i="52"/>
  <c r="BN68" i="52"/>
  <c r="X68" i="52"/>
  <c r="AC68" i="52"/>
  <c r="AH68" i="52"/>
  <c r="AZ68" i="52"/>
  <c r="BA68" i="52"/>
  <c r="CT68" i="52"/>
  <c r="CU68" i="52"/>
  <c r="CV68" i="52"/>
  <c r="CW68" i="52"/>
  <c r="CX68" i="52"/>
  <c r="CY68" i="52"/>
  <c r="CZ68" i="52"/>
  <c r="DA68" i="52"/>
  <c r="DB68" i="52"/>
  <c r="DC68" i="52"/>
  <c r="DD68" i="52"/>
  <c r="CH68" i="52"/>
  <c r="CI68" i="52"/>
  <c r="CJ68" i="52"/>
  <c r="G70" i="5"/>
  <c r="F71" i="5"/>
  <c r="G71" i="5" s="1"/>
  <c r="G81" i="5"/>
  <c r="F32" i="2" s="1"/>
  <c r="G56" i="5"/>
  <c r="F19" i="2" s="1"/>
  <c r="F21" i="2" s="1"/>
  <c r="G96" i="5"/>
  <c r="F47" i="2" s="1"/>
  <c r="D97" i="5"/>
  <c r="D108" i="5" s="1"/>
  <c r="F113" i="36"/>
  <c r="A17" i="12"/>
  <c r="A2" i="12"/>
  <c r="AD112" i="51"/>
  <c r="AD113" i="51"/>
  <c r="AD114" i="51"/>
  <c r="AD98" i="51"/>
  <c r="AD103" i="51" s="1"/>
  <c r="AD73" i="51"/>
  <c r="AC112" i="51"/>
  <c r="AC113" i="51"/>
  <c r="AC114" i="51"/>
  <c r="E98" i="51"/>
  <c r="E103" i="51" s="1"/>
  <c r="F98" i="51"/>
  <c r="F103" i="51" s="1"/>
  <c r="G98" i="51"/>
  <c r="G103" i="51" s="1"/>
  <c r="H98" i="51"/>
  <c r="H103" i="51" s="1"/>
  <c r="I98" i="51"/>
  <c r="I103" i="51" s="1"/>
  <c r="J98" i="51"/>
  <c r="J103" i="51" s="1"/>
  <c r="K98" i="51"/>
  <c r="K103" i="51" s="1"/>
  <c r="L98" i="51"/>
  <c r="L103" i="51" s="1"/>
  <c r="M98" i="51"/>
  <c r="M103" i="51" s="1"/>
  <c r="N98" i="51"/>
  <c r="N103" i="51" s="1"/>
  <c r="O98" i="51"/>
  <c r="O103" i="51" s="1"/>
  <c r="P98" i="51"/>
  <c r="P103" i="51" s="1"/>
  <c r="Q98" i="51"/>
  <c r="Q103" i="51" s="1"/>
  <c r="R98" i="51"/>
  <c r="R103" i="51" s="1"/>
  <c r="S98" i="51"/>
  <c r="S103" i="51" s="1"/>
  <c r="T98" i="51"/>
  <c r="T103" i="51" s="1"/>
  <c r="U98" i="51"/>
  <c r="U103" i="51" s="1"/>
  <c r="AB98" i="51"/>
  <c r="AB103" i="51" s="1"/>
  <c r="AC98" i="51"/>
  <c r="AC103" i="51" s="1"/>
  <c r="C98" i="51"/>
  <c r="C103" i="51" s="1"/>
  <c r="J11" i="28"/>
  <c r="D82" i="5"/>
  <c r="F101" i="5"/>
  <c r="G93" i="5"/>
  <c r="F44" i="2" s="1"/>
  <c r="G94" i="5"/>
  <c r="F45" i="2" s="1"/>
  <c r="G95" i="5"/>
  <c r="F46" i="2" s="1"/>
  <c r="E77" i="5"/>
  <c r="D77" i="5"/>
  <c r="C28" i="2" s="1"/>
  <c r="D73" i="5"/>
  <c r="X57" i="52"/>
  <c r="X56" i="52"/>
  <c r="K11" i="28"/>
  <c r="E136" i="32" s="1"/>
  <c r="I136" i="32" s="1"/>
  <c r="K17" i="28"/>
  <c r="E137" i="32" s="1"/>
  <c r="I137" i="32" s="1"/>
  <c r="K23" i="28"/>
  <c r="B88" i="52"/>
  <c r="F31" i="1"/>
  <c r="E109" i="5"/>
  <c r="J23" i="28"/>
  <c r="J17" i="28"/>
  <c r="J6" i="28"/>
  <c r="F97" i="5"/>
  <c r="E48" i="2" s="1"/>
  <c r="D109" i="5"/>
  <c r="B101" i="51"/>
  <c r="A67" i="51"/>
  <c r="D92" i="5"/>
  <c r="D105" i="5"/>
  <c r="E92" i="5"/>
  <c r="E105" i="5"/>
  <c r="D55" i="2" s="1"/>
  <c r="D59" i="5"/>
  <c r="D53" i="5"/>
  <c r="E73" i="5"/>
  <c r="D27" i="2" s="1"/>
  <c r="E82" i="5"/>
  <c r="D33" i="2" s="1"/>
  <c r="E113" i="8"/>
  <c r="E126" i="8"/>
  <c r="F124" i="8"/>
  <c r="G20" i="8"/>
  <c r="G73" i="51"/>
  <c r="H51" i="53"/>
  <c r="H45" i="53"/>
  <c r="H36" i="53"/>
  <c r="C3" i="55"/>
  <c r="J93" i="8"/>
  <c r="G93" i="8"/>
  <c r="G83" i="8"/>
  <c r="G32" i="8"/>
  <c r="B44" i="55"/>
  <c r="C44" i="55"/>
  <c r="K6" i="1"/>
  <c r="N2" i="53"/>
  <c r="M2" i="53"/>
  <c r="B3" i="47"/>
  <c r="E6" i="47" s="1"/>
  <c r="B7" i="47"/>
  <c r="C7" i="47"/>
  <c r="F7" i="47"/>
  <c r="D8" i="47"/>
  <c r="F9" i="47"/>
  <c r="G9" i="47"/>
  <c r="H9" i="47" s="1"/>
  <c r="I9" i="47" s="1"/>
  <c r="D10" i="47"/>
  <c r="C11" i="47"/>
  <c r="F11" i="47"/>
  <c r="B13" i="47"/>
  <c r="F13" i="47"/>
  <c r="G13" i="47"/>
  <c r="D14" i="47"/>
  <c r="B15" i="47"/>
  <c r="E16" i="47"/>
  <c r="B17" i="47"/>
  <c r="F17" i="47"/>
  <c r="G17" i="47"/>
  <c r="D18" i="47"/>
  <c r="B19" i="47"/>
  <c r="G19" i="47"/>
  <c r="D20" i="47"/>
  <c r="E20" i="47"/>
  <c r="B21" i="47"/>
  <c r="C21" i="47"/>
  <c r="F21" i="47"/>
  <c r="E22" i="47"/>
  <c r="B23" i="47"/>
  <c r="C23" i="47"/>
  <c r="F23" i="47"/>
  <c r="G23" i="47"/>
  <c r="H23" i="47" s="1"/>
  <c r="I23" i="47" s="1"/>
  <c r="D24" i="47"/>
  <c r="C25" i="47"/>
  <c r="F25" i="47"/>
  <c r="G25" i="47"/>
  <c r="D26" i="47"/>
  <c r="E26" i="47"/>
  <c r="B27" i="47"/>
  <c r="G27" i="47"/>
  <c r="D28" i="47"/>
  <c r="E28" i="47"/>
  <c r="B29" i="47"/>
  <c r="C29" i="47"/>
  <c r="F29" i="47"/>
  <c r="E30" i="47"/>
  <c r="B31" i="47"/>
  <c r="C31" i="47"/>
  <c r="F31" i="47"/>
  <c r="G31" i="47"/>
  <c r="H31" i="47" s="1"/>
  <c r="I31" i="47" s="1"/>
  <c r="D32" i="47"/>
  <c r="C33" i="47"/>
  <c r="F33" i="47"/>
  <c r="G33" i="47"/>
  <c r="D34" i="47"/>
  <c r="E34" i="47"/>
  <c r="B35" i="47"/>
  <c r="G35" i="47"/>
  <c r="D36" i="47"/>
  <c r="E36" i="47"/>
  <c r="B37" i="47"/>
  <c r="C37" i="47"/>
  <c r="F37" i="47"/>
  <c r="E38" i="47"/>
  <c r="B39" i="47"/>
  <c r="C39" i="47"/>
  <c r="F39" i="47"/>
  <c r="G39" i="47"/>
  <c r="D40" i="47"/>
  <c r="C41" i="47"/>
  <c r="F41" i="47"/>
  <c r="G41" i="47"/>
  <c r="D42" i="47"/>
  <c r="E42" i="47"/>
  <c r="B43" i="47"/>
  <c r="G43" i="47"/>
  <c r="D44" i="47"/>
  <c r="E44" i="47"/>
  <c r="B45" i="47"/>
  <c r="C45" i="47"/>
  <c r="F45" i="47"/>
  <c r="E46" i="47"/>
  <c r="B47" i="47"/>
  <c r="C47" i="47"/>
  <c r="F47" i="47"/>
  <c r="G47" i="47"/>
  <c r="D48" i="47"/>
  <c r="C49" i="47"/>
  <c r="F49" i="47"/>
  <c r="G49" i="47"/>
  <c r="D50" i="47"/>
  <c r="E50" i="47"/>
  <c r="G50" i="47"/>
  <c r="E51" i="47"/>
  <c r="F51" i="47"/>
  <c r="G51" i="47"/>
  <c r="C52" i="47"/>
  <c r="D52" i="47"/>
  <c r="E52" i="47"/>
  <c r="G52" i="47"/>
  <c r="B53" i="47"/>
  <c r="C53" i="47"/>
  <c r="D53" i="47"/>
  <c r="E53" i="47"/>
  <c r="F53" i="47"/>
  <c r="G53" i="47"/>
  <c r="H53" i="47" s="1"/>
  <c r="I53" i="47" s="1"/>
  <c r="B54" i="47"/>
  <c r="C54" i="47"/>
  <c r="D54" i="47"/>
  <c r="E54" i="47"/>
  <c r="F54" i="47"/>
  <c r="G54" i="47"/>
  <c r="B55" i="47"/>
  <c r="C55" i="47"/>
  <c r="D55" i="47"/>
  <c r="E55" i="47"/>
  <c r="F55" i="47"/>
  <c r="G55" i="47"/>
  <c r="B56" i="47"/>
  <c r="C56" i="47"/>
  <c r="D56" i="47"/>
  <c r="E56" i="47"/>
  <c r="F56" i="47"/>
  <c r="G56" i="47"/>
  <c r="B57" i="47"/>
  <c r="C57" i="47"/>
  <c r="D57" i="47"/>
  <c r="E57" i="47"/>
  <c r="F57" i="47"/>
  <c r="G57" i="47"/>
  <c r="B58" i="47"/>
  <c r="C58" i="47"/>
  <c r="D58" i="47"/>
  <c r="E58" i="47"/>
  <c r="F58" i="47"/>
  <c r="G58" i="47"/>
  <c r="B59" i="47"/>
  <c r="C59" i="47"/>
  <c r="D59" i="47"/>
  <c r="E59" i="47"/>
  <c r="F59" i="47"/>
  <c r="G59" i="47"/>
  <c r="G5" i="47"/>
  <c r="C5" i="47"/>
  <c r="D5" i="47"/>
  <c r="E5" i="47"/>
  <c r="F5" i="47"/>
  <c r="B5" i="47"/>
  <c r="A41" i="55"/>
  <c r="X70" i="52"/>
  <c r="D31" i="1"/>
  <c r="D111" i="20" s="1"/>
  <c r="F70" i="53"/>
  <c r="C70" i="53"/>
  <c r="B66" i="53"/>
  <c r="F85" i="53"/>
  <c r="E85" i="53"/>
  <c r="D85" i="53"/>
  <c r="C85" i="53"/>
  <c r="B85" i="53"/>
  <c r="F110" i="36"/>
  <c r="M31" i="63" s="1"/>
  <c r="E110" i="36"/>
  <c r="J31" i="63" s="1"/>
  <c r="B69" i="52"/>
  <c r="CX70" i="52"/>
  <c r="CK70" i="52"/>
  <c r="CA70" i="52"/>
  <c r="C70" i="52"/>
  <c r="CX57" i="52"/>
  <c r="CX56" i="52"/>
  <c r="CK57" i="52"/>
  <c r="CK56" i="52"/>
  <c r="CA57" i="52"/>
  <c r="CA56" i="52"/>
  <c r="A55" i="52"/>
  <c r="A54" i="52"/>
  <c r="A83" i="51"/>
  <c r="A82" i="51"/>
  <c r="A68" i="51"/>
  <c r="A5" i="8"/>
  <c r="D3" i="24"/>
  <c r="E3" i="24"/>
  <c r="H2" i="24" s="1"/>
  <c r="D10" i="24"/>
  <c r="E10" i="24"/>
  <c r="D19" i="24"/>
  <c r="E19" i="24"/>
  <c r="D26" i="24"/>
  <c r="D35" i="24" s="1"/>
  <c r="D39" i="24" s="1"/>
  <c r="D43" i="24" s="1"/>
  <c r="D48" i="24" s="1"/>
  <c r="E26" i="24"/>
  <c r="E35" i="24" s="1"/>
  <c r="E39" i="24" s="1"/>
  <c r="E43" i="24" s="1"/>
  <c r="E48" i="24" s="1"/>
  <c r="D67" i="24"/>
  <c r="E73" i="51"/>
  <c r="F73" i="51"/>
  <c r="H73" i="51"/>
  <c r="I73" i="51"/>
  <c r="J73" i="51"/>
  <c r="K73" i="51"/>
  <c r="L73" i="51"/>
  <c r="M73" i="51"/>
  <c r="N73" i="51"/>
  <c r="O73" i="51"/>
  <c r="P73" i="51"/>
  <c r="Q73" i="51"/>
  <c r="R73" i="51"/>
  <c r="S73" i="51"/>
  <c r="T73" i="51"/>
  <c r="U73" i="51"/>
  <c r="AB73" i="51"/>
  <c r="AC73" i="51"/>
  <c r="C73" i="51"/>
  <c r="A61" i="2"/>
  <c r="E63" i="2"/>
  <c r="F63" i="2"/>
  <c r="D64" i="2"/>
  <c r="E64" i="2" s="1"/>
  <c r="F69" i="2" s="1"/>
  <c r="D65" i="2"/>
  <c r="E65" i="2" s="1"/>
  <c r="D66" i="2"/>
  <c r="E66" i="2"/>
  <c r="D68" i="2"/>
  <c r="E68" i="2"/>
  <c r="F68" i="2" s="1"/>
  <c r="A69" i="2"/>
  <c r="D80" i="2"/>
  <c r="D82" i="2"/>
  <c r="E67" i="24"/>
  <c r="D91" i="24"/>
  <c r="E91" i="24"/>
  <c r="D128" i="32"/>
  <c r="E128" i="32"/>
  <c r="D134" i="32"/>
  <c r="E134" i="32"/>
  <c r="D140" i="32"/>
  <c r="D144" i="32"/>
  <c r="D148" i="32"/>
  <c r="D155" i="32"/>
  <c r="E155" i="32"/>
  <c r="D160" i="32"/>
  <c r="E160" i="32"/>
  <c r="A88" i="8"/>
  <c r="B93" i="8"/>
  <c r="B75" i="8"/>
  <c r="B32" i="8"/>
  <c r="B12" i="8"/>
  <c r="A73" i="8"/>
  <c r="A30" i="8"/>
  <c r="A10" i="8"/>
  <c r="A68" i="8"/>
  <c r="A69" i="8"/>
  <c r="I71" i="8"/>
  <c r="I90" i="8"/>
  <c r="A91" i="8"/>
  <c r="B107" i="8"/>
  <c r="H107" i="8"/>
  <c r="F3" i="1"/>
  <c r="D17" i="1"/>
  <c r="E17" i="1"/>
  <c r="F17" i="1"/>
  <c r="G17" i="1"/>
  <c r="H17" i="1"/>
  <c r="D19" i="1"/>
  <c r="E19" i="1"/>
  <c r="G19" i="1"/>
  <c r="H19" i="1"/>
  <c r="D34" i="1"/>
  <c r="D37" i="1"/>
  <c r="E37" i="1"/>
  <c r="DE22" i="52"/>
  <c r="E2" i="5"/>
  <c r="D2" i="5"/>
  <c r="G3" i="1"/>
  <c r="H3" i="1"/>
  <c r="E4" i="2"/>
  <c r="D4" i="2" s="1"/>
  <c r="F4" i="2"/>
  <c r="C7" i="2"/>
  <c r="D7" i="2"/>
  <c r="A8" i="2"/>
  <c r="A9" i="2" s="1"/>
  <c r="A10" i="2" s="1"/>
  <c r="A12" i="2" s="1"/>
  <c r="A13" i="2" s="1"/>
  <c r="A14" i="2" s="1"/>
  <c r="A16" i="2" s="1"/>
  <c r="A17" i="2" s="1"/>
  <c r="A19" i="2" s="1"/>
  <c r="A20" i="2" s="1"/>
  <c r="A22" i="2" s="1"/>
  <c r="A23" i="2" s="1"/>
  <c r="A27" i="2" s="1"/>
  <c r="A28" i="2" s="1"/>
  <c r="A31" i="2" s="1"/>
  <c r="A32" i="2" s="1"/>
  <c r="A37" i="2" s="1"/>
  <c r="A38" i="2" s="1"/>
  <c r="A39" i="2" s="1"/>
  <c r="A40" i="2" s="1"/>
  <c r="A41" i="2" s="1"/>
  <c r="A42" i="2" s="1"/>
  <c r="A43" i="2" s="1"/>
  <c r="A44" i="2" s="1"/>
  <c r="A45" i="2" s="1"/>
  <c r="A46" i="2" s="1"/>
  <c r="A47" i="2" s="1"/>
  <c r="A48" i="2" s="1"/>
  <c r="A49" i="2" s="1"/>
  <c r="A50" i="2" s="1"/>
  <c r="A51" i="2" s="1"/>
  <c r="A52" i="2" s="1"/>
  <c r="A54" i="2" s="1"/>
  <c r="A55" i="2" s="1"/>
  <c r="A56" i="2" s="1"/>
  <c r="C8" i="2"/>
  <c r="D8" i="2"/>
  <c r="C9" i="2"/>
  <c r="D9" i="2"/>
  <c r="C10" i="2"/>
  <c r="D10" i="2"/>
  <c r="C13" i="2"/>
  <c r="D13" i="2"/>
  <c r="C14" i="2"/>
  <c r="D14" i="2"/>
  <c r="C16" i="2"/>
  <c r="C18" i="2" s="1"/>
  <c r="C19" i="2"/>
  <c r="D19" i="2"/>
  <c r="D21" i="2" s="1"/>
  <c r="C22" i="2"/>
  <c r="C31" i="2"/>
  <c r="D31" i="2"/>
  <c r="C32" i="2"/>
  <c r="D32" i="2"/>
  <c r="B37" i="2"/>
  <c r="C37" i="2"/>
  <c r="D37" i="2"/>
  <c r="B38" i="2"/>
  <c r="C38" i="2"/>
  <c r="D38" i="2"/>
  <c r="B39" i="2"/>
  <c r="C39" i="2"/>
  <c r="D39" i="2"/>
  <c r="B40" i="2"/>
  <c r="C40" i="2"/>
  <c r="D40" i="2"/>
  <c r="E40" i="2"/>
  <c r="F40" i="2"/>
  <c r="B41" i="2"/>
  <c r="C41" i="2"/>
  <c r="D41" i="2"/>
  <c r="E41" i="2"/>
  <c r="F41" i="2"/>
  <c r="B42" i="2"/>
  <c r="C42" i="2"/>
  <c r="D42" i="2"/>
  <c r="E42" i="2"/>
  <c r="F42" i="2"/>
  <c r="B43" i="2"/>
  <c r="B44" i="2"/>
  <c r="C44" i="2"/>
  <c r="D44" i="2"/>
  <c r="E44" i="2"/>
  <c r="B45" i="2"/>
  <c r="C45" i="2"/>
  <c r="D45" i="2"/>
  <c r="E45" i="2"/>
  <c r="B46" i="2"/>
  <c r="C46" i="2"/>
  <c r="D46" i="2"/>
  <c r="E46" i="2"/>
  <c r="B47" i="2"/>
  <c r="C47" i="2"/>
  <c r="D47" i="2"/>
  <c r="B48" i="2"/>
  <c r="B49" i="2"/>
  <c r="B50" i="2"/>
  <c r="B51" i="2"/>
  <c r="C51" i="2"/>
  <c r="D51" i="2"/>
  <c r="B52" i="2"/>
  <c r="C52" i="2"/>
  <c r="D52" i="2"/>
  <c r="B53" i="2"/>
  <c r="C53" i="2"/>
  <c r="D53" i="2"/>
  <c r="B54" i="2"/>
  <c r="C54" i="2"/>
  <c r="D54" i="2"/>
  <c r="E54" i="2"/>
  <c r="B55" i="2"/>
  <c r="B56" i="2"/>
  <c r="B57" i="2"/>
  <c r="B4" i="3"/>
  <c r="C4" i="3"/>
  <c r="D4" i="3"/>
  <c r="E4" i="3"/>
  <c r="B8" i="3"/>
  <c r="C8" i="3"/>
  <c r="B5" i="3"/>
  <c r="C27" i="2"/>
  <c r="C33" i="2"/>
  <c r="C43" i="2"/>
  <c r="F54" i="2"/>
  <c r="C55" i="2"/>
  <c r="A6" i="8"/>
  <c r="I8" i="8"/>
  <c r="A26" i="8"/>
  <c r="I28" i="8"/>
  <c r="B45" i="8"/>
  <c r="H45" i="8"/>
  <c r="E51" i="8"/>
  <c r="F60" i="8"/>
  <c r="E62" i="8"/>
  <c r="D3" i="20"/>
  <c r="E3" i="20"/>
  <c r="A5" i="20"/>
  <c r="A6" i="20" s="1"/>
  <c r="A7" i="20" s="1"/>
  <c r="A8" i="20" s="1"/>
  <c r="A9" i="20" s="1"/>
  <c r="A10" i="20" s="1"/>
  <c r="A11" i="20" s="1"/>
  <c r="A12" i="20" s="1"/>
  <c r="A13" i="20" s="1"/>
  <c r="A14" i="20" s="1"/>
  <c r="A15" i="20" s="1"/>
  <c r="A16" i="20" s="1"/>
  <c r="A18" i="20" s="1"/>
  <c r="A19" i="20" s="1"/>
  <c r="A62" i="20"/>
  <c r="A66" i="20"/>
  <c r="A67" i="20" s="1"/>
  <c r="A68" i="20" s="1"/>
  <c r="A69" i="20" s="1"/>
  <c r="A70" i="20" s="1"/>
  <c r="A71" i="20" s="1"/>
  <c r="D21" i="20"/>
  <c r="E21" i="20"/>
  <c r="D27" i="20"/>
  <c r="E27" i="20"/>
  <c r="D32" i="20"/>
  <c r="D53" i="20"/>
  <c r="E53" i="20"/>
  <c r="D60" i="20"/>
  <c r="E60" i="20"/>
  <c r="D64" i="20"/>
  <c r="E64" i="20"/>
  <c r="D80" i="20"/>
  <c r="E80" i="20"/>
  <c r="D86" i="20"/>
  <c r="D87" i="20"/>
  <c r="E87" i="20"/>
  <c r="D110" i="20"/>
  <c r="E110" i="20"/>
  <c r="D115" i="20"/>
  <c r="E115" i="20"/>
  <c r="C6" i="28"/>
  <c r="C11" i="28"/>
  <c r="C17" i="28"/>
  <c r="I17" i="28"/>
  <c r="C23" i="28"/>
  <c r="I23" i="28"/>
  <c r="D3" i="32"/>
  <c r="E3" i="32"/>
  <c r="H2" i="32" s="1"/>
  <c r="A6" i="32"/>
  <c r="D7" i="32"/>
  <c r="A11" i="32"/>
  <c r="D12" i="32"/>
  <c r="E12" i="32"/>
  <c r="A15" i="32"/>
  <c r="D110" i="32"/>
  <c r="E110" i="32"/>
  <c r="D114" i="32"/>
  <c r="E114" i="32"/>
  <c r="A122" i="32"/>
  <c r="B2" i="47"/>
  <c r="H2" i="47"/>
  <c r="H59" i="47" s="1"/>
  <c r="I59" i="47" s="1"/>
  <c r="H57" i="47"/>
  <c r="I57" i="47" s="1"/>
  <c r="H47" i="47"/>
  <c r="I47" i="47" s="1"/>
  <c r="A82" i="20"/>
  <c r="A83" i="20" s="1"/>
  <c r="A84" i="20" s="1"/>
  <c r="A85" i="20" s="1"/>
  <c r="A89" i="20"/>
  <c r="A90" i="20" s="1"/>
  <c r="A91" i="20" s="1"/>
  <c r="C6" i="2"/>
  <c r="B10" i="3"/>
  <c r="F100" i="5"/>
  <c r="C5" i="2"/>
  <c r="B9" i="3"/>
  <c r="E47" i="2"/>
  <c r="F8" i="2"/>
  <c r="E8" i="2"/>
  <c r="D17" i="51" l="1"/>
  <c r="AV23" i="52"/>
  <c r="AW23" i="52"/>
  <c r="AX23" i="52"/>
  <c r="AY23" i="52"/>
  <c r="AR23" i="52"/>
  <c r="AS23" i="52"/>
  <c r="AT23" i="52"/>
  <c r="AU23" i="52"/>
  <c r="F17" i="51"/>
  <c r="AE23" i="52"/>
  <c r="AE26" i="52" s="1"/>
  <c r="BC23" i="52"/>
  <c r="BC26" i="52" s="1"/>
  <c r="Y23" i="52"/>
  <c r="Y26" i="52" s="1"/>
  <c r="F23" i="52"/>
  <c r="F26" i="52" s="1"/>
  <c r="CG23" i="52"/>
  <c r="AL23" i="52"/>
  <c r="CF23" i="52"/>
  <c r="AQ23" i="52"/>
  <c r="AK23" i="52"/>
  <c r="CE23" i="52"/>
  <c r="AP23" i="52"/>
  <c r="I23" i="52"/>
  <c r="I26" i="52" s="1"/>
  <c r="CD23" i="52"/>
  <c r="AO23" i="52"/>
  <c r="AN23" i="52"/>
  <c r="AM23" i="52"/>
  <c r="E89" i="24"/>
  <c r="F51" i="5" s="1"/>
  <c r="E17" i="24"/>
  <c r="F47" i="5" s="1"/>
  <c r="D10" i="3"/>
  <c r="H64" i="12"/>
  <c r="G64" i="12"/>
  <c r="G16" i="5" s="1"/>
  <c r="E10" i="3"/>
  <c r="H30" i="12"/>
  <c r="G30" i="12"/>
  <c r="G16" i="12"/>
  <c r="F115" i="20"/>
  <c r="F40" i="20"/>
  <c r="F93" i="20"/>
  <c r="F33" i="20"/>
  <c r="F27" i="20"/>
  <c r="F110" i="20"/>
  <c r="F3" i="20"/>
  <c r="F3" i="24" s="1"/>
  <c r="F10" i="24" s="1"/>
  <c r="F80" i="20"/>
  <c r="B131" i="20"/>
  <c r="F64" i="20"/>
  <c r="F2" i="20"/>
  <c r="F2" i="24" s="1"/>
  <c r="F2" i="32" s="1"/>
  <c r="F60" i="20"/>
  <c r="B130" i="20"/>
  <c r="F53" i="20"/>
  <c r="F21" i="20"/>
  <c r="F73" i="20"/>
  <c r="F87" i="20"/>
  <c r="I135" i="32"/>
  <c r="E139" i="32"/>
  <c r="F74" i="5" s="1"/>
  <c r="E98" i="24"/>
  <c r="F52" i="5"/>
  <c r="E56" i="24"/>
  <c r="F49" i="5" s="1"/>
  <c r="G49" i="5" s="1"/>
  <c r="E33" i="24"/>
  <c r="F48" i="5" s="1"/>
  <c r="G48" i="5" s="1"/>
  <c r="D128" i="5"/>
  <c r="E128" i="5"/>
  <c r="E14" i="2"/>
  <c r="I85" i="32"/>
  <c r="E39" i="2"/>
  <c r="G73" i="5"/>
  <c r="F27" i="2" s="1"/>
  <c r="B124" i="32"/>
  <c r="B125" i="32"/>
  <c r="G64" i="5"/>
  <c r="E37" i="2"/>
  <c r="D48" i="2"/>
  <c r="E31" i="2"/>
  <c r="G80" i="5"/>
  <c r="G40" i="5"/>
  <c r="F14" i="2" s="1"/>
  <c r="G58" i="5"/>
  <c r="BS23" i="52"/>
  <c r="BZ23" i="52"/>
  <c r="BR23" i="52"/>
  <c r="BY23" i="52"/>
  <c r="BQ23" i="52"/>
  <c r="BX23" i="52"/>
  <c r="BP23" i="52"/>
  <c r="BW23" i="52"/>
  <c r="BO23" i="52"/>
  <c r="BV23" i="52"/>
  <c r="BU23" i="52"/>
  <c r="BT23" i="52"/>
  <c r="AA17" i="51"/>
  <c r="E84" i="32"/>
  <c r="I84" i="32" s="1"/>
  <c r="E111" i="20"/>
  <c r="E112" i="20" s="1"/>
  <c r="E113" i="20" s="1"/>
  <c r="F39" i="5" s="1"/>
  <c r="C111" i="20"/>
  <c r="E4" i="5"/>
  <c r="CR23" i="52"/>
  <c r="CB23" i="52"/>
  <c r="CN23" i="52"/>
  <c r="CP23" i="52"/>
  <c r="CL23" i="52"/>
  <c r="E6" i="2"/>
  <c r="C23" i="2"/>
  <c r="C20" i="2"/>
  <c r="C21" i="2"/>
  <c r="C48" i="2"/>
  <c r="H55" i="47"/>
  <c r="I55" i="47" s="1"/>
  <c r="H17" i="47"/>
  <c r="I17" i="47" s="1"/>
  <c r="G84" i="8"/>
  <c r="A94" i="12"/>
  <c r="V17" i="51"/>
  <c r="V23" i="51" s="1"/>
  <c r="V121" i="51" s="1"/>
  <c r="H23" i="52"/>
  <c r="L23" i="52"/>
  <c r="M89" i="51"/>
  <c r="M156" i="51"/>
  <c r="C15" i="47"/>
  <c r="B11" i="47"/>
  <c r="D6" i="47"/>
  <c r="J32" i="8"/>
  <c r="G102" i="8"/>
  <c r="I102" i="8" s="1"/>
  <c r="O89" i="51"/>
  <c r="O156" i="51"/>
  <c r="G15" i="8"/>
  <c r="G6" i="8"/>
  <c r="C11" i="2"/>
  <c r="F6" i="2"/>
  <c r="E38" i="2"/>
  <c r="BI108" i="52"/>
  <c r="BI76" i="52"/>
  <c r="AG108" i="52"/>
  <c r="AG76" i="52"/>
  <c r="E108" i="52"/>
  <c r="E76" i="52"/>
  <c r="D108" i="52"/>
  <c r="D76" i="52"/>
  <c r="T108" i="52"/>
  <c r="T76" i="52"/>
  <c r="CC108" i="52"/>
  <c r="CC76" i="52"/>
  <c r="CS108" i="52"/>
  <c r="CS76" i="52"/>
  <c r="CQ23" i="52"/>
  <c r="CO23" i="52"/>
  <c r="G156" i="51"/>
  <c r="G89" i="51"/>
  <c r="S108" i="52"/>
  <c r="AD108" i="52"/>
  <c r="J108" i="52"/>
  <c r="J100" i="52"/>
  <c r="J104" i="52"/>
  <c r="J105" i="52"/>
  <c r="CA108" i="52"/>
  <c r="D104" i="52"/>
  <c r="D105" i="52"/>
  <c r="K108" i="52"/>
  <c r="BK108" i="52"/>
  <c r="H156" i="51"/>
  <c r="F156" i="51"/>
  <c r="H148" i="51"/>
  <c r="AB156" i="51"/>
  <c r="R156" i="51"/>
  <c r="N156" i="51"/>
  <c r="E32" i="1"/>
  <c r="D12" i="8" s="1"/>
  <c r="I19" i="8" s="1"/>
  <c r="Q166" i="51"/>
  <c r="J166" i="51"/>
  <c r="R148" i="51"/>
  <c r="P166" i="51"/>
  <c r="G166" i="51"/>
  <c r="E166" i="51"/>
  <c r="AB166" i="51"/>
  <c r="I166" i="51"/>
  <c r="E148" i="51"/>
  <c r="U166" i="51"/>
  <c r="N166" i="51"/>
  <c r="T166" i="51"/>
  <c r="C166" i="51"/>
  <c r="H166" i="51"/>
  <c r="F166" i="51"/>
  <c r="S166" i="51"/>
  <c r="L166" i="51"/>
  <c r="R166" i="51"/>
  <c r="K166" i="51"/>
  <c r="AD166" i="51"/>
  <c r="AC166" i="51"/>
  <c r="BG108" i="52"/>
  <c r="M108" i="52"/>
  <c r="AF108" i="52"/>
  <c r="AI108" i="52"/>
  <c r="Z108" i="52"/>
  <c r="CX108" i="52"/>
  <c r="AB108" i="52"/>
  <c r="C108" i="52"/>
  <c r="DD108" i="52"/>
  <c r="CM108" i="52"/>
  <c r="CZ108" i="52"/>
  <c r="CW108" i="52"/>
  <c r="CJ108" i="52"/>
  <c r="CH108" i="52"/>
  <c r="X108" i="52"/>
  <c r="DB108" i="52"/>
  <c r="CU108" i="52"/>
  <c r="AH108" i="52"/>
  <c r="CB108" i="52"/>
  <c r="BD108" i="52"/>
  <c r="CK108" i="52"/>
  <c r="BF108" i="52"/>
  <c r="BN108" i="52"/>
  <c r="BL108" i="52"/>
  <c r="DA108" i="52"/>
  <c r="BH108" i="52"/>
  <c r="G108" i="52"/>
  <c r="CT108" i="52"/>
  <c r="DA104" i="52"/>
  <c r="DA105" i="52"/>
  <c r="W100" i="52"/>
  <c r="W105" i="52"/>
  <c r="W104" i="52"/>
  <c r="BN100" i="52"/>
  <c r="BN105" i="52"/>
  <c r="BN104" i="52"/>
  <c r="AH100" i="52"/>
  <c r="AH105" i="52"/>
  <c r="AH104" i="52"/>
  <c r="BB108" i="52"/>
  <c r="CB105" i="52"/>
  <c r="CB104" i="52"/>
  <c r="CB100" i="52"/>
  <c r="CY105" i="52"/>
  <c r="CY104" i="52"/>
  <c r="O100" i="52"/>
  <c r="O105" i="52"/>
  <c r="O104" i="52"/>
  <c r="BH105" i="52"/>
  <c r="BH104" i="52"/>
  <c r="BH100" i="52"/>
  <c r="P108" i="52"/>
  <c r="AA104" i="52"/>
  <c r="AA100" i="52"/>
  <c r="AA105" i="52"/>
  <c r="G100" i="52"/>
  <c r="G105" i="52"/>
  <c r="G104" i="52"/>
  <c r="AA108" i="52"/>
  <c r="CU105" i="52"/>
  <c r="CU104" i="52"/>
  <c r="DD105" i="52"/>
  <c r="DD104" i="52"/>
  <c r="BM100" i="52"/>
  <c r="BM105" i="52"/>
  <c r="BM104" i="52"/>
  <c r="AF105" i="52"/>
  <c r="AF104" i="52"/>
  <c r="AF100" i="52"/>
  <c r="BB105" i="52"/>
  <c r="BB104" i="52"/>
  <c r="BB100" i="52"/>
  <c r="CY108" i="52"/>
  <c r="Z105" i="52"/>
  <c r="Z104" i="52"/>
  <c r="T105" i="52"/>
  <c r="T104" i="52"/>
  <c r="T100" i="52"/>
  <c r="AG105" i="52"/>
  <c r="AG104" i="52"/>
  <c r="AG100" i="52"/>
  <c r="N108" i="52"/>
  <c r="AB105" i="52"/>
  <c r="AB104" i="52"/>
  <c r="AB100" i="52"/>
  <c r="CT105" i="52"/>
  <c r="CT104" i="52"/>
  <c r="BL105" i="52"/>
  <c r="BL104" i="52"/>
  <c r="BL100" i="52"/>
  <c r="DC105" i="52"/>
  <c r="DC104" i="52"/>
  <c r="BA105" i="52"/>
  <c r="BA104" i="52"/>
  <c r="BA100" i="52"/>
  <c r="X105" i="52"/>
  <c r="X104" i="52"/>
  <c r="AC108" i="52"/>
  <c r="CK100" i="52"/>
  <c r="CK105" i="52"/>
  <c r="CK104" i="52"/>
  <c r="Q108" i="52"/>
  <c r="BD105" i="52"/>
  <c r="BD104" i="52"/>
  <c r="BD100" i="52"/>
  <c r="BJ108" i="52"/>
  <c r="E100" i="52"/>
  <c r="E105" i="52"/>
  <c r="E104" i="52"/>
  <c r="DC108" i="52"/>
  <c r="CC105" i="52"/>
  <c r="CC104" i="52"/>
  <c r="CC100" i="52"/>
  <c r="BI105" i="52"/>
  <c r="BI104" i="52"/>
  <c r="BI100" i="52"/>
  <c r="CW105" i="52"/>
  <c r="CW104" i="52"/>
  <c r="AZ105" i="52"/>
  <c r="AZ104" i="52"/>
  <c r="AZ100" i="52"/>
  <c r="AC105" i="52"/>
  <c r="AC104" i="52"/>
  <c r="AC100" i="52"/>
  <c r="Q100" i="52"/>
  <c r="Q105" i="52"/>
  <c r="Q104" i="52"/>
  <c r="BJ105" i="52"/>
  <c r="BJ104" i="52"/>
  <c r="BJ100" i="52"/>
  <c r="N100" i="52"/>
  <c r="N105" i="52"/>
  <c r="N104" i="52"/>
  <c r="CV108" i="52"/>
  <c r="BM108" i="52"/>
  <c r="BG104" i="52"/>
  <c r="BG105" i="52"/>
  <c r="BG100" i="52"/>
  <c r="CV105" i="52"/>
  <c r="CV104" i="52"/>
  <c r="BE108" i="52"/>
  <c r="CM105" i="52"/>
  <c r="CM104" i="52"/>
  <c r="AI100" i="52"/>
  <c r="AI105" i="52"/>
  <c r="AI104" i="52"/>
  <c r="C104" i="52"/>
  <c r="C105" i="52"/>
  <c r="M105" i="52"/>
  <c r="M104" i="52"/>
  <c r="M100" i="52"/>
  <c r="CI108" i="52"/>
  <c r="U105" i="52"/>
  <c r="U104" i="52"/>
  <c r="U100" i="52"/>
  <c r="CJ105" i="52"/>
  <c r="CJ104" i="52"/>
  <c r="CJ100" i="52"/>
  <c r="CZ105" i="52"/>
  <c r="CZ104" i="52"/>
  <c r="BE100" i="52"/>
  <c r="BE105" i="52"/>
  <c r="BE104" i="52"/>
  <c r="BF100" i="52"/>
  <c r="BF105" i="52"/>
  <c r="BF104" i="52"/>
  <c r="V100" i="52"/>
  <c r="V105" i="52"/>
  <c r="V104" i="52"/>
  <c r="W108" i="52"/>
  <c r="DB105" i="52"/>
  <c r="DB104" i="52"/>
  <c r="R104" i="52"/>
  <c r="R100" i="52"/>
  <c r="R105" i="52"/>
  <c r="CI105" i="52"/>
  <c r="CI104" i="52"/>
  <c r="CI100" i="52"/>
  <c r="CS104" i="52"/>
  <c r="CS105" i="52"/>
  <c r="CA104" i="52"/>
  <c r="CA100" i="52"/>
  <c r="CA105" i="52"/>
  <c r="CX105" i="52"/>
  <c r="CX104" i="52"/>
  <c r="S105" i="52"/>
  <c r="S104" i="52"/>
  <c r="S100" i="52"/>
  <c r="AD105" i="52"/>
  <c r="AD104" i="52"/>
  <c r="AD100" i="52"/>
  <c r="AJ108" i="52"/>
  <c r="BK105" i="52"/>
  <c r="BK104" i="52"/>
  <c r="BK100" i="52"/>
  <c r="U108" i="52"/>
  <c r="K105" i="52"/>
  <c r="K104" i="52"/>
  <c r="K100" i="52"/>
  <c r="V108" i="52"/>
  <c r="P100" i="52"/>
  <c r="P105" i="52"/>
  <c r="P104" i="52"/>
  <c r="CH105" i="52"/>
  <c r="CH104" i="52"/>
  <c r="CH100" i="52"/>
  <c r="O108" i="52"/>
  <c r="AJ104" i="52"/>
  <c r="AJ100" i="52"/>
  <c r="AJ105" i="52"/>
  <c r="R108" i="52"/>
  <c r="AZ108" i="52"/>
  <c r="I156" i="51"/>
  <c r="G148" i="51"/>
  <c r="F148" i="51"/>
  <c r="AD121" i="51"/>
  <c r="AD131" i="51"/>
  <c r="AD127" i="51"/>
  <c r="AD118" i="51"/>
  <c r="P99" i="51"/>
  <c r="P100" i="51" s="1"/>
  <c r="Q148" i="51"/>
  <c r="I148" i="51"/>
  <c r="E156" i="51"/>
  <c r="AC118" i="51"/>
  <c r="AC121" i="51"/>
  <c r="AC131" i="51"/>
  <c r="AC127" i="51"/>
  <c r="U156" i="51"/>
  <c r="Q156" i="51"/>
  <c r="P148" i="51"/>
  <c r="E99" i="51"/>
  <c r="E101" i="51" s="1"/>
  <c r="J148" i="51"/>
  <c r="T156" i="51"/>
  <c r="P156" i="51"/>
  <c r="L156" i="51"/>
  <c r="AB148" i="51"/>
  <c r="N148" i="51"/>
  <c r="C156" i="51"/>
  <c r="T99" i="51"/>
  <c r="T101" i="51" s="1"/>
  <c r="U148" i="51"/>
  <c r="C101" i="51"/>
  <c r="H99" i="51"/>
  <c r="H101" i="51" s="1"/>
  <c r="F99" i="51"/>
  <c r="F101" i="51" s="1"/>
  <c r="J156" i="51"/>
  <c r="S156" i="51"/>
  <c r="K156" i="51"/>
  <c r="T148" i="51"/>
  <c r="L148" i="51"/>
  <c r="C148" i="51"/>
  <c r="AD156" i="51"/>
  <c r="S148" i="51"/>
  <c r="K148" i="51"/>
  <c r="E83" i="32"/>
  <c r="H42" i="1"/>
  <c r="D42" i="1"/>
  <c r="E42" i="1"/>
  <c r="F42" i="1"/>
  <c r="G42" i="1"/>
  <c r="J8" i="8"/>
  <c r="K6" i="8" s="1"/>
  <c r="G41" i="8"/>
  <c r="I41" i="8" s="1"/>
  <c r="J12" i="8"/>
  <c r="I21" i="8" s="1"/>
  <c r="H50" i="47"/>
  <c r="I50" i="47" s="1"/>
  <c r="D98" i="5"/>
  <c r="H58" i="47"/>
  <c r="I58" i="47" s="1"/>
  <c r="H54" i="47"/>
  <c r="I54" i="47" s="1"/>
  <c r="H51" i="47"/>
  <c r="I51" i="47" s="1"/>
  <c r="H49" i="47"/>
  <c r="I49" i="47" s="1"/>
  <c r="H41" i="47"/>
  <c r="I41" i="47" s="1"/>
  <c r="H33" i="47"/>
  <c r="I33" i="47" s="1"/>
  <c r="H25" i="47"/>
  <c r="I25" i="47" s="1"/>
  <c r="H13" i="47"/>
  <c r="I13" i="47" s="1"/>
  <c r="H5" i="47"/>
  <c r="I5" i="47" s="1"/>
  <c r="I151" i="32"/>
  <c r="E197" i="36" s="1"/>
  <c r="D11" i="2"/>
  <c r="I84" i="8"/>
  <c r="C51" i="47"/>
  <c r="B49" i="47"/>
  <c r="D46" i="47"/>
  <c r="F43" i="47"/>
  <c r="B41" i="47"/>
  <c r="D38" i="47"/>
  <c r="F35" i="47"/>
  <c r="B33" i="47"/>
  <c r="D30" i="47"/>
  <c r="F27" i="47"/>
  <c r="B25" i="47"/>
  <c r="D22" i="47"/>
  <c r="F19" i="47"/>
  <c r="D16" i="47"/>
  <c r="E12" i="47"/>
  <c r="B9" i="47"/>
  <c r="H39" i="47"/>
  <c r="I39" i="47" s="1"/>
  <c r="I2" i="47"/>
  <c r="H56" i="47"/>
  <c r="I56" i="47" s="1"/>
  <c r="H52" i="47"/>
  <c r="I52" i="47" s="1"/>
  <c r="B51" i="47"/>
  <c r="E48" i="47"/>
  <c r="G45" i="47"/>
  <c r="H45" i="47" s="1"/>
  <c r="I45" i="47" s="1"/>
  <c r="C43" i="47"/>
  <c r="E40" i="47"/>
  <c r="G37" i="47"/>
  <c r="H37" i="47" s="1"/>
  <c r="I37" i="47" s="1"/>
  <c r="C35" i="47"/>
  <c r="E32" i="47"/>
  <c r="G29" i="47"/>
  <c r="H29" i="47" s="1"/>
  <c r="I29" i="47" s="1"/>
  <c r="C27" i="47"/>
  <c r="E24" i="47"/>
  <c r="G21" i="47"/>
  <c r="H21" i="47" s="1"/>
  <c r="I21" i="47" s="1"/>
  <c r="C19" i="47"/>
  <c r="F15" i="47"/>
  <c r="D12" i="47"/>
  <c r="E8" i="47"/>
  <c r="F50" i="8"/>
  <c r="E52" i="8"/>
  <c r="J52" i="8" s="1"/>
  <c r="G16" i="8"/>
  <c r="E50" i="8"/>
  <c r="K16" i="12"/>
  <c r="H50" i="8"/>
  <c r="G50" i="8"/>
  <c r="M88" i="52"/>
  <c r="E195" i="36"/>
  <c r="H37" i="1"/>
  <c r="G37" i="1"/>
  <c r="G52" i="5"/>
  <c r="F92" i="5"/>
  <c r="E43" i="2" s="1"/>
  <c r="D78" i="5"/>
  <c r="C29" i="2"/>
  <c r="C24" i="2"/>
  <c r="C17" i="2"/>
  <c r="BM88" i="52"/>
  <c r="BA88" i="52"/>
  <c r="AZ88" i="52"/>
  <c r="N17" i="51"/>
  <c r="N23" i="51" s="1"/>
  <c r="N121" i="51" s="1"/>
  <c r="Z17" i="51"/>
  <c r="Z23" i="51" s="1"/>
  <c r="Z121" i="51" s="1"/>
  <c r="U23" i="52"/>
  <c r="BM23" i="52"/>
  <c r="X23" i="52"/>
  <c r="Y17" i="51"/>
  <c r="Y23" i="51" s="1"/>
  <c r="Y121" i="51" s="1"/>
  <c r="X17" i="51"/>
  <c r="X23" i="51" s="1"/>
  <c r="X121" i="51" s="1"/>
  <c r="W17" i="51"/>
  <c r="W23" i="51" s="1"/>
  <c r="W121" i="51" s="1"/>
  <c r="T17" i="51"/>
  <c r="T23" i="51" s="1"/>
  <c r="T121" i="51" s="1"/>
  <c r="I83" i="8"/>
  <c r="I40" i="8"/>
  <c r="C10" i="3"/>
  <c r="D32" i="1"/>
  <c r="CC23" i="52"/>
  <c r="CI23" i="52"/>
  <c r="J17" i="51"/>
  <c r="J23" i="51" s="1"/>
  <c r="J121" i="51" s="1"/>
  <c r="CS23" i="52"/>
  <c r="CW23" i="52"/>
  <c r="P17" i="51"/>
  <c r="P23" i="51" s="1"/>
  <c r="P121" i="51" s="1"/>
  <c r="P23" i="52"/>
  <c r="DD23" i="52"/>
  <c r="G87" i="52"/>
  <c r="J125" i="8"/>
  <c r="F65" i="2"/>
  <c r="F64" i="2"/>
  <c r="N99" i="51"/>
  <c r="N101" i="51" s="1"/>
  <c r="L99" i="51"/>
  <c r="L101" i="51" s="1"/>
  <c r="J99" i="51"/>
  <c r="J100" i="51" s="1"/>
  <c r="M99" i="51"/>
  <c r="M101" i="51" s="1"/>
  <c r="AC17" i="51"/>
  <c r="S17" i="51"/>
  <c r="S23" i="51" s="1"/>
  <c r="S121" i="51" s="1"/>
  <c r="CU23" i="52"/>
  <c r="CZ23" i="52"/>
  <c r="R23" i="52"/>
  <c r="CH23" i="52"/>
  <c r="CV23" i="52"/>
  <c r="DC23" i="52"/>
  <c r="BI23" i="52"/>
  <c r="O17" i="51"/>
  <c r="O23" i="51" s="1"/>
  <c r="O121" i="51" s="1"/>
  <c r="K17" i="51"/>
  <c r="U99" i="51"/>
  <c r="U101" i="51" s="1"/>
  <c r="AB99" i="51"/>
  <c r="AB100" i="51" s="1"/>
  <c r="R99" i="51"/>
  <c r="R101" i="51" s="1"/>
  <c r="K99" i="51"/>
  <c r="K101" i="51" s="1"/>
  <c r="G99" i="51"/>
  <c r="G101" i="51" s="1"/>
  <c r="U17" i="51"/>
  <c r="U23" i="51" s="1"/>
  <c r="U121" i="51" s="1"/>
  <c r="N23" i="52"/>
  <c r="AZ23" i="52"/>
  <c r="CJ23" i="52"/>
  <c r="DB23" i="52"/>
  <c r="BN23" i="52"/>
  <c r="BL23" i="52"/>
  <c r="M17" i="51"/>
  <c r="M23" i="51" s="1"/>
  <c r="CM23" i="52"/>
  <c r="Q99" i="51"/>
  <c r="Q101" i="51" s="1"/>
  <c r="AD101" i="51"/>
  <c r="O99" i="51"/>
  <c r="O101" i="51" s="1"/>
  <c r="Q17" i="51"/>
  <c r="Q23" i="51" s="1"/>
  <c r="Q121" i="51" s="1"/>
  <c r="W23" i="52"/>
  <c r="E17" i="51"/>
  <c r="R17" i="51"/>
  <c r="R23" i="51" s="1"/>
  <c r="R121" i="51" s="1"/>
  <c r="AB17" i="51"/>
  <c r="AB23" i="51" s="1"/>
  <c r="AB121" i="51" s="1"/>
  <c r="V23" i="52"/>
  <c r="CY23" i="52"/>
  <c r="BA23" i="52"/>
  <c r="CT23" i="52"/>
  <c r="DA23" i="52"/>
  <c r="AD17" i="51"/>
  <c r="BG23" i="52"/>
  <c r="L17" i="51"/>
  <c r="L23" i="51" s="1"/>
  <c r="L121" i="51" s="1"/>
  <c r="CX23" i="52"/>
  <c r="CK23" i="52"/>
  <c r="AC101" i="51"/>
  <c r="S99" i="51"/>
  <c r="S101" i="51" s="1"/>
  <c r="I99" i="51"/>
  <c r="I101" i="51" s="1"/>
  <c r="AC54" i="51"/>
  <c r="AC156" i="51" s="1"/>
  <c r="B100" i="51"/>
  <c r="Z88" i="52"/>
  <c r="BJ88" i="52"/>
  <c r="C4" i="2"/>
  <c r="F82" i="5"/>
  <c r="E33" i="2" s="1"/>
  <c r="E32" i="2"/>
  <c r="CW88" i="52"/>
  <c r="CW87" i="52"/>
  <c r="F37" i="2"/>
  <c r="G92" i="5"/>
  <c r="E51" i="2"/>
  <c r="G100" i="5"/>
  <c r="F51" i="2" s="1"/>
  <c r="E78" i="5"/>
  <c r="D28" i="2"/>
  <c r="D29" i="2" s="1"/>
  <c r="G101" i="5"/>
  <c r="F52" i="2" s="1"/>
  <c r="E52" i="2"/>
  <c r="E66" i="53"/>
  <c r="F66" i="53"/>
  <c r="D66" i="53"/>
  <c r="C66" i="53"/>
  <c r="H80" i="12"/>
  <c r="E98" i="5"/>
  <c r="D43" i="2"/>
  <c r="E90" i="2"/>
  <c r="D66" i="5"/>
  <c r="F73" i="5"/>
  <c r="E27" i="2" s="1"/>
  <c r="W87" i="52"/>
  <c r="W88" i="52"/>
  <c r="CV88" i="52"/>
  <c r="CV87" i="52"/>
  <c r="A110" i="12"/>
  <c r="I101" i="8"/>
  <c r="J62" i="8"/>
  <c r="A39" i="36"/>
  <c r="E70" i="53"/>
  <c r="DD88" i="52"/>
  <c r="CJ88" i="52"/>
  <c r="CJ87" i="52"/>
  <c r="H90" i="12"/>
  <c r="G31" i="1"/>
  <c r="Q87" i="52"/>
  <c r="BN88" i="52"/>
  <c r="H19" i="47"/>
  <c r="I19" i="47" s="1"/>
  <c r="H27" i="47"/>
  <c r="I27" i="47" s="1"/>
  <c r="H35" i="47"/>
  <c r="I35" i="47" s="1"/>
  <c r="H43" i="47"/>
  <c r="I43" i="47" s="1"/>
  <c r="J25" i="28"/>
  <c r="E132" i="5" s="1"/>
  <c r="G97" i="5"/>
  <c r="F48" i="2" s="1"/>
  <c r="DC88" i="52"/>
  <c r="CI88" i="52"/>
  <c r="CI87" i="52"/>
  <c r="A47" i="36"/>
  <c r="G47" i="5"/>
  <c r="V87" i="52"/>
  <c r="V88" i="52"/>
  <c r="D112" i="20"/>
  <c r="BF88" i="52"/>
  <c r="Q88" i="52"/>
  <c r="BG88" i="52"/>
  <c r="CH88" i="52"/>
  <c r="CH87" i="52"/>
  <c r="H50" i="12"/>
  <c r="G90" i="12"/>
  <c r="D70" i="53"/>
  <c r="E18" i="47"/>
  <c r="C17" i="47"/>
  <c r="G15" i="47"/>
  <c r="H15" i="47" s="1"/>
  <c r="I15" i="47" s="1"/>
  <c r="E14" i="47"/>
  <c r="C13" i="47"/>
  <c r="G11" i="47"/>
  <c r="H11" i="47" s="1"/>
  <c r="I11" i="47" s="1"/>
  <c r="E10" i="47"/>
  <c r="C9" i="47"/>
  <c r="G7" i="47"/>
  <c r="H7" i="47" s="1"/>
  <c r="I7" i="47" s="1"/>
  <c r="K26" i="28"/>
  <c r="E138" i="32"/>
  <c r="I138" i="32" s="1"/>
  <c r="I139" i="32" s="1"/>
  <c r="E196" i="36" s="1"/>
  <c r="G57" i="5"/>
  <c r="G76" i="5"/>
  <c r="DD70" i="52"/>
  <c r="F56" i="5" s="1"/>
  <c r="E19" i="2" s="1"/>
  <c r="E21" i="2" s="1"/>
  <c r="BA70" i="52"/>
  <c r="W70" i="52"/>
  <c r="F34" i="5" s="1"/>
  <c r="H34" i="5" s="1"/>
  <c r="DA88" i="52"/>
  <c r="DA87" i="52"/>
  <c r="H16" i="12"/>
  <c r="B6" i="47"/>
  <c r="F6" i="47"/>
  <c r="D7" i="47"/>
  <c r="B8" i="47"/>
  <c r="F8" i="47"/>
  <c r="D9" i="47"/>
  <c r="B10" i="47"/>
  <c r="F10" i="47"/>
  <c r="D11" i="47"/>
  <c r="B12" i="47"/>
  <c r="F12" i="47"/>
  <c r="D13" i="47"/>
  <c r="B14" i="47"/>
  <c r="F14" i="47"/>
  <c r="D15" i="47"/>
  <c r="B16" i="47"/>
  <c r="F16" i="47"/>
  <c r="D17" i="47"/>
  <c r="B18" i="47"/>
  <c r="F18" i="47"/>
  <c r="D19" i="47"/>
  <c r="B20" i="47"/>
  <c r="F20" i="47"/>
  <c r="D21" i="47"/>
  <c r="B22" i="47"/>
  <c r="F22" i="47"/>
  <c r="D23" i="47"/>
  <c r="B24" i="47"/>
  <c r="F24" i="47"/>
  <c r="D25" i="47"/>
  <c r="B26" i="47"/>
  <c r="F26" i="47"/>
  <c r="D27" i="47"/>
  <c r="B28" i="47"/>
  <c r="F28" i="47"/>
  <c r="D29" i="47"/>
  <c r="B30" i="47"/>
  <c r="F30" i="47"/>
  <c r="D31" i="47"/>
  <c r="B32" i="47"/>
  <c r="F32" i="47"/>
  <c r="D33" i="47"/>
  <c r="B34" i="47"/>
  <c r="F34" i="47"/>
  <c r="D35" i="47"/>
  <c r="B36" i="47"/>
  <c r="F36" i="47"/>
  <c r="D37" i="47"/>
  <c r="B38" i="47"/>
  <c r="F38" i="47"/>
  <c r="D39" i="47"/>
  <c r="B40" i="47"/>
  <c r="F40" i="47"/>
  <c r="D41" i="47"/>
  <c r="B42" i="47"/>
  <c r="F42" i="47"/>
  <c r="D43" i="47"/>
  <c r="B44" i="47"/>
  <c r="F44" i="47"/>
  <c r="D45" i="47"/>
  <c r="B46" i="47"/>
  <c r="F46" i="47"/>
  <c r="D47" i="47"/>
  <c r="B48" i="47"/>
  <c r="F48" i="47"/>
  <c r="D49" i="47"/>
  <c r="B50" i="47"/>
  <c r="F50" i="47"/>
  <c r="D51" i="47"/>
  <c r="B52" i="47"/>
  <c r="F52" i="47"/>
  <c r="C6" i="47"/>
  <c r="G6" i="47"/>
  <c r="H6" i="47" s="1"/>
  <c r="I6" i="47" s="1"/>
  <c r="E7" i="47"/>
  <c r="C8" i="47"/>
  <c r="G8" i="47"/>
  <c r="H8" i="47" s="1"/>
  <c r="I8" i="47" s="1"/>
  <c r="E9" i="47"/>
  <c r="C10" i="47"/>
  <c r="G10" i="47"/>
  <c r="H10" i="47" s="1"/>
  <c r="I10" i="47" s="1"/>
  <c r="E11" i="47"/>
  <c r="C12" i="47"/>
  <c r="G12" i="47"/>
  <c r="H12" i="47" s="1"/>
  <c r="I12" i="47" s="1"/>
  <c r="E13" i="47"/>
  <c r="C14" i="47"/>
  <c r="G14" i="47"/>
  <c r="H14" i="47" s="1"/>
  <c r="I14" i="47" s="1"/>
  <c r="E15" i="47"/>
  <c r="C16" i="47"/>
  <c r="G16" i="47"/>
  <c r="H16" i="47" s="1"/>
  <c r="I16" i="47" s="1"/>
  <c r="E17" i="47"/>
  <c r="C18" i="47"/>
  <c r="G18" i="47"/>
  <c r="H18" i="47" s="1"/>
  <c r="I18" i="47" s="1"/>
  <c r="E19" i="47"/>
  <c r="C20" i="47"/>
  <c r="G20" i="47"/>
  <c r="H20" i="47" s="1"/>
  <c r="I20" i="47" s="1"/>
  <c r="E21" i="47"/>
  <c r="C22" i="47"/>
  <c r="G22" i="47"/>
  <c r="H22" i="47" s="1"/>
  <c r="I22" i="47" s="1"/>
  <c r="E23" i="47"/>
  <c r="C24" i="47"/>
  <c r="G24" i="47"/>
  <c r="H24" i="47" s="1"/>
  <c r="I24" i="47" s="1"/>
  <c r="E25" i="47"/>
  <c r="C26" i="47"/>
  <c r="G26" i="47"/>
  <c r="H26" i="47" s="1"/>
  <c r="I26" i="47" s="1"/>
  <c r="E27" i="47"/>
  <c r="C28" i="47"/>
  <c r="G28" i="47"/>
  <c r="H28" i="47" s="1"/>
  <c r="I28" i="47" s="1"/>
  <c r="E29" i="47"/>
  <c r="C30" i="47"/>
  <c r="G30" i="47"/>
  <c r="H30" i="47" s="1"/>
  <c r="I30" i="47" s="1"/>
  <c r="E31" i="47"/>
  <c r="C32" i="47"/>
  <c r="G32" i="47"/>
  <c r="H32" i="47" s="1"/>
  <c r="I32" i="47" s="1"/>
  <c r="E33" i="47"/>
  <c r="C34" i="47"/>
  <c r="G34" i="47"/>
  <c r="H34" i="47" s="1"/>
  <c r="I34" i="47" s="1"/>
  <c r="E35" i="47"/>
  <c r="C36" i="47"/>
  <c r="G36" i="47"/>
  <c r="H36" i="47" s="1"/>
  <c r="I36" i="47" s="1"/>
  <c r="E37" i="47"/>
  <c r="C38" i="47"/>
  <c r="G38" i="47"/>
  <c r="H38" i="47" s="1"/>
  <c r="I38" i="47" s="1"/>
  <c r="E39" i="47"/>
  <c r="C40" i="47"/>
  <c r="G40" i="47"/>
  <c r="H40" i="47" s="1"/>
  <c r="I40" i="47" s="1"/>
  <c r="E41" i="47"/>
  <c r="C42" i="47"/>
  <c r="G42" i="47"/>
  <c r="H42" i="47" s="1"/>
  <c r="I42" i="47" s="1"/>
  <c r="E43" i="47"/>
  <c r="C44" i="47"/>
  <c r="G44" i="47"/>
  <c r="H44" i="47" s="1"/>
  <c r="I44" i="47" s="1"/>
  <c r="E45" i="47"/>
  <c r="C46" i="47"/>
  <c r="G46" i="47"/>
  <c r="H46" i="47" s="1"/>
  <c r="I46" i="47" s="1"/>
  <c r="E47" i="47"/>
  <c r="C48" i="47"/>
  <c r="G48" i="47"/>
  <c r="H48" i="47" s="1"/>
  <c r="I48" i="47" s="1"/>
  <c r="E49" i="47"/>
  <c r="C50" i="47"/>
  <c r="G80" i="12"/>
  <c r="CU88" i="52"/>
  <c r="CU87" i="52"/>
  <c r="U87" i="52"/>
  <c r="U88" i="52"/>
  <c r="I97" i="24"/>
  <c r="E190" i="36" s="1"/>
  <c r="I9" i="24"/>
  <c r="E189" i="36" s="1"/>
  <c r="J61" i="8"/>
  <c r="F23" i="51"/>
  <c r="F121" i="51" s="1"/>
  <c r="AB23" i="52"/>
  <c r="G23" i="52"/>
  <c r="BK23" i="52"/>
  <c r="BH23" i="52"/>
  <c r="BD23" i="52"/>
  <c r="AI23" i="52"/>
  <c r="AD23" i="52"/>
  <c r="S23" i="52"/>
  <c r="H17" i="51"/>
  <c r="H23" i="51" s="1"/>
  <c r="H121" i="51" s="1"/>
  <c r="CA23" i="52"/>
  <c r="K23" i="52"/>
  <c r="C23" i="52"/>
  <c r="D23" i="52"/>
  <c r="E23" i="52"/>
  <c r="J23" i="52"/>
  <c r="BJ23" i="52"/>
  <c r="Q23" i="52"/>
  <c r="I17" i="51"/>
  <c r="I23" i="51" s="1"/>
  <c r="I121" i="51" s="1"/>
  <c r="AA23" i="52"/>
  <c r="AG23" i="52"/>
  <c r="M23" i="52"/>
  <c r="BF23" i="52"/>
  <c r="T23" i="52"/>
  <c r="O23" i="52"/>
  <c r="Z23" i="52"/>
  <c r="AH23" i="52"/>
  <c r="BE23" i="52"/>
  <c r="G17" i="51"/>
  <c r="G23" i="51" s="1"/>
  <c r="G121" i="51" s="1"/>
  <c r="AJ23" i="52"/>
  <c r="AC23" i="52"/>
  <c r="BB23" i="52"/>
  <c r="AF23" i="52"/>
  <c r="CT87" i="52"/>
  <c r="CT88" i="52"/>
  <c r="DB87" i="52"/>
  <c r="DB88" i="52"/>
  <c r="R88" i="52"/>
  <c r="R87" i="52"/>
  <c r="J126" i="8"/>
  <c r="AC88" i="52"/>
  <c r="BN70" i="52"/>
  <c r="J33" i="63" s="1"/>
  <c r="CC87" i="52"/>
  <c r="CC88" i="52"/>
  <c r="BI88" i="52"/>
  <c r="P87" i="52"/>
  <c r="P88" i="52"/>
  <c r="H31" i="1"/>
  <c r="I20" i="8"/>
  <c r="CJ70" i="52"/>
  <c r="F62" i="5" s="1"/>
  <c r="G50" i="12"/>
  <c r="F41" i="5"/>
  <c r="AH88" i="52"/>
  <c r="CY88" i="52"/>
  <c r="CY87" i="52"/>
  <c r="C88" i="52"/>
  <c r="C87" i="52"/>
  <c r="CZ87" i="52"/>
  <c r="CZ88" i="52"/>
  <c r="AF88" i="52"/>
  <c r="BB88" i="52"/>
  <c r="BE88" i="52"/>
  <c r="CX87" i="52"/>
  <c r="CX88" i="52"/>
  <c r="S88" i="52"/>
  <c r="S87" i="52"/>
  <c r="AB88" i="52"/>
  <c r="CS87" i="52"/>
  <c r="CS88" i="52"/>
  <c r="CA88" i="52"/>
  <c r="CA87" i="52"/>
  <c r="CB87" i="52"/>
  <c r="CB88" i="52"/>
  <c r="CK88" i="52"/>
  <c r="CK87" i="52"/>
  <c r="CM88" i="52"/>
  <c r="CM87" i="52"/>
  <c r="BK88" i="52"/>
  <c r="E87" i="52"/>
  <c r="E88" i="52"/>
  <c r="K87" i="52"/>
  <c r="K88" i="52"/>
  <c r="O87" i="52"/>
  <c r="O88" i="52"/>
  <c r="D88" i="52"/>
  <c r="D87" i="52"/>
  <c r="G51" i="5"/>
  <c r="T87" i="52"/>
  <c r="T88" i="52"/>
  <c r="AG88" i="52"/>
  <c r="AJ88" i="52"/>
  <c r="N88" i="52"/>
  <c r="J88" i="52"/>
  <c r="J87" i="52"/>
  <c r="N87" i="52"/>
  <c r="G88" i="52"/>
  <c r="M87" i="52"/>
  <c r="AA88" i="52"/>
  <c r="X88" i="52"/>
  <c r="AD88" i="52"/>
  <c r="AI88" i="52"/>
  <c r="BD88" i="52"/>
  <c r="BH88" i="52"/>
  <c r="BL88" i="52"/>
  <c r="AE27" i="52" l="1"/>
  <c r="AE44" i="52"/>
  <c r="AE46" i="52"/>
  <c r="M121" i="51"/>
  <c r="I27" i="52"/>
  <c r="I44" i="52"/>
  <c r="F27" i="52"/>
  <c r="F96" i="52" s="1"/>
  <c r="Y27" i="52"/>
  <c r="Y44" i="52"/>
  <c r="BC27" i="52"/>
  <c r="BC44" i="52"/>
  <c r="F26" i="24"/>
  <c r="F35" i="24" s="1"/>
  <c r="F39" i="24" s="1"/>
  <c r="F43" i="24" s="1"/>
  <c r="F48" i="24" s="1"/>
  <c r="F58" i="24" s="1"/>
  <c r="F67" i="24" s="1"/>
  <c r="F73" i="24" s="1"/>
  <c r="F78" i="24" s="1"/>
  <c r="F83" i="24" s="1"/>
  <c r="F91" i="24" s="1"/>
  <c r="F19" i="24"/>
  <c r="I15" i="8"/>
  <c r="F83" i="32"/>
  <c r="F89" i="32"/>
  <c r="F91" i="32" s="1"/>
  <c r="F84" i="32"/>
  <c r="I83" i="32"/>
  <c r="E87" i="32"/>
  <c r="H41" i="5"/>
  <c r="G41" i="5"/>
  <c r="H40" i="5"/>
  <c r="D131" i="5"/>
  <c r="E131" i="5"/>
  <c r="D132" i="5"/>
  <c r="K30" i="12"/>
  <c r="DD89" i="52"/>
  <c r="F70" i="32" s="1"/>
  <c r="G82" i="5"/>
  <c r="F33" i="2" s="1"/>
  <c r="F31" i="2"/>
  <c r="E5" i="5"/>
  <c r="D5" i="2" s="1"/>
  <c r="C9" i="3"/>
  <c r="G91" i="12"/>
  <c r="K23" i="51"/>
  <c r="K121" i="51" s="1"/>
  <c r="G19" i="8"/>
  <c r="H100" i="51"/>
  <c r="H102" i="51" s="1"/>
  <c r="U100" i="51"/>
  <c r="U102" i="51" s="1"/>
  <c r="DL14" i="52"/>
  <c r="BN89" i="52"/>
  <c r="F67" i="32" s="1"/>
  <c r="L100" i="51"/>
  <c r="L102" i="51" s="1"/>
  <c r="P101" i="51"/>
  <c r="P102" i="51" s="1"/>
  <c r="F100" i="51"/>
  <c r="F102" i="51" s="1"/>
  <c r="I16" i="8"/>
  <c r="C100" i="51"/>
  <c r="C102" i="51" s="1"/>
  <c r="T100" i="51"/>
  <c r="T102" i="51" s="1"/>
  <c r="AC100" i="51"/>
  <c r="AC102" i="51" s="1"/>
  <c r="E100" i="51"/>
  <c r="E102" i="51" s="1"/>
  <c r="DU18" i="52"/>
  <c r="DO14" i="52"/>
  <c r="DX18" i="52"/>
  <c r="DU15" i="52"/>
  <c r="DU13" i="52"/>
  <c r="EA18" i="52"/>
  <c r="DR19" i="52"/>
  <c r="EA13" i="52"/>
  <c r="EA15" i="52"/>
  <c r="DX13" i="52"/>
  <c r="DX15" i="52"/>
  <c r="DR14" i="52"/>
  <c r="DR16" i="52"/>
  <c r="DO25" i="52"/>
  <c r="DL25" i="52"/>
  <c r="DO20" i="52"/>
  <c r="DO22" i="52"/>
  <c r="DL20" i="52"/>
  <c r="DL22" i="52"/>
  <c r="AI35" i="51"/>
  <c r="AI33" i="51"/>
  <c r="AI31" i="51"/>
  <c r="F122" i="51"/>
  <c r="H68" i="12"/>
  <c r="R100" i="51"/>
  <c r="R102" i="51" s="1"/>
  <c r="AD100" i="51"/>
  <c r="AD102" i="51" s="1"/>
  <c r="F198" i="36"/>
  <c r="D89" i="2" s="1"/>
  <c r="D99" i="5"/>
  <c r="C49" i="2"/>
  <c r="J49" i="8"/>
  <c r="K64" i="8" s="1"/>
  <c r="F13" i="5" s="1"/>
  <c r="F98" i="5"/>
  <c r="E49" i="2" s="1"/>
  <c r="J101" i="51"/>
  <c r="J102" i="51" s="1"/>
  <c r="H34" i="12"/>
  <c r="G36" i="8"/>
  <c r="I36" i="8" s="1"/>
  <c r="F4" i="5"/>
  <c r="E114" i="8"/>
  <c r="J114" i="8" s="1"/>
  <c r="G78" i="8"/>
  <c r="I78" i="8" s="1"/>
  <c r="G32" i="1"/>
  <c r="G35" i="8"/>
  <c r="I35" i="8" s="1"/>
  <c r="J28" i="8"/>
  <c r="C45" i="8" s="1"/>
  <c r="J71" i="8"/>
  <c r="H112" i="8" s="1"/>
  <c r="N100" i="51"/>
  <c r="N102" i="51" s="1"/>
  <c r="G100" i="51"/>
  <c r="G102" i="51" s="1"/>
  <c r="F10" i="5"/>
  <c r="G19" i="5"/>
  <c r="J21" i="8"/>
  <c r="F18" i="5"/>
  <c r="H18" i="5" s="1"/>
  <c r="S100" i="51"/>
  <c r="S102" i="51" s="1"/>
  <c r="M100" i="51"/>
  <c r="M102" i="51" s="1"/>
  <c r="O100" i="51"/>
  <c r="O102" i="51" s="1"/>
  <c r="K100" i="51"/>
  <c r="K102" i="51" s="1"/>
  <c r="AB101" i="51"/>
  <c r="I100" i="51"/>
  <c r="I102" i="51" s="1"/>
  <c r="Q100" i="51"/>
  <c r="Q102" i="51" s="1"/>
  <c r="D67" i="5"/>
  <c r="C25" i="2"/>
  <c r="B6" i="3"/>
  <c r="E99" i="5"/>
  <c r="D49" i="2"/>
  <c r="F152" i="32"/>
  <c r="I98" i="12"/>
  <c r="H91" i="12"/>
  <c r="G68" i="12"/>
  <c r="D113" i="20"/>
  <c r="G79" i="8"/>
  <c r="G69" i="8"/>
  <c r="G98" i="5"/>
  <c r="F49" i="2" s="1"/>
  <c r="F43" i="2"/>
  <c r="G34" i="12"/>
  <c r="I30" i="12"/>
  <c r="I34" i="12" s="1"/>
  <c r="F15" i="5" s="1"/>
  <c r="G4" i="5"/>
  <c r="H32" i="1"/>
  <c r="J90" i="8"/>
  <c r="G96" i="8"/>
  <c r="I96" i="8" s="1"/>
  <c r="I64" i="12"/>
  <c r="I68" i="12" s="1"/>
  <c r="F16" i="5" s="1"/>
  <c r="H16" i="5" s="1"/>
  <c r="BA89" i="52"/>
  <c r="F66" i="32" s="1"/>
  <c r="CJ89" i="52"/>
  <c r="I90" i="12"/>
  <c r="I91" i="12" s="1"/>
  <c r="F17" i="5" s="1"/>
  <c r="W89" i="52"/>
  <c r="E59" i="5"/>
  <c r="D20" i="2" s="1"/>
  <c r="F36" i="5"/>
  <c r="H36" i="5" s="1"/>
  <c r="CW89" i="52"/>
  <c r="E113" i="36"/>
  <c r="F38" i="5"/>
  <c r="H38" i="5" s="1"/>
  <c r="D74" i="2"/>
  <c r="I46" i="52" l="1"/>
  <c r="AI18" i="51"/>
  <c r="BC46" i="52"/>
  <c r="BC107" i="52" s="1"/>
  <c r="I75" i="52"/>
  <c r="I107" i="52"/>
  <c r="BC96" i="52"/>
  <c r="BC42" i="52"/>
  <c r="I42" i="52"/>
  <c r="I96" i="52"/>
  <c r="Y46" i="52"/>
  <c r="Y97" i="52"/>
  <c r="Y42" i="52"/>
  <c r="AE75" i="52"/>
  <c r="AE107" i="52"/>
  <c r="AE96" i="52"/>
  <c r="AE42" i="52"/>
  <c r="H101" i="5"/>
  <c r="G15" i="5"/>
  <c r="E70" i="32"/>
  <c r="I70" i="32" s="1"/>
  <c r="F87" i="32"/>
  <c r="J16" i="8"/>
  <c r="K24" i="8" s="1"/>
  <c r="G82" i="8"/>
  <c r="G97" i="8" s="1"/>
  <c r="I97" i="8" s="1"/>
  <c r="J97" i="8" s="1"/>
  <c r="E69" i="32"/>
  <c r="I69" i="32" s="1"/>
  <c r="F69" i="32"/>
  <c r="E65" i="32"/>
  <c r="I65" i="32" s="1"/>
  <c r="F65" i="32"/>
  <c r="E68" i="32"/>
  <c r="I68" i="32" s="1"/>
  <c r="F68" i="32"/>
  <c r="E9" i="3"/>
  <c r="G18" i="5"/>
  <c r="I97" i="12"/>
  <c r="I108" i="12" s="1"/>
  <c r="G21" i="5" s="1"/>
  <c r="H108" i="12"/>
  <c r="F21" i="5" s="1"/>
  <c r="J34" i="63"/>
  <c r="K69" i="8"/>
  <c r="G112" i="8"/>
  <c r="F112" i="8"/>
  <c r="E112" i="8"/>
  <c r="J36" i="8"/>
  <c r="AE101" i="51"/>
  <c r="D106" i="5"/>
  <c r="C56" i="2" s="1"/>
  <c r="C50" i="2"/>
  <c r="H76" i="5"/>
  <c r="H80" i="5"/>
  <c r="H100" i="5"/>
  <c r="H71" i="5"/>
  <c r="F5" i="5"/>
  <c r="E5" i="2" s="1"/>
  <c r="H47" i="5"/>
  <c r="H57" i="5"/>
  <c r="H95" i="5"/>
  <c r="H52" i="5"/>
  <c r="H90" i="5"/>
  <c r="H98" i="5"/>
  <c r="H97" i="5"/>
  <c r="H104" i="5"/>
  <c r="H89" i="5"/>
  <c r="H5" i="5"/>
  <c r="I79" i="8"/>
  <c r="J79" i="8" s="1"/>
  <c r="H88" i="5"/>
  <c r="H50" i="5"/>
  <c r="H96" i="5"/>
  <c r="H62" i="5"/>
  <c r="H51" i="5"/>
  <c r="H58" i="5"/>
  <c r="H94" i="5"/>
  <c r="H81" i="5"/>
  <c r="H93" i="5"/>
  <c r="H56" i="5"/>
  <c r="D75" i="8"/>
  <c r="I82" i="8" s="1"/>
  <c r="J84" i="8" s="1"/>
  <c r="C107" i="8"/>
  <c r="H13" i="5"/>
  <c r="H49" i="5"/>
  <c r="H72" i="5"/>
  <c r="H91" i="5"/>
  <c r="H75" i="5"/>
  <c r="H87" i="5"/>
  <c r="H92" i="5"/>
  <c r="H86" i="5"/>
  <c r="H82" i="5"/>
  <c r="H48" i="5"/>
  <c r="D9" i="3"/>
  <c r="H64" i="5"/>
  <c r="H15" i="5"/>
  <c r="H73" i="5"/>
  <c r="H70" i="5"/>
  <c r="I89" i="32"/>
  <c r="G39" i="8"/>
  <c r="I39" i="8" s="1"/>
  <c r="J41" i="8" s="1"/>
  <c r="D32" i="8"/>
  <c r="H112" i="12"/>
  <c r="I112" i="12"/>
  <c r="I148" i="12" s="1"/>
  <c r="F25" i="5"/>
  <c r="H25" i="5" s="1"/>
  <c r="AE100" i="51"/>
  <c r="AB102" i="51"/>
  <c r="D79" i="5"/>
  <c r="D83" i="5" s="1"/>
  <c r="C26" i="2"/>
  <c r="C30" i="2" s="1"/>
  <c r="C34" i="2" s="1"/>
  <c r="B7" i="3"/>
  <c r="E106" i="5"/>
  <c r="D56" i="2" s="1"/>
  <c r="D50" i="2"/>
  <c r="E65" i="5"/>
  <c r="D22" i="2"/>
  <c r="D24" i="2" s="1"/>
  <c r="E53" i="5"/>
  <c r="D16" i="2"/>
  <c r="D18" i="2" s="1"/>
  <c r="E9" i="2"/>
  <c r="G100" i="8"/>
  <c r="I100" i="8" s="1"/>
  <c r="J102" i="8" s="1"/>
  <c r="D93" i="8"/>
  <c r="G5" i="5"/>
  <c r="F5" i="2" s="1"/>
  <c r="E66" i="32"/>
  <c r="D73" i="2"/>
  <c r="E67" i="32"/>
  <c r="I67" i="32" s="1"/>
  <c r="BC75" i="52" l="1"/>
  <c r="I45" i="52"/>
  <c r="I48" i="52" s="1"/>
  <c r="I74" i="52"/>
  <c r="I53" i="52"/>
  <c r="I111" i="52" s="1"/>
  <c r="I113" i="52" s="1"/>
  <c r="BC45" i="52"/>
  <c r="BC48" i="52" s="1"/>
  <c r="BC53" i="52"/>
  <c r="BC111" i="52" s="1"/>
  <c r="BC113" i="52" s="1"/>
  <c r="BC74" i="52"/>
  <c r="AE45" i="52"/>
  <c r="AE48" i="52" s="1"/>
  <c r="AE74" i="52"/>
  <c r="AE77" i="52" s="1"/>
  <c r="AE79" i="52" s="1" a="1"/>
  <c r="AE79" i="52" s="1"/>
  <c r="AE53" i="52"/>
  <c r="AE111" i="52" s="1"/>
  <c r="AE51" i="52"/>
  <c r="AE110" i="52" s="1"/>
  <c r="Y51" i="52"/>
  <c r="Y110" i="52" s="1"/>
  <c r="Y74" i="52"/>
  <c r="Y77" i="52" s="1"/>
  <c r="Y53" i="52"/>
  <c r="Y111" i="52" s="1"/>
  <c r="Y45" i="52"/>
  <c r="Y48" i="52" s="1"/>
  <c r="Y107" i="52"/>
  <c r="Y75" i="52"/>
  <c r="I66" i="32"/>
  <c r="E112" i="36"/>
  <c r="E13" i="2"/>
  <c r="G39" i="5"/>
  <c r="F13" i="2" s="1"/>
  <c r="H39" i="5"/>
  <c r="F77" i="5"/>
  <c r="H77" i="5" s="1"/>
  <c r="G74" i="5"/>
  <c r="H21" i="5"/>
  <c r="F9" i="2"/>
  <c r="G25" i="5"/>
  <c r="J111" i="8"/>
  <c r="K127" i="8" s="1"/>
  <c r="G13" i="5" s="1"/>
  <c r="K44" i="8"/>
  <c r="K45" i="8" s="1"/>
  <c r="F45" i="8" s="1"/>
  <c r="U113" i="51"/>
  <c r="AB21" i="51"/>
  <c r="Y112" i="51"/>
  <c r="Y113" i="51"/>
  <c r="H74" i="5"/>
  <c r="CC26" i="52"/>
  <c r="CH26" i="52"/>
  <c r="CS26" i="52"/>
  <c r="CU26" i="52"/>
  <c r="U26" i="52"/>
  <c r="Q26" i="52"/>
  <c r="BL26" i="52"/>
  <c r="CT26" i="52"/>
  <c r="R26" i="52"/>
  <c r="P26" i="52"/>
  <c r="DB26" i="52"/>
  <c r="DA26" i="52"/>
  <c r="U112" i="51"/>
  <c r="AE102" i="51"/>
  <c r="K86" i="8"/>
  <c r="X112" i="51"/>
  <c r="X113" i="51"/>
  <c r="H148" i="12"/>
  <c r="F28" i="5" s="1"/>
  <c r="G26" i="5"/>
  <c r="Q112" i="51"/>
  <c r="Q113" i="51"/>
  <c r="R113" i="51"/>
  <c r="R112" i="51"/>
  <c r="O113" i="51"/>
  <c r="O112" i="51"/>
  <c r="P112" i="51"/>
  <c r="P113" i="51"/>
  <c r="M113" i="51"/>
  <c r="K105" i="8"/>
  <c r="D17" i="2"/>
  <c r="D23" i="2"/>
  <c r="Y113" i="52" l="1"/>
  <c r="AE113" i="52"/>
  <c r="AE55" i="52"/>
  <c r="AE83" i="52"/>
  <c r="AE81" i="52"/>
  <c r="AE54" i="52"/>
  <c r="Y54" i="52"/>
  <c r="Y55" i="52"/>
  <c r="Y81" i="52"/>
  <c r="BC55" i="52"/>
  <c r="BC54" i="52"/>
  <c r="BC114" i="52" s="1"/>
  <c r="I55" i="52"/>
  <c r="I83" i="52"/>
  <c r="I54" i="52"/>
  <c r="I114" i="52" s="1"/>
  <c r="AB124" i="51"/>
  <c r="AB24" i="51"/>
  <c r="BL44" i="52"/>
  <c r="Q44" i="52"/>
  <c r="P44" i="52"/>
  <c r="U44" i="52"/>
  <c r="R44" i="52"/>
  <c r="CS44" i="52"/>
  <c r="CH44" i="52"/>
  <c r="CC44" i="52"/>
  <c r="DA44" i="52"/>
  <c r="DB44" i="52"/>
  <c r="CT44" i="52"/>
  <c r="CU44" i="52"/>
  <c r="E64" i="32"/>
  <c r="E71" i="32" s="1"/>
  <c r="F123" i="32" s="1"/>
  <c r="F63" i="5" s="1"/>
  <c r="E28" i="2"/>
  <c r="E29" i="2" s="1"/>
  <c r="F78" i="5"/>
  <c r="H78" i="5" s="1"/>
  <c r="G28" i="5"/>
  <c r="F12" i="5"/>
  <c r="H12" i="5" s="1"/>
  <c r="K107" i="8"/>
  <c r="G12" i="5" s="1"/>
  <c r="U27" i="52"/>
  <c r="BL27" i="52"/>
  <c r="CT27" i="52"/>
  <c r="R27" i="52"/>
  <c r="CS27" i="52"/>
  <c r="P27" i="52"/>
  <c r="Q27" i="52"/>
  <c r="CU27" i="52"/>
  <c r="CH27" i="52"/>
  <c r="CC27" i="52"/>
  <c r="DA27" i="52"/>
  <c r="DB27" i="52"/>
  <c r="Y133" i="52" l="1"/>
  <c r="Y114" i="52"/>
  <c r="AE133" i="52"/>
  <c r="AE114" i="52"/>
  <c r="AB48" i="51"/>
  <c r="I64" i="32"/>
  <c r="I122" i="32" s="1"/>
  <c r="E191" i="36" s="1"/>
  <c r="F192" i="36" s="1"/>
  <c r="D85" i="2" s="1"/>
  <c r="E10" i="2"/>
  <c r="F10" i="2"/>
  <c r="H28" i="5"/>
  <c r="F107" i="8"/>
  <c r="E7" i="2"/>
  <c r="E11" i="2" s="1"/>
  <c r="F29" i="5"/>
  <c r="H29" i="5" s="1"/>
  <c r="CT96" i="52"/>
  <c r="DB96" i="52"/>
  <c r="P96" i="52"/>
  <c r="CH96" i="52"/>
  <c r="CC96" i="52"/>
  <c r="Q96" i="52"/>
  <c r="CS96" i="52"/>
  <c r="DA96" i="52"/>
  <c r="CU96" i="52"/>
  <c r="R96" i="52"/>
  <c r="BL96" i="52"/>
  <c r="U96" i="52"/>
  <c r="AH154" i="51"/>
  <c r="AG150" i="51"/>
  <c r="AG156" i="51"/>
  <c r="AH160" i="51"/>
  <c r="F7" i="2"/>
  <c r="F11" i="2" s="1"/>
  <c r="H63" i="5" l="1"/>
  <c r="G29" i="5"/>
  <c r="E5" i="3" s="1"/>
  <c r="D5" i="3"/>
  <c r="CS68" i="52"/>
  <c r="D72" i="2"/>
  <c r="E76" i="2" s="1"/>
  <c r="F91" i="2" s="1"/>
  <c r="F93" i="2" s="1"/>
  <c r="DD84" i="52" l="1"/>
  <c r="DD85" i="52"/>
  <c r="E118" i="5" s="1"/>
  <c r="E43" i="5" l="1"/>
  <c r="D12" i="2" l="1"/>
  <c r="D15" i="2" s="1"/>
  <c r="E66" i="5"/>
  <c r="E67" i="5" l="1"/>
  <c r="D25" i="2"/>
  <c r="C6" i="3"/>
  <c r="D26" i="2" l="1"/>
  <c r="D30" i="2" s="1"/>
  <c r="D34" i="2" s="1"/>
  <c r="C7" i="3"/>
  <c r="E79" i="5"/>
  <c r="E83" i="5" s="1"/>
  <c r="C22" i="52" l="1"/>
  <c r="C29" i="52" l="1"/>
  <c r="C30" i="52"/>
  <c r="C102" i="52"/>
  <c r="D22" i="52"/>
  <c r="C16" i="51"/>
  <c r="C103" i="52"/>
  <c r="C99" i="52"/>
  <c r="C101" i="52"/>
  <c r="C26" i="52"/>
  <c r="C38" i="52" l="1"/>
  <c r="C44" i="52"/>
  <c r="D29" i="52"/>
  <c r="C112" i="52"/>
  <c r="C100" i="52"/>
  <c r="D30" i="52"/>
  <c r="BW22" i="52"/>
  <c r="BO22" i="52"/>
  <c r="BV22" i="52"/>
  <c r="BU22" i="52"/>
  <c r="BT22" i="52"/>
  <c r="BS22" i="52"/>
  <c r="BZ22" i="52"/>
  <c r="BR22" i="52"/>
  <c r="BY22" i="52"/>
  <c r="BQ22" i="52"/>
  <c r="BX22" i="52"/>
  <c r="BP22" i="52"/>
  <c r="C51" i="51"/>
  <c r="AA16" i="51"/>
  <c r="CL22" i="52"/>
  <c r="CL118" i="52" s="1"/>
  <c r="CR22" i="52"/>
  <c r="CN22" i="52"/>
  <c r="CP22" i="52"/>
  <c r="H22" i="52"/>
  <c r="L22" i="52"/>
  <c r="C24" i="51"/>
  <c r="V16" i="51"/>
  <c r="C27" i="52"/>
  <c r="C135" i="51"/>
  <c r="CW22" i="52"/>
  <c r="CW102" i="52" s="1"/>
  <c r="CJ22" i="52"/>
  <c r="CJ102" i="52" s="1"/>
  <c r="BN22" i="52"/>
  <c r="BN102" i="52" s="1"/>
  <c r="K22" i="52"/>
  <c r="AJ22" i="52"/>
  <c r="M16" i="51"/>
  <c r="M112" i="51" s="1"/>
  <c r="AZ22" i="52"/>
  <c r="AZ102" i="52" s="1"/>
  <c r="N22" i="52"/>
  <c r="E22" i="52"/>
  <c r="CU22" i="52"/>
  <c r="CU43" i="52" s="1"/>
  <c r="CX22" i="52"/>
  <c r="BM22" i="52"/>
  <c r="BM102" i="52" s="1"/>
  <c r="DD22" i="52"/>
  <c r="DD102" i="52" s="1"/>
  <c r="BE22" i="52"/>
  <c r="U22" i="52"/>
  <c r="CH22" i="52"/>
  <c r="CH43" i="52" s="1"/>
  <c r="AI22" i="52"/>
  <c r="O22" i="52"/>
  <c r="DC22" i="52"/>
  <c r="DC102" i="52" s="1"/>
  <c r="V22" i="52"/>
  <c r="V102" i="52" s="1"/>
  <c r="AH22" i="52"/>
  <c r="DB22" i="52"/>
  <c r="DB43" i="52" s="1"/>
  <c r="AG22" i="52"/>
  <c r="X22" i="52"/>
  <c r="BL22" i="52"/>
  <c r="AC16" i="51"/>
  <c r="M22" i="52"/>
  <c r="CM22" i="52"/>
  <c r="BK22" i="52"/>
  <c r="AC22" i="52"/>
  <c r="BI22" i="52"/>
  <c r="CI22" i="52"/>
  <c r="CI102" i="52" s="1"/>
  <c r="BB22" i="52"/>
  <c r="C146" i="51"/>
  <c r="BF22" i="52"/>
  <c r="CB22" i="52"/>
  <c r="CB102" i="52" s="1"/>
  <c r="BH22" i="52"/>
  <c r="F16" i="51"/>
  <c r="BD22" i="52"/>
  <c r="BJ22" i="52"/>
  <c r="I16" i="51"/>
  <c r="E16" i="51"/>
  <c r="N16" i="51"/>
  <c r="N179" i="51" s="1"/>
  <c r="AD16" i="51"/>
  <c r="R22" i="52"/>
  <c r="H16" i="51"/>
  <c r="AD22" i="52"/>
  <c r="CO22" i="52"/>
  <c r="CS22" i="52"/>
  <c r="CS43" i="52" s="1"/>
  <c r="CT22" i="52"/>
  <c r="CT43" i="52" s="1"/>
  <c r="P16" i="51"/>
  <c r="J16" i="51"/>
  <c r="BG22" i="52"/>
  <c r="CY22" i="52"/>
  <c r="S22" i="52"/>
  <c r="L16" i="51"/>
  <c r="P22" i="52"/>
  <c r="CC22" i="52"/>
  <c r="CC43" i="52" s="1"/>
  <c r="AA22" i="52"/>
  <c r="AF22" i="52"/>
  <c r="Z22" i="52"/>
  <c r="Z29" i="52" s="1"/>
  <c r="Z112" i="52" s="1"/>
  <c r="DA22" i="52"/>
  <c r="DA43" i="52" s="1"/>
  <c r="Q22" i="52"/>
  <c r="AB16" i="51"/>
  <c r="Z16" i="51"/>
  <c r="W16" i="51"/>
  <c r="T16" i="51"/>
  <c r="U16" i="51"/>
  <c r="J22" i="52"/>
  <c r="CZ22" i="52"/>
  <c r="AB22" i="52"/>
  <c r="BA22" i="52"/>
  <c r="BA102" i="52" s="1"/>
  <c r="CV22" i="52"/>
  <c r="CV102" i="52" s="1"/>
  <c r="Q16" i="51"/>
  <c r="K16" i="51"/>
  <c r="CA22" i="52"/>
  <c r="CA102" i="52" s="1"/>
  <c r="Y16" i="51"/>
  <c r="CK22" i="52"/>
  <c r="CK118" i="52" s="1"/>
  <c r="O16" i="51"/>
  <c r="S16" i="51"/>
  <c r="R16" i="51"/>
  <c r="G16" i="51"/>
  <c r="G185" i="51" s="1"/>
  <c r="G190" i="51" s="1"/>
  <c r="G191" i="51" s="1"/>
  <c r="CQ22" i="52"/>
  <c r="CQ102" i="52" s="1"/>
  <c r="X16" i="51"/>
  <c r="W22" i="52"/>
  <c r="W102" i="52" s="1"/>
  <c r="T22" i="52"/>
  <c r="G22" i="52"/>
  <c r="G127" i="52" s="1"/>
  <c r="G129" i="52" s="1"/>
  <c r="G130" i="52" s="1"/>
  <c r="D26" i="52"/>
  <c r="D99" i="52"/>
  <c r="D102" i="52"/>
  <c r="DL11" i="52" s="1"/>
  <c r="D103" i="52"/>
  <c r="DL13" i="52" s="1"/>
  <c r="D101" i="52"/>
  <c r="DL10" i="52" s="1"/>
  <c r="E127" i="52" l="1"/>
  <c r="E129" i="52" s="1"/>
  <c r="E130" i="52" s="1"/>
  <c r="F29" i="52"/>
  <c r="BW121" i="52"/>
  <c r="BW118" i="52"/>
  <c r="BW124" i="52" s="1"/>
  <c r="BW125" i="52" s="1"/>
  <c r="BW119" i="52"/>
  <c r="BR38" i="52"/>
  <c r="BR121" i="52"/>
  <c r="BR119" i="52"/>
  <c r="BR118" i="52"/>
  <c r="BR124" i="52" s="1"/>
  <c r="BR125" i="52" s="1"/>
  <c r="BS119" i="52"/>
  <c r="BS121" i="52"/>
  <c r="BS118" i="52"/>
  <c r="BS124" i="52" s="1"/>
  <c r="BS125" i="52" s="1"/>
  <c r="BT118" i="52"/>
  <c r="BT124" i="52" s="1"/>
  <c r="BT125" i="52" s="1"/>
  <c r="BT119" i="52"/>
  <c r="BT121" i="52"/>
  <c r="BP38" i="52"/>
  <c r="BP118" i="52"/>
  <c r="BP124" i="52" s="1"/>
  <c r="BP125" i="52" s="1"/>
  <c r="BP119" i="52"/>
  <c r="BP121" i="52"/>
  <c r="BU119" i="52"/>
  <c r="BU118" i="52"/>
  <c r="BU124" i="52" s="1"/>
  <c r="BU125" i="52" s="1"/>
  <c r="BU121" i="52"/>
  <c r="BX38" i="52"/>
  <c r="BX118" i="52"/>
  <c r="BX124" i="52" s="1"/>
  <c r="BX125" i="52" s="1"/>
  <c r="BX119" i="52"/>
  <c r="BX121" i="52"/>
  <c r="BV118" i="52"/>
  <c r="BV124" i="52" s="1"/>
  <c r="BV125" i="52" s="1"/>
  <c r="BV121" i="52"/>
  <c r="BV119" i="52"/>
  <c r="BQ38" i="52"/>
  <c r="BQ119" i="52"/>
  <c r="BQ118" i="52"/>
  <c r="BQ124" i="52" s="1"/>
  <c r="BQ125" i="52" s="1"/>
  <c r="BQ121" i="52"/>
  <c r="BO127" i="52"/>
  <c r="BO129" i="52" s="1"/>
  <c r="BO130" i="52" s="1"/>
  <c r="BO119" i="52"/>
  <c r="BO118" i="52"/>
  <c r="BO123" i="52"/>
  <c r="BO121" i="52"/>
  <c r="Q121" i="52"/>
  <c r="Q119" i="52"/>
  <c r="Q118" i="52"/>
  <c r="Q124" i="52" s="1"/>
  <c r="Q125" i="52" s="1"/>
  <c r="S38" i="52"/>
  <c r="S121" i="52"/>
  <c r="S118" i="52"/>
  <c r="S124" i="52" s="1"/>
  <c r="S125" i="52" s="1"/>
  <c r="S119" i="52"/>
  <c r="CO118" i="52"/>
  <c r="CO119" i="52"/>
  <c r="CO123" i="52"/>
  <c r="N29" i="52"/>
  <c r="N112" i="52" s="1"/>
  <c r="N127" i="52"/>
  <c r="CN123" i="52"/>
  <c r="CN118" i="52"/>
  <c r="CN119" i="52"/>
  <c r="P119" i="52"/>
  <c r="P118" i="52"/>
  <c r="P124" i="52" s="1"/>
  <c r="P125" i="52" s="1"/>
  <c r="P121" i="52"/>
  <c r="AD127" i="52"/>
  <c r="AD129" i="52" s="1"/>
  <c r="AD130" i="52" s="1"/>
  <c r="AD29" i="52"/>
  <c r="AD112" i="52" s="1"/>
  <c r="U119" i="52"/>
  <c r="U118" i="52"/>
  <c r="U124" i="52" s="1"/>
  <c r="U125" i="52" s="1"/>
  <c r="U121" i="52"/>
  <c r="O127" i="52"/>
  <c r="O29" i="52"/>
  <c r="O112" i="52" s="1"/>
  <c r="T38" i="52"/>
  <c r="T118" i="52"/>
  <c r="T124" i="52" s="1"/>
  <c r="T125" i="52" s="1"/>
  <c r="T121" i="52"/>
  <c r="T119" i="52"/>
  <c r="R118" i="52"/>
  <c r="R124" i="52" s="1"/>
  <c r="R125" i="52" s="1"/>
  <c r="R121" i="52"/>
  <c r="R119" i="52"/>
  <c r="K29" i="52"/>
  <c r="K112" i="52" s="1"/>
  <c r="K127" i="52"/>
  <c r="K129" i="52" s="1"/>
  <c r="K130" i="52" s="1"/>
  <c r="M29" i="52"/>
  <c r="M112" i="52" s="1"/>
  <c r="M127" i="52"/>
  <c r="M129" i="52" s="1"/>
  <c r="M130" i="52" s="1"/>
  <c r="L29" i="52"/>
  <c r="L112" i="52" s="1"/>
  <c r="L127" i="52"/>
  <c r="L129" i="52" s="1"/>
  <c r="L130" i="52" s="1"/>
  <c r="H127" i="52"/>
  <c r="H129" i="52" s="1"/>
  <c r="H130" i="52" s="1"/>
  <c r="H123" i="52"/>
  <c r="K22" i="51"/>
  <c r="K185" i="51"/>
  <c r="K190" i="51" s="1"/>
  <c r="K191" i="51" s="1"/>
  <c r="K186" i="51"/>
  <c r="K178" i="51"/>
  <c r="J22" i="51"/>
  <c r="J185" i="51"/>
  <c r="J190" i="51" s="1"/>
  <c r="J191" i="51" s="1"/>
  <c r="J186" i="51"/>
  <c r="J178" i="51"/>
  <c r="I22" i="51"/>
  <c r="I186" i="51"/>
  <c r="I187" i="51" s="1"/>
  <c r="I37" i="51" s="1"/>
  <c r="I131" i="51" s="1"/>
  <c r="I176" i="51"/>
  <c r="BO29" i="52"/>
  <c r="BO112" i="52" s="1"/>
  <c r="ED9" i="52" s="1"/>
  <c r="AB127" i="52"/>
  <c r="AB129" i="52" s="1"/>
  <c r="AB130" i="52" s="1"/>
  <c r="AB123" i="52"/>
  <c r="BJ121" i="52"/>
  <c r="BJ123" i="52"/>
  <c r="BJ118" i="52"/>
  <c r="BJ119" i="52"/>
  <c r="BJ26" i="52"/>
  <c r="AI119" i="52"/>
  <c r="AI123" i="52"/>
  <c r="AI118" i="52"/>
  <c r="AI121" i="52"/>
  <c r="AI26" i="52"/>
  <c r="CZ119" i="52"/>
  <c r="CZ118" i="52"/>
  <c r="CZ123" i="52"/>
  <c r="CZ26" i="52"/>
  <c r="AD118" i="52"/>
  <c r="AD123" i="52"/>
  <c r="AD119" i="52"/>
  <c r="AD121" i="52"/>
  <c r="BD29" i="52"/>
  <c r="BD112" i="52" s="1"/>
  <c r="BD119" i="52"/>
  <c r="BD123" i="52"/>
  <c r="BD118" i="52"/>
  <c r="BD127" i="52"/>
  <c r="BD129" i="52" s="1"/>
  <c r="BD130" i="52" s="1"/>
  <c r="BD121" i="52"/>
  <c r="BD26" i="52"/>
  <c r="BI121" i="52"/>
  <c r="BI123" i="52"/>
  <c r="BI118" i="52"/>
  <c r="BI119" i="52"/>
  <c r="BI26" i="52"/>
  <c r="AG119" i="52"/>
  <c r="AG118" i="52"/>
  <c r="AG121" i="52"/>
  <c r="CY102" i="52"/>
  <c r="CY119" i="52"/>
  <c r="CY120" i="52" s="1"/>
  <c r="CY28" i="52" s="1"/>
  <c r="CY99" i="52" s="1"/>
  <c r="AC127" i="52"/>
  <c r="AC129" i="52" s="1"/>
  <c r="AC130" i="52" s="1"/>
  <c r="AC29" i="52"/>
  <c r="AC112" i="52" s="1"/>
  <c r="BE29" i="52"/>
  <c r="BE112" i="52" s="1"/>
  <c r="BE119" i="52"/>
  <c r="BE118" i="52"/>
  <c r="BE127" i="52"/>
  <c r="BE129" i="52" s="1"/>
  <c r="BE130" i="52" s="1"/>
  <c r="BE121" i="52"/>
  <c r="BE26" i="52"/>
  <c r="AF118" i="52"/>
  <c r="AF121" i="52"/>
  <c r="AF119" i="52"/>
  <c r="AF123" i="52"/>
  <c r="BG118" i="52"/>
  <c r="BG119" i="52"/>
  <c r="BG121" i="52"/>
  <c r="BG123" i="52"/>
  <c r="BG26" i="52"/>
  <c r="BH118" i="52"/>
  <c r="BH121" i="52"/>
  <c r="BH119" i="52"/>
  <c r="BH26" i="52"/>
  <c r="BK119" i="52"/>
  <c r="BK121" i="52"/>
  <c r="BK118" i="52"/>
  <c r="BK26" i="52"/>
  <c r="AH119" i="52"/>
  <c r="AH118" i="52"/>
  <c r="AH123" i="52"/>
  <c r="AH121" i="52"/>
  <c r="AH26" i="52"/>
  <c r="AJ121" i="52"/>
  <c r="AJ119" i="52"/>
  <c r="AJ118" i="52"/>
  <c r="AJ124" i="52" s="1"/>
  <c r="AJ125" i="52" s="1"/>
  <c r="AJ26" i="52"/>
  <c r="BB29" i="52"/>
  <c r="BB112" i="52" s="1"/>
  <c r="BB119" i="52"/>
  <c r="BB118" i="52"/>
  <c r="BB123" i="52"/>
  <c r="BB121" i="52"/>
  <c r="BB127" i="52"/>
  <c r="BB129" i="52" s="1"/>
  <c r="BB130" i="52" s="1"/>
  <c r="AA118" i="52"/>
  <c r="AA121" i="52"/>
  <c r="AA127" i="52"/>
  <c r="AA129" i="52" s="1"/>
  <c r="AA130" i="52" s="1"/>
  <c r="AA123" i="52"/>
  <c r="AA119" i="52"/>
  <c r="BF118" i="52"/>
  <c r="BF119" i="52"/>
  <c r="BF121" i="52"/>
  <c r="BF123" i="52"/>
  <c r="BF26" i="52"/>
  <c r="CX102" i="52"/>
  <c r="CX123" i="52"/>
  <c r="CX119" i="52"/>
  <c r="CX118" i="52"/>
  <c r="D38" i="52"/>
  <c r="AF102" i="52"/>
  <c r="R38" i="52"/>
  <c r="R42" i="52" s="1"/>
  <c r="R51" i="52" s="1"/>
  <c r="R110" i="52" s="1"/>
  <c r="BS38" i="52"/>
  <c r="BS42" i="52" s="1"/>
  <c r="AA102" i="52"/>
  <c r="AA29" i="52"/>
  <c r="CM118" i="52"/>
  <c r="CM119" i="52"/>
  <c r="CM123" i="52"/>
  <c r="K102" i="52"/>
  <c r="K123" i="52"/>
  <c r="K119" i="52"/>
  <c r="K121" i="52"/>
  <c r="K118" i="52"/>
  <c r="BT38" i="52"/>
  <c r="BT42" i="52" s="1"/>
  <c r="M102" i="52"/>
  <c r="M121" i="52"/>
  <c r="M123" i="52"/>
  <c r="M119" i="52"/>
  <c r="M118" i="52"/>
  <c r="L102" i="52"/>
  <c r="L121" i="52"/>
  <c r="L119" i="52"/>
  <c r="L118" i="52"/>
  <c r="BU38" i="52"/>
  <c r="BU42" i="52" s="1"/>
  <c r="P38" i="52"/>
  <c r="P42" i="52" s="1"/>
  <c r="P51" i="52" s="1"/>
  <c r="P110" i="52" s="1"/>
  <c r="O118" i="52"/>
  <c r="O121" i="52"/>
  <c r="O119" i="52"/>
  <c r="O26" i="52"/>
  <c r="H102" i="52"/>
  <c r="H119" i="52"/>
  <c r="H118" i="52"/>
  <c r="H121" i="52"/>
  <c r="H29" i="52"/>
  <c r="BV38" i="52"/>
  <c r="BV42" i="52" s="1"/>
  <c r="D112" i="52"/>
  <c r="BB102" i="52"/>
  <c r="BL38" i="52"/>
  <c r="BL42" i="52" s="1"/>
  <c r="BL46" i="52"/>
  <c r="BL107" i="52" s="1"/>
  <c r="E121" i="52"/>
  <c r="E123" i="52"/>
  <c r="E119" i="52"/>
  <c r="E29" i="52"/>
  <c r="E118" i="52"/>
  <c r="G119" i="52"/>
  <c r="G118" i="52"/>
  <c r="G123" i="52"/>
  <c r="G121" i="52"/>
  <c r="G29" i="52"/>
  <c r="AB102" i="52"/>
  <c r="AB29" i="52"/>
  <c r="AB118" i="52"/>
  <c r="AB119" i="52"/>
  <c r="AB121" i="52"/>
  <c r="Q38" i="52"/>
  <c r="Q42" i="52" s="1"/>
  <c r="Q51" i="52" s="1"/>
  <c r="Q110" i="52" s="1"/>
  <c r="X30" i="52"/>
  <c r="X29" i="52"/>
  <c r="N118" i="52"/>
  <c r="N123" i="52"/>
  <c r="N121" i="52"/>
  <c r="N119" i="52"/>
  <c r="N26" i="52"/>
  <c r="BW38" i="52"/>
  <c r="BW42" i="52" s="1"/>
  <c r="D44" i="52"/>
  <c r="AD102" i="52"/>
  <c r="AG102" i="52"/>
  <c r="U38" i="52"/>
  <c r="U42" i="52" s="1"/>
  <c r="U51" i="52" s="1"/>
  <c r="U110" i="52" s="1"/>
  <c r="CK102" i="52"/>
  <c r="CK123" i="52"/>
  <c r="CK124" i="52" s="1"/>
  <c r="CK125" i="52" s="1"/>
  <c r="CK119" i="52"/>
  <c r="CK120" i="52" s="1"/>
  <c r="CK28" i="52" s="1"/>
  <c r="J102" i="52"/>
  <c r="J119" i="52"/>
  <c r="J118" i="52"/>
  <c r="J123" i="52"/>
  <c r="Z102" i="52"/>
  <c r="AC102" i="52"/>
  <c r="AC121" i="52"/>
  <c r="AC123" i="52"/>
  <c r="AC118" i="52"/>
  <c r="AC119" i="52"/>
  <c r="CL102" i="52"/>
  <c r="CL119" i="52"/>
  <c r="CL120" i="52" s="1"/>
  <c r="CL28" i="52" s="1"/>
  <c r="CL99" i="52" s="1"/>
  <c r="CL123" i="52"/>
  <c r="CL124" i="52" s="1"/>
  <c r="CL125" i="52" s="1"/>
  <c r="G102" i="52"/>
  <c r="E102" i="52"/>
  <c r="H185" i="51"/>
  <c r="H190" i="51" s="1"/>
  <c r="H191" i="51" s="1"/>
  <c r="H186" i="51"/>
  <c r="H176" i="51"/>
  <c r="G51" i="51"/>
  <c r="G186" i="51"/>
  <c r="G187" i="51" s="1"/>
  <c r="G37" i="51" s="1"/>
  <c r="F186" i="51"/>
  <c r="F185" i="51"/>
  <c r="F190" i="51" s="1"/>
  <c r="F191" i="51" s="1"/>
  <c r="F51" i="51"/>
  <c r="D88" i="51"/>
  <c r="D87" i="51"/>
  <c r="D90" i="51" s="1"/>
  <c r="D58" i="52"/>
  <c r="C42" i="52"/>
  <c r="C106" i="52"/>
  <c r="C46" i="51"/>
  <c r="D100" i="52"/>
  <c r="DL9" i="52" s="1"/>
  <c r="AA131" i="51"/>
  <c r="C45" i="51"/>
  <c r="S99" i="52"/>
  <c r="S26" i="52"/>
  <c r="T99" i="52"/>
  <c r="T26" i="52"/>
  <c r="AA111" i="51"/>
  <c r="AA115" i="51" s="1"/>
  <c r="AA135" i="51"/>
  <c r="AA144" i="51"/>
  <c r="H179" i="51"/>
  <c r="AC164" i="51"/>
  <c r="AB107" i="51"/>
  <c r="I179" i="51"/>
  <c r="AA164" i="51"/>
  <c r="AA35" i="51"/>
  <c r="AA36" i="51"/>
  <c r="AA129" i="51" s="1"/>
  <c r="AA146" i="51"/>
  <c r="AA141" i="51"/>
  <c r="AA138" i="51"/>
  <c r="BL102" i="52"/>
  <c r="AI102" i="52"/>
  <c r="CP38" i="52"/>
  <c r="CP102" i="52"/>
  <c r="BZ102" i="52"/>
  <c r="BZ103" i="52"/>
  <c r="BZ26" i="52"/>
  <c r="BZ101" i="52"/>
  <c r="Q102" i="52"/>
  <c r="S102" i="52"/>
  <c r="CO102" i="52"/>
  <c r="BJ102" i="52"/>
  <c r="X102" i="52"/>
  <c r="CH102" i="52"/>
  <c r="N102" i="52"/>
  <c r="CN102" i="52"/>
  <c r="BS102" i="52"/>
  <c r="BS101" i="52"/>
  <c r="BS103" i="52"/>
  <c r="BT102" i="52"/>
  <c r="BT101" i="52"/>
  <c r="BT103" i="52"/>
  <c r="CS102" i="52"/>
  <c r="T102" i="52"/>
  <c r="CZ102" i="52"/>
  <c r="DA102" i="52"/>
  <c r="BD102" i="52"/>
  <c r="BI102" i="52"/>
  <c r="U102" i="52"/>
  <c r="CR38" i="52"/>
  <c r="CR102" i="52"/>
  <c r="BP102" i="52"/>
  <c r="BP99" i="52"/>
  <c r="BP101" i="52"/>
  <c r="BP103" i="52"/>
  <c r="BP26" i="52"/>
  <c r="BU102" i="52"/>
  <c r="BU101" i="52"/>
  <c r="BU103" i="52"/>
  <c r="P102" i="52"/>
  <c r="CT102" i="52"/>
  <c r="O102" i="52"/>
  <c r="BR102" i="52"/>
  <c r="BR101" i="52"/>
  <c r="BR103" i="52"/>
  <c r="BR99" i="52"/>
  <c r="BR26" i="52"/>
  <c r="C52" i="51"/>
  <c r="DB102" i="52"/>
  <c r="BE102" i="52"/>
  <c r="BG102" i="52"/>
  <c r="R102" i="52"/>
  <c r="BH102" i="52"/>
  <c r="BK102" i="52"/>
  <c r="AH102" i="52"/>
  <c r="AJ102" i="52"/>
  <c r="BX102" i="52"/>
  <c r="BX101" i="52"/>
  <c r="BX99" i="52"/>
  <c r="BX103" i="52"/>
  <c r="BX26" i="52"/>
  <c r="BV102" i="52"/>
  <c r="BV101" i="52"/>
  <c r="BV103" i="52"/>
  <c r="CU102" i="52"/>
  <c r="BQ99" i="52"/>
  <c r="BQ103" i="52"/>
  <c r="BQ102" i="52"/>
  <c r="BQ101" i="52"/>
  <c r="BQ26" i="52"/>
  <c r="BO101" i="52"/>
  <c r="BO102" i="52"/>
  <c r="BO103" i="52"/>
  <c r="BO26" i="52"/>
  <c r="CM102" i="52"/>
  <c r="CC102" i="52"/>
  <c r="BF102" i="52"/>
  <c r="BY101" i="52"/>
  <c r="BY26" i="52"/>
  <c r="BY103" i="52"/>
  <c r="BY102" i="52"/>
  <c r="BW102" i="52"/>
  <c r="BW101" i="52"/>
  <c r="BW103" i="52"/>
  <c r="C46" i="52"/>
  <c r="CS38" i="52"/>
  <c r="CS42" i="52" s="1"/>
  <c r="CH38" i="52"/>
  <c r="CH42" i="52" s="1"/>
  <c r="DB38" i="52"/>
  <c r="DB42" i="52" s="1"/>
  <c r="DA38" i="52"/>
  <c r="DA42" i="52" s="1"/>
  <c r="CA26" i="52"/>
  <c r="CA38" i="52"/>
  <c r="CB26" i="52"/>
  <c r="CB43" i="52" s="1"/>
  <c r="CB38" i="52"/>
  <c r="CQ26" i="52"/>
  <c r="CQ43" i="52" s="1"/>
  <c r="CQ38" i="52"/>
  <c r="CC38" i="52"/>
  <c r="CC42" i="52" s="1"/>
  <c r="M26" i="52"/>
  <c r="CT38" i="52"/>
  <c r="CT42" i="52" s="1"/>
  <c r="CU38" i="52"/>
  <c r="CU42" i="52" s="1"/>
  <c r="Z30" i="52"/>
  <c r="Z38" i="52" s="1"/>
  <c r="Z26" i="52"/>
  <c r="C118" i="51"/>
  <c r="AI5" i="51" s="1"/>
  <c r="G179" i="51"/>
  <c r="O164" i="51"/>
  <c r="M164" i="51"/>
  <c r="X164" i="51"/>
  <c r="U164" i="51"/>
  <c r="K164" i="51"/>
  <c r="J164" i="51"/>
  <c r="AD164" i="51"/>
  <c r="V164" i="51"/>
  <c r="G164" i="51"/>
  <c r="Q164" i="51"/>
  <c r="W164" i="51"/>
  <c r="P164" i="51"/>
  <c r="N164" i="51"/>
  <c r="Y164" i="51"/>
  <c r="T164" i="51"/>
  <c r="R164" i="51"/>
  <c r="Z164" i="51"/>
  <c r="S164" i="51"/>
  <c r="AB164" i="51"/>
  <c r="L164" i="51"/>
  <c r="I164" i="51"/>
  <c r="H114" i="51"/>
  <c r="H164" i="51"/>
  <c r="F179" i="51"/>
  <c r="F164" i="51"/>
  <c r="R21" i="51"/>
  <c r="Z21" i="51"/>
  <c r="P21" i="51"/>
  <c r="K179" i="51"/>
  <c r="CP103" i="52"/>
  <c r="CP101" i="52"/>
  <c r="CP26" i="52"/>
  <c r="CP43" i="52" s="1"/>
  <c r="CN101" i="52"/>
  <c r="CN103" i="52"/>
  <c r="CN26" i="52"/>
  <c r="Y21" i="51"/>
  <c r="CR101" i="52"/>
  <c r="CR103" i="52"/>
  <c r="CR26" i="52"/>
  <c r="CR43" i="52" s="1"/>
  <c r="X21" i="51"/>
  <c r="U21" i="51"/>
  <c r="CL101" i="52"/>
  <c r="CL103" i="52"/>
  <c r="CL26" i="52"/>
  <c r="AC26" i="52"/>
  <c r="J26" i="52"/>
  <c r="BB26" i="52"/>
  <c r="L101" i="52"/>
  <c r="L103" i="52"/>
  <c r="L26" i="52"/>
  <c r="CO26" i="52"/>
  <c r="H101" i="52"/>
  <c r="H103" i="52"/>
  <c r="H26" i="52"/>
  <c r="AF26" i="52"/>
  <c r="AD26" i="52"/>
  <c r="AG26" i="52"/>
  <c r="K26" i="52"/>
  <c r="E24" i="51"/>
  <c r="V144" i="51"/>
  <c r="V21" i="51"/>
  <c r="V146" i="51"/>
  <c r="V135" i="51"/>
  <c r="V111" i="51"/>
  <c r="V131" i="51"/>
  <c r="V36" i="51"/>
  <c r="V129" i="51" s="1"/>
  <c r="V141" i="51"/>
  <c r="V35" i="51"/>
  <c r="V127" i="51" s="1"/>
  <c r="S114" i="51"/>
  <c r="S113" i="51"/>
  <c r="S112" i="51"/>
  <c r="S21" i="51"/>
  <c r="G114" i="51"/>
  <c r="G113" i="51"/>
  <c r="G112" i="51"/>
  <c r="Q21" i="51"/>
  <c r="W114" i="51"/>
  <c r="W21" i="51"/>
  <c r="W113" i="51"/>
  <c r="W112" i="51"/>
  <c r="J21" i="51"/>
  <c r="J114" i="51"/>
  <c r="J113" i="51"/>
  <c r="J112" i="51"/>
  <c r="N21" i="51"/>
  <c r="N113" i="51"/>
  <c r="N112" i="51"/>
  <c r="O144" i="51"/>
  <c r="O146" i="51"/>
  <c r="O138" i="51"/>
  <c r="O135" i="51"/>
  <c r="O141" i="51"/>
  <c r="O21" i="51"/>
  <c r="K21" i="51"/>
  <c r="K114" i="51"/>
  <c r="K113" i="51"/>
  <c r="K112" i="51"/>
  <c r="T114" i="51"/>
  <c r="T21" i="51"/>
  <c r="T112" i="51"/>
  <c r="T113" i="51"/>
  <c r="L114" i="51"/>
  <c r="L21" i="51"/>
  <c r="L113" i="51"/>
  <c r="L112" i="51"/>
  <c r="M144" i="51"/>
  <c r="M135" i="51"/>
  <c r="M138" i="51"/>
  <c r="M146" i="51"/>
  <c r="M141" i="51"/>
  <c r="M21" i="51"/>
  <c r="M24" i="51" s="1"/>
  <c r="I114" i="51"/>
  <c r="I113" i="51"/>
  <c r="I21" i="51"/>
  <c r="I112" i="51"/>
  <c r="H178" i="51"/>
  <c r="F114" i="51"/>
  <c r="F113" i="51"/>
  <c r="F112" i="51"/>
  <c r="G26" i="52"/>
  <c r="X26" i="52"/>
  <c r="T101" i="52"/>
  <c r="T103" i="52"/>
  <c r="CK101" i="52"/>
  <c r="CK103" i="52"/>
  <c r="CK26" i="52"/>
  <c r="CZ101" i="52"/>
  <c r="CZ103" i="52"/>
  <c r="DA101" i="52"/>
  <c r="DA103" i="52"/>
  <c r="S101" i="52"/>
  <c r="S103" i="52"/>
  <c r="CO101" i="52"/>
  <c r="CO103" i="52"/>
  <c r="BJ101" i="52"/>
  <c r="BJ103" i="52"/>
  <c r="CI26" i="52"/>
  <c r="CI103" i="52"/>
  <c r="CI101" i="52"/>
  <c r="X103" i="52"/>
  <c r="X101" i="52"/>
  <c r="CH103" i="52"/>
  <c r="CH101" i="52"/>
  <c r="E103" i="52"/>
  <c r="E101" i="52"/>
  <c r="E26" i="52"/>
  <c r="CW26" i="52"/>
  <c r="CW101" i="52"/>
  <c r="CW103" i="52"/>
  <c r="W26" i="52"/>
  <c r="W103" i="52"/>
  <c r="W101" i="52"/>
  <c r="Y146" i="51"/>
  <c r="Y131" i="51"/>
  <c r="Y111" i="51"/>
  <c r="Y35" i="51"/>
  <c r="Y36" i="51"/>
  <c r="Y129" i="51" s="1"/>
  <c r="Y141" i="51"/>
  <c r="Y138" i="51"/>
  <c r="Y135" i="51"/>
  <c r="Y144" i="51"/>
  <c r="J101" i="52"/>
  <c r="J103" i="52"/>
  <c r="Z101" i="52"/>
  <c r="Z103" i="52"/>
  <c r="AD101" i="52"/>
  <c r="AD103" i="52"/>
  <c r="BD101" i="52"/>
  <c r="BD103" i="52"/>
  <c r="BI101" i="52"/>
  <c r="BI103" i="52"/>
  <c r="AG101" i="52"/>
  <c r="AG103" i="52"/>
  <c r="U101" i="52"/>
  <c r="U103" i="52"/>
  <c r="N101" i="52"/>
  <c r="N103" i="52"/>
  <c r="X146" i="51"/>
  <c r="X36" i="51"/>
  <c r="X129" i="51" s="1"/>
  <c r="X111" i="51"/>
  <c r="X131" i="51"/>
  <c r="X135" i="51"/>
  <c r="X144" i="51"/>
  <c r="X35" i="51"/>
  <c r="X141" i="51"/>
  <c r="X138" i="51"/>
  <c r="CY101" i="52"/>
  <c r="CY26" i="52"/>
  <c r="CY43" i="52" s="1"/>
  <c r="CY103" i="52"/>
  <c r="F138" i="51"/>
  <c r="F146" i="51"/>
  <c r="F36" i="51"/>
  <c r="F129" i="51" s="1"/>
  <c r="F111" i="51"/>
  <c r="F35" i="51"/>
  <c r="F141" i="51"/>
  <c r="F21" i="51"/>
  <c r="F24" i="51" s="1"/>
  <c r="F135" i="51"/>
  <c r="F144" i="51"/>
  <c r="F176" i="51"/>
  <c r="AC101" i="52"/>
  <c r="AC103" i="52"/>
  <c r="DB101" i="52"/>
  <c r="DB103" i="52"/>
  <c r="BE101" i="52"/>
  <c r="BE103" i="52"/>
  <c r="AZ26" i="52"/>
  <c r="AZ101" i="52"/>
  <c r="AZ103" i="52"/>
  <c r="CQ101" i="52"/>
  <c r="CQ103" i="52"/>
  <c r="K146" i="51"/>
  <c r="K111" i="51"/>
  <c r="K35" i="51"/>
  <c r="K36" i="51"/>
  <c r="K129" i="51" s="1"/>
  <c r="K141" i="51"/>
  <c r="K138" i="51"/>
  <c r="K135" i="51"/>
  <c r="K144" i="51"/>
  <c r="T146" i="51"/>
  <c r="T111" i="51"/>
  <c r="T36" i="51"/>
  <c r="T129" i="51" s="1"/>
  <c r="T35" i="51"/>
  <c r="T131" i="51"/>
  <c r="T135" i="51"/>
  <c r="T138" i="51"/>
  <c r="T144" i="51"/>
  <c r="T141" i="51"/>
  <c r="AF101" i="52"/>
  <c r="AF103" i="52"/>
  <c r="BG101" i="52"/>
  <c r="BG103" i="52"/>
  <c r="R101" i="52"/>
  <c r="R103" i="52"/>
  <c r="BH101" i="52"/>
  <c r="BH103" i="52"/>
  <c r="BK101" i="52"/>
  <c r="BK103" i="52"/>
  <c r="AH101" i="52"/>
  <c r="AH103" i="52"/>
  <c r="DD26" i="52"/>
  <c r="DD103" i="52"/>
  <c r="DD101" i="52"/>
  <c r="M111" i="51"/>
  <c r="M35" i="51"/>
  <c r="M127" i="51" s="1"/>
  <c r="M131" i="51"/>
  <c r="M36" i="51"/>
  <c r="M129" i="51" s="1"/>
  <c r="G35" i="51"/>
  <c r="G127" i="51" s="1"/>
  <c r="G176" i="51"/>
  <c r="G21" i="51"/>
  <c r="G111" i="51"/>
  <c r="G131" i="51"/>
  <c r="G36" i="51"/>
  <c r="G129" i="51" s="1"/>
  <c r="G135" i="51"/>
  <c r="G138" i="51"/>
  <c r="G144" i="51"/>
  <c r="G146" i="51"/>
  <c r="G141" i="51"/>
  <c r="AA103" i="52"/>
  <c r="AA101" i="52"/>
  <c r="AA26" i="52"/>
  <c r="AA43" i="52" s="1"/>
  <c r="CB101" i="52"/>
  <c r="CB103" i="52"/>
  <c r="CM26" i="52"/>
  <c r="CM103" i="52"/>
  <c r="CM101" i="52"/>
  <c r="V26" i="52"/>
  <c r="V103" i="52"/>
  <c r="V101" i="52"/>
  <c r="BM26" i="52"/>
  <c r="BM103" i="52"/>
  <c r="BM101" i="52"/>
  <c r="AJ101" i="52"/>
  <c r="AJ103" i="52"/>
  <c r="D27" i="52"/>
  <c r="U146" i="51"/>
  <c r="U36" i="51"/>
  <c r="U129" i="51" s="1"/>
  <c r="U131" i="51"/>
  <c r="U111" i="51"/>
  <c r="U35" i="51"/>
  <c r="U138" i="51"/>
  <c r="U144" i="51"/>
  <c r="U135" i="51"/>
  <c r="U141" i="51"/>
  <c r="H35" i="51"/>
  <c r="H127" i="51" s="1"/>
  <c r="H111" i="51"/>
  <c r="H36" i="51"/>
  <c r="H129" i="51" s="1"/>
  <c r="H21" i="51"/>
  <c r="H144" i="51"/>
  <c r="H135" i="51"/>
  <c r="H113" i="51"/>
  <c r="H112" i="51"/>
  <c r="H141" i="51"/>
  <c r="H138" i="51"/>
  <c r="H146" i="51"/>
  <c r="Q146" i="51"/>
  <c r="Q111" i="51"/>
  <c r="Q131" i="51"/>
  <c r="Q35" i="51"/>
  <c r="Q36" i="51"/>
  <c r="Q129" i="51" s="1"/>
  <c r="Q135" i="51"/>
  <c r="Q141" i="51"/>
  <c r="Q138" i="51"/>
  <c r="Q144" i="51"/>
  <c r="AD111" i="51"/>
  <c r="AD115" i="51" s="1"/>
  <c r="AD24" i="51"/>
  <c r="AD146" i="51"/>
  <c r="AD135" i="51"/>
  <c r="AD138" i="51"/>
  <c r="R146" i="51"/>
  <c r="R35" i="51"/>
  <c r="R111" i="51"/>
  <c r="R131" i="51"/>
  <c r="R36" i="51"/>
  <c r="R129" i="51" s="1"/>
  <c r="R135" i="51"/>
  <c r="R141" i="51"/>
  <c r="R144" i="51"/>
  <c r="R138" i="51"/>
  <c r="CV26" i="52"/>
  <c r="CV101" i="52"/>
  <c r="CV103" i="52"/>
  <c r="Z146" i="51"/>
  <c r="Z35" i="51"/>
  <c r="Z36" i="51"/>
  <c r="Z129" i="51" s="1"/>
  <c r="Z111" i="51"/>
  <c r="Z131" i="51"/>
  <c r="Z138" i="51"/>
  <c r="Z144" i="51"/>
  <c r="Z141" i="51"/>
  <c r="Z135" i="51"/>
  <c r="CC101" i="52"/>
  <c r="CC103" i="52"/>
  <c r="P146" i="51"/>
  <c r="P36" i="51"/>
  <c r="P129" i="51" s="1"/>
  <c r="P131" i="51"/>
  <c r="P35" i="51"/>
  <c r="P111" i="51"/>
  <c r="P138" i="51"/>
  <c r="P141" i="51"/>
  <c r="P135" i="51"/>
  <c r="P144" i="51"/>
  <c r="N146" i="51"/>
  <c r="N111" i="51"/>
  <c r="N131" i="51"/>
  <c r="N35" i="51"/>
  <c r="N36" i="51"/>
  <c r="N129" i="51" s="1"/>
  <c r="N141" i="51"/>
  <c r="N144" i="51"/>
  <c r="N138" i="51"/>
  <c r="N135" i="51"/>
  <c r="BF101" i="52"/>
  <c r="BF103" i="52"/>
  <c r="M101" i="52"/>
  <c r="M103" i="52"/>
  <c r="DC26" i="52"/>
  <c r="DC101" i="52"/>
  <c r="DC103" i="52"/>
  <c r="K101" i="52"/>
  <c r="K103" i="52"/>
  <c r="W146" i="51"/>
  <c r="W111" i="51"/>
  <c r="W35" i="51"/>
  <c r="W131" i="51"/>
  <c r="W144" i="51"/>
  <c r="W135" i="51"/>
  <c r="W36" i="51"/>
  <c r="W129" i="51" s="1"/>
  <c r="W138" i="51"/>
  <c r="W141" i="51"/>
  <c r="J146" i="51"/>
  <c r="J135" i="51"/>
  <c r="J141" i="51"/>
  <c r="J35" i="51"/>
  <c r="J138" i="51"/>
  <c r="J111" i="51"/>
  <c r="J36" i="51"/>
  <c r="J129" i="51" s="1"/>
  <c r="J144" i="51"/>
  <c r="S146" i="51"/>
  <c r="S111" i="51"/>
  <c r="S144" i="51"/>
  <c r="S36" i="51"/>
  <c r="S129" i="51" s="1"/>
  <c r="S135" i="51"/>
  <c r="S131" i="51"/>
  <c r="S138" i="51"/>
  <c r="S141" i="51"/>
  <c r="S35" i="51"/>
  <c r="BA26" i="52"/>
  <c r="BA103" i="52"/>
  <c r="BA101" i="52"/>
  <c r="AB146" i="51"/>
  <c r="AB35" i="51"/>
  <c r="AB36" i="51"/>
  <c r="AB111" i="51"/>
  <c r="AB131" i="51"/>
  <c r="AB141" i="51"/>
  <c r="AB138" i="51"/>
  <c r="AB135" i="51"/>
  <c r="AB144" i="51"/>
  <c r="P101" i="52"/>
  <c r="P103" i="52"/>
  <c r="CT101" i="52"/>
  <c r="CT103" i="52"/>
  <c r="E146" i="51"/>
  <c r="AI10" i="51" s="1"/>
  <c r="E38" i="51"/>
  <c r="E141" i="51"/>
  <c r="AI11" i="51" s="1"/>
  <c r="E138" i="51"/>
  <c r="AI9" i="51" s="1"/>
  <c r="E135" i="51"/>
  <c r="AI8" i="51" s="1"/>
  <c r="AC24" i="51"/>
  <c r="AC111" i="51"/>
  <c r="AC115" i="51" s="1"/>
  <c r="AC138" i="51"/>
  <c r="AC146" i="51"/>
  <c r="AC135" i="51"/>
  <c r="CX103" i="52"/>
  <c r="CX101" i="52"/>
  <c r="CX26" i="52"/>
  <c r="CA103" i="52"/>
  <c r="CA101" i="52"/>
  <c r="O101" i="52"/>
  <c r="O103" i="52"/>
  <c r="BN26" i="52"/>
  <c r="BN101" i="52"/>
  <c r="BN103" i="52"/>
  <c r="G101" i="52"/>
  <c r="G103" i="52"/>
  <c r="O111" i="51"/>
  <c r="O36" i="51"/>
  <c r="O129" i="51" s="1"/>
  <c r="O131" i="51"/>
  <c r="O35" i="51"/>
  <c r="AB101" i="52"/>
  <c r="AB26" i="52"/>
  <c r="AB103" i="52"/>
  <c r="Q101" i="52"/>
  <c r="Q103" i="52"/>
  <c r="L146" i="51"/>
  <c r="L111" i="51"/>
  <c r="L141" i="51"/>
  <c r="L35" i="51"/>
  <c r="L36" i="51"/>
  <c r="L129" i="51" s="1"/>
  <c r="L135" i="51"/>
  <c r="L144" i="51"/>
  <c r="L131" i="51"/>
  <c r="L138" i="51"/>
  <c r="CS103" i="52"/>
  <c r="CS101" i="52"/>
  <c r="I35" i="51"/>
  <c r="I111" i="51"/>
  <c r="I36" i="51"/>
  <c r="I129" i="51" s="1"/>
  <c r="I146" i="51"/>
  <c r="I138" i="51"/>
  <c r="I144" i="51"/>
  <c r="I141" i="51"/>
  <c r="I135" i="51"/>
  <c r="BB101" i="52"/>
  <c r="BB103" i="52"/>
  <c r="BL101" i="52"/>
  <c r="BL103" i="52"/>
  <c r="AI101" i="52"/>
  <c r="AI103" i="52"/>
  <c r="CU101" i="52"/>
  <c r="CU103" i="52"/>
  <c r="CJ103" i="52"/>
  <c r="CJ101" i="52"/>
  <c r="CJ26" i="52"/>
  <c r="C97" i="52"/>
  <c r="F112" i="52" l="1"/>
  <c r="F44" i="52"/>
  <c r="F46" i="52" s="1"/>
  <c r="F38" i="52"/>
  <c r="F42" i="52" s="1"/>
  <c r="G120" i="52"/>
  <c r="G28" i="52" s="1"/>
  <c r="G99" i="52" s="1"/>
  <c r="BO124" i="52"/>
  <c r="BO125" i="52" s="1"/>
  <c r="DR9" i="52"/>
  <c r="BO120" i="52"/>
  <c r="BO28" i="52" s="1"/>
  <c r="BO99" i="52" s="1"/>
  <c r="G124" i="52"/>
  <c r="G125" i="52" s="1"/>
  <c r="J120" i="52"/>
  <c r="J121" i="52" s="1"/>
  <c r="AD120" i="52"/>
  <c r="AD28" i="52" s="1"/>
  <c r="AD44" i="52" s="1"/>
  <c r="CO120" i="52"/>
  <c r="CO28" i="52" s="1"/>
  <c r="CO43" i="52" s="1"/>
  <c r="E124" i="52"/>
  <c r="E125" i="52" s="1"/>
  <c r="AC120" i="52"/>
  <c r="AC28" i="52" s="1"/>
  <c r="AC44" i="52" s="1"/>
  <c r="CN120" i="52"/>
  <c r="CN28" i="52" s="1"/>
  <c r="CN43" i="52" s="1"/>
  <c r="AA120" i="52"/>
  <c r="AA28" i="52" s="1"/>
  <c r="AA99" i="52" s="1"/>
  <c r="AF120" i="52"/>
  <c r="AF28" i="52" s="1"/>
  <c r="CN124" i="52"/>
  <c r="CN125" i="52" s="1"/>
  <c r="CO124" i="52"/>
  <c r="CO125" i="52" s="1"/>
  <c r="BB120" i="52"/>
  <c r="BB28" i="52" s="1"/>
  <c r="BB38" i="52" s="1"/>
  <c r="H124" i="52"/>
  <c r="H125" i="52" s="1"/>
  <c r="H120" i="52"/>
  <c r="H28" i="52" s="1"/>
  <c r="H99" i="52" s="1"/>
  <c r="E120" i="52"/>
  <c r="CL43" i="52"/>
  <c r="BI124" i="52"/>
  <c r="BI125" i="52" s="1"/>
  <c r="C87" i="51"/>
  <c r="C90" i="51" s="1"/>
  <c r="C64" i="51"/>
  <c r="J187" i="51"/>
  <c r="J37" i="51" s="1"/>
  <c r="J131" i="51" s="1"/>
  <c r="N124" i="52"/>
  <c r="N125" i="52" s="1"/>
  <c r="K187" i="51"/>
  <c r="K37" i="51" s="1"/>
  <c r="K131" i="51" s="1"/>
  <c r="T124" i="51"/>
  <c r="T24" i="51"/>
  <c r="X124" i="51"/>
  <c r="X24" i="51"/>
  <c r="Y24" i="51"/>
  <c r="Y124" i="51"/>
  <c r="P124" i="51"/>
  <c r="P24" i="51"/>
  <c r="H124" i="51"/>
  <c r="H24" i="51"/>
  <c r="F124" i="51"/>
  <c r="K124" i="51"/>
  <c r="K24" i="51"/>
  <c r="W124" i="51"/>
  <c r="W24" i="51"/>
  <c r="Z24" i="51"/>
  <c r="Z124" i="51"/>
  <c r="BF28" i="52"/>
  <c r="BF38" i="52" s="1"/>
  <c r="CZ120" i="52"/>
  <c r="CZ28" i="52" s="1"/>
  <c r="M124" i="51"/>
  <c r="L124" i="51"/>
  <c r="L24" i="51"/>
  <c r="D42" i="52"/>
  <c r="D51" i="52" s="1"/>
  <c r="O124" i="51"/>
  <c r="O24" i="51"/>
  <c r="N24" i="51"/>
  <c r="N124" i="51"/>
  <c r="J24" i="51"/>
  <c r="J124" i="51"/>
  <c r="R24" i="51"/>
  <c r="R124" i="51"/>
  <c r="G24" i="51"/>
  <c r="G124" i="51"/>
  <c r="Q24" i="51"/>
  <c r="Q124" i="51"/>
  <c r="S124" i="51"/>
  <c r="S24" i="51"/>
  <c r="V24" i="51"/>
  <c r="V124" i="51"/>
  <c r="U24" i="51"/>
  <c r="U124" i="51"/>
  <c r="BJ124" i="52"/>
  <c r="BJ125" i="52" s="1"/>
  <c r="CM124" i="52"/>
  <c r="CM125" i="52" s="1"/>
  <c r="CM120" i="52"/>
  <c r="CM28" i="52" s="1"/>
  <c r="CM99" i="52" s="1"/>
  <c r="BF124" i="52"/>
  <c r="BF125" i="52" s="1"/>
  <c r="BI28" i="52"/>
  <c r="CZ124" i="52"/>
  <c r="CZ125" i="52" s="1"/>
  <c r="BK27" i="52"/>
  <c r="BG27" i="52"/>
  <c r="X38" i="52"/>
  <c r="AJ28" i="52"/>
  <c r="BK28" i="52"/>
  <c r="BK44" i="52" s="1"/>
  <c r="BK124" i="52"/>
  <c r="BK125" i="52" s="1"/>
  <c r="BE27" i="52"/>
  <c r="BE96" i="52" s="1"/>
  <c r="BJ27" i="52"/>
  <c r="BJ96" i="52" s="1"/>
  <c r="CX120" i="52"/>
  <c r="CX28" i="52" s="1"/>
  <c r="CX43" i="52" s="1"/>
  <c r="BB124" i="52"/>
  <c r="BB125" i="52" s="1"/>
  <c r="AH27" i="52"/>
  <c r="BD27" i="52"/>
  <c r="BJ28" i="52"/>
  <c r="BJ44" i="52" s="1"/>
  <c r="BH27" i="52"/>
  <c r="BH96" i="52" s="1"/>
  <c r="BG124" i="52"/>
  <c r="BG125" i="52" s="1"/>
  <c r="BG28" i="52"/>
  <c r="BG44" i="52" s="1"/>
  <c r="BE28" i="52"/>
  <c r="BE44" i="52" s="1"/>
  <c r="BE124" i="52"/>
  <c r="BE125" i="52" s="1"/>
  <c r="AG28" i="52"/>
  <c r="AG124" i="52"/>
  <c r="AG125" i="52" s="1"/>
  <c r="AI27" i="52"/>
  <c r="CX124" i="52"/>
  <c r="CX125" i="52" s="1"/>
  <c r="AA124" i="52"/>
  <c r="AA125" i="52" s="1"/>
  <c r="AF124" i="52"/>
  <c r="AF125" i="52" s="1"/>
  <c r="AD124" i="52"/>
  <c r="AD125" i="52" s="1"/>
  <c r="AH124" i="52"/>
  <c r="AH125" i="52" s="1"/>
  <c r="AH28" i="52"/>
  <c r="BI27" i="52"/>
  <c r="BI44" i="52"/>
  <c r="BD28" i="52"/>
  <c r="BD44" i="52" s="1"/>
  <c r="CZ27" i="52"/>
  <c r="CZ96" i="52" s="1"/>
  <c r="AI28" i="52"/>
  <c r="M28" i="52"/>
  <c r="M99" i="52" s="1"/>
  <c r="BF44" i="52"/>
  <c r="BF27" i="52"/>
  <c r="AJ27" i="52"/>
  <c r="AJ96" i="52" s="1"/>
  <c r="AJ44" i="52"/>
  <c r="BH28" i="52"/>
  <c r="BH44" i="52" s="1"/>
  <c r="BH124" i="52"/>
  <c r="BH125" i="52" s="1"/>
  <c r="BD124" i="52"/>
  <c r="BD125" i="52" s="1"/>
  <c r="AI124" i="52"/>
  <c r="AI125" i="52" s="1"/>
  <c r="X100" i="52"/>
  <c r="K28" i="52"/>
  <c r="K44" i="52" s="1"/>
  <c r="K124" i="52"/>
  <c r="K125" i="52" s="1"/>
  <c r="J124" i="52"/>
  <c r="J125" i="52" s="1"/>
  <c r="AB112" i="52"/>
  <c r="CA43" i="52"/>
  <c r="CA44" i="52"/>
  <c r="O27" i="52"/>
  <c r="BQ44" i="52"/>
  <c r="BR44" i="52"/>
  <c r="H112" i="52"/>
  <c r="L28" i="52"/>
  <c r="L124" i="52"/>
  <c r="L125" i="52" s="1"/>
  <c r="M124" i="52"/>
  <c r="M125" i="52" s="1"/>
  <c r="X44" i="52"/>
  <c r="N28" i="52"/>
  <c r="G112" i="52"/>
  <c r="E112" i="52"/>
  <c r="BX44" i="52"/>
  <c r="T44" i="52"/>
  <c r="E28" i="52"/>
  <c r="E99" i="52" s="1"/>
  <c r="AA112" i="52"/>
  <c r="BO44" i="52"/>
  <c r="X112" i="52"/>
  <c r="AB28" i="52"/>
  <c r="AB124" i="52"/>
  <c r="AB125" i="52" s="1"/>
  <c r="O124" i="52"/>
  <c r="O125" i="52" s="1"/>
  <c r="O28" i="52"/>
  <c r="Z44" i="52"/>
  <c r="BP44" i="52"/>
  <c r="S44" i="52"/>
  <c r="AC124" i="52"/>
  <c r="AC125" i="52" s="1"/>
  <c r="N27" i="52"/>
  <c r="I24" i="51"/>
  <c r="I124" i="51"/>
  <c r="H187" i="51"/>
  <c r="H37" i="51" s="1"/>
  <c r="H131" i="51" s="1"/>
  <c r="C45" i="52"/>
  <c r="C48" i="52" s="1"/>
  <c r="C51" i="52"/>
  <c r="C110" i="52" s="1"/>
  <c r="F187" i="51"/>
  <c r="F37" i="51" s="1"/>
  <c r="F131" i="51" s="1"/>
  <c r="F127" i="51"/>
  <c r="DA45" i="52"/>
  <c r="E69" i="51"/>
  <c r="E46" i="51"/>
  <c r="E48" i="51" s="1"/>
  <c r="E45" i="51"/>
  <c r="E47" i="51"/>
  <c r="CP44" i="52"/>
  <c r="T27" i="52"/>
  <c r="CR44" i="52"/>
  <c r="CQ44" i="52"/>
  <c r="S27" i="52"/>
  <c r="CY44" i="52"/>
  <c r="CY46" i="52" s="1"/>
  <c r="CY107" i="52" s="1"/>
  <c r="CL44" i="52"/>
  <c r="CX44" i="52"/>
  <c r="CN44" i="52"/>
  <c r="CK44" i="52"/>
  <c r="CB44" i="52"/>
  <c r="Q46" i="52"/>
  <c r="Q107" i="52" s="1"/>
  <c r="CC45" i="52"/>
  <c r="BT45" i="52"/>
  <c r="CC46" i="52"/>
  <c r="CC107" i="52" s="1"/>
  <c r="R45" i="52"/>
  <c r="CU46" i="52"/>
  <c r="CU107" i="52" s="1"/>
  <c r="CQ27" i="52"/>
  <c r="CQ42" i="52" s="1"/>
  <c r="C75" i="52"/>
  <c r="C107" i="52"/>
  <c r="CS45" i="52"/>
  <c r="U45" i="52"/>
  <c r="DB45" i="52"/>
  <c r="P45" i="52"/>
  <c r="BW45" i="52"/>
  <c r="CU45" i="52"/>
  <c r="Q45" i="52"/>
  <c r="CT45" i="52"/>
  <c r="BU45" i="52"/>
  <c r="BV45" i="52"/>
  <c r="CH45" i="52"/>
  <c r="BS45" i="52"/>
  <c r="D46" i="52"/>
  <c r="D107" i="52" s="1"/>
  <c r="AA25" i="51"/>
  <c r="AA127" i="51"/>
  <c r="AA61" i="51"/>
  <c r="AA168" i="51" s="1"/>
  <c r="AB129" i="51"/>
  <c r="AI23" i="51" s="1"/>
  <c r="AB127" i="51"/>
  <c r="E49" i="51"/>
  <c r="C49" i="51"/>
  <c r="CA27" i="52"/>
  <c r="M27" i="52"/>
  <c r="K107" i="51"/>
  <c r="AA107" i="51"/>
  <c r="C107" i="51"/>
  <c r="BW46" i="52"/>
  <c r="BW107" i="52" s="1"/>
  <c r="DB46" i="52"/>
  <c r="DB107" i="52" s="1"/>
  <c r="P53" i="52"/>
  <c r="P111" i="52" s="1"/>
  <c r="BX27" i="52"/>
  <c r="BQ27" i="52"/>
  <c r="BW74" i="52"/>
  <c r="BW53" i="52"/>
  <c r="BW111" i="52" s="1"/>
  <c r="BY43" i="52"/>
  <c r="BY46" i="52" s="1"/>
  <c r="BY107" i="52" s="1"/>
  <c r="BY42" i="52"/>
  <c r="BY98" i="52"/>
  <c r="BO27" i="52"/>
  <c r="BV74" i="52"/>
  <c r="BV53" i="52"/>
  <c r="BV111" i="52" s="1"/>
  <c r="BP27" i="52"/>
  <c r="BT74" i="52"/>
  <c r="BT53" i="52"/>
  <c r="BT111" i="52" s="1"/>
  <c r="CX99" i="52"/>
  <c r="BT46" i="52"/>
  <c r="BT107" i="52" s="1"/>
  <c r="BS46" i="52"/>
  <c r="BS107" i="52" s="1"/>
  <c r="BR27" i="52"/>
  <c r="CT53" i="52"/>
  <c r="CT111" i="52" s="1"/>
  <c r="CK38" i="52"/>
  <c r="CK43" i="52" s="1"/>
  <c r="CK99" i="52"/>
  <c r="DA46" i="52"/>
  <c r="DA107" i="52" s="1"/>
  <c r="ED13" i="52"/>
  <c r="BU53" i="52"/>
  <c r="BU111" i="52" s="1"/>
  <c r="BU74" i="52"/>
  <c r="DB53" i="52"/>
  <c r="DB111" i="52" s="1"/>
  <c r="CC53" i="52"/>
  <c r="CC111" i="52" s="1"/>
  <c r="E118" i="51"/>
  <c r="AI6" i="51" s="1"/>
  <c r="CT46" i="52"/>
  <c r="CT107" i="52" s="1"/>
  <c r="CH46" i="52"/>
  <c r="CH107" i="52" s="1"/>
  <c r="CS46" i="52"/>
  <c r="CS107" i="52" s="1"/>
  <c r="ED12" i="52"/>
  <c r="BS53" i="52"/>
  <c r="BS111" i="52" s="1"/>
  <c r="BS74" i="52"/>
  <c r="R53" i="52"/>
  <c r="R111" i="52" s="1"/>
  <c r="CH53" i="52"/>
  <c r="CH111" i="52" s="1"/>
  <c r="CB27" i="52"/>
  <c r="CB42" i="52" s="1"/>
  <c r="CB51" i="52" s="1"/>
  <c r="U46" i="52"/>
  <c r="U107" i="52" s="1"/>
  <c r="ED11" i="52"/>
  <c r="BV46" i="52"/>
  <c r="BV107" i="52" s="1"/>
  <c r="R46" i="52"/>
  <c r="R107" i="52" s="1"/>
  <c r="BU46" i="52"/>
  <c r="BU107" i="52" s="1"/>
  <c r="CS53" i="52"/>
  <c r="CS111" i="52" s="1"/>
  <c r="CU53" i="52"/>
  <c r="CU111" i="52" s="1"/>
  <c r="Q53" i="52"/>
  <c r="Q111" i="52" s="1"/>
  <c r="U53" i="52"/>
  <c r="U111" i="52" s="1"/>
  <c r="DA53" i="52"/>
  <c r="DA111" i="52" s="1"/>
  <c r="P46" i="52"/>
  <c r="ED10" i="52"/>
  <c r="BZ42" i="52"/>
  <c r="BZ43" i="52"/>
  <c r="BZ46" i="52" s="1"/>
  <c r="BZ107" i="52" s="1"/>
  <c r="BZ98" i="52"/>
  <c r="Z100" i="52"/>
  <c r="CY38" i="52"/>
  <c r="BL75" i="52"/>
  <c r="Z27" i="52"/>
  <c r="CL38" i="52"/>
  <c r="G58" i="52"/>
  <c r="H58" i="52"/>
  <c r="C159" i="51"/>
  <c r="AI34" i="51"/>
  <c r="K27" i="52"/>
  <c r="C53" i="52"/>
  <c r="CL27" i="52"/>
  <c r="CR27" i="52"/>
  <c r="CR42" i="52" s="1"/>
  <c r="CP27" i="52"/>
  <c r="CP42" i="52" s="1"/>
  <c r="CN27" i="52"/>
  <c r="L27" i="52"/>
  <c r="K25" i="51"/>
  <c r="K46" i="51" s="1"/>
  <c r="K48" i="51" s="1"/>
  <c r="K53" i="51" s="1"/>
  <c r="AF27" i="52"/>
  <c r="J27" i="52"/>
  <c r="AG27" i="52"/>
  <c r="AC27" i="52"/>
  <c r="H27" i="52"/>
  <c r="EA11" i="52"/>
  <c r="AD27" i="52"/>
  <c r="CO27" i="52"/>
  <c r="BB27" i="52"/>
  <c r="Z127" i="51"/>
  <c r="Y127" i="51"/>
  <c r="X127" i="51"/>
  <c r="V115" i="51"/>
  <c r="V25" i="51"/>
  <c r="W127" i="51"/>
  <c r="U127" i="51"/>
  <c r="T127" i="51"/>
  <c r="S127" i="51"/>
  <c r="R127" i="51"/>
  <c r="Q127" i="51"/>
  <c r="P127" i="51"/>
  <c r="O127" i="51"/>
  <c r="N127" i="51"/>
  <c r="L127" i="51"/>
  <c r="K127" i="51"/>
  <c r="G27" i="52"/>
  <c r="J127" i="51"/>
  <c r="I127" i="51"/>
  <c r="EA10" i="52"/>
  <c r="EA9" i="52"/>
  <c r="DU10" i="52"/>
  <c r="DU11" i="52"/>
  <c r="X27" i="52"/>
  <c r="DR12" i="52"/>
  <c r="Z115" i="51"/>
  <c r="Z25" i="51"/>
  <c r="CV98" i="52"/>
  <c r="CV43" i="52"/>
  <c r="CV46" i="52" s="1"/>
  <c r="CV107" i="52" s="1"/>
  <c r="CV42" i="52"/>
  <c r="AD45" i="51"/>
  <c r="AD124" i="51"/>
  <c r="DO19" i="52"/>
  <c r="AH149" i="51"/>
  <c r="X25" i="51"/>
  <c r="X38" i="51" s="1"/>
  <c r="X115" i="51"/>
  <c r="DL18" i="52"/>
  <c r="DX10" i="52"/>
  <c r="DC98" i="52"/>
  <c r="DC43" i="52"/>
  <c r="DC46" i="52" s="1"/>
  <c r="DC107" i="52" s="1"/>
  <c r="DC42" i="52"/>
  <c r="R115" i="51"/>
  <c r="R25" i="51"/>
  <c r="R38" i="51" s="1"/>
  <c r="D97" i="52"/>
  <c r="DL8" i="52" s="1"/>
  <c r="G115" i="51"/>
  <c r="G25" i="51"/>
  <c r="M25" i="51"/>
  <c r="M118" i="51" s="1"/>
  <c r="M115" i="51"/>
  <c r="K115" i="51"/>
  <c r="DU9" i="52"/>
  <c r="AC45" i="51"/>
  <c r="AC124" i="51"/>
  <c r="AD46" i="51"/>
  <c r="AD48" i="51" s="1"/>
  <c r="AD53" i="51" s="1"/>
  <c r="H25" i="51"/>
  <c r="H118" i="51" s="1"/>
  <c r="H115" i="51"/>
  <c r="AI29" i="51"/>
  <c r="W98" i="52"/>
  <c r="W43" i="52"/>
  <c r="W46" i="52" s="1"/>
  <c r="W107" i="52" s="1"/>
  <c r="W42" i="52"/>
  <c r="DL16" i="52"/>
  <c r="CI42" i="52"/>
  <c r="CI43" i="52"/>
  <c r="CI46" i="52" s="1"/>
  <c r="CI107" i="52" s="1"/>
  <c r="CI98" i="52"/>
  <c r="AC46" i="51"/>
  <c r="AC48" i="51" s="1"/>
  <c r="AC53" i="51" s="1"/>
  <c r="AC153" i="51" s="1"/>
  <c r="P74" i="52"/>
  <c r="P77" i="52" s="1"/>
  <c r="BM43" i="52"/>
  <c r="BM46" i="52" s="1"/>
  <c r="BM107" i="52" s="1"/>
  <c r="BM42" i="52"/>
  <c r="BM98" i="52"/>
  <c r="CM27" i="52"/>
  <c r="DB74" i="52"/>
  <c r="U74" i="52"/>
  <c r="U77" i="52" s="1"/>
  <c r="Y25" i="51"/>
  <c r="Y38" i="51" s="1"/>
  <c r="Y115" i="51"/>
  <c r="I25" i="51"/>
  <c r="I38" i="51" s="1"/>
  <c r="I115" i="51"/>
  <c r="CS74" i="52"/>
  <c r="AB25" i="51"/>
  <c r="AB46" i="51" s="1"/>
  <c r="AB115" i="51"/>
  <c r="BA42" i="52"/>
  <c r="BA43" i="52"/>
  <c r="BA46" i="52" s="1"/>
  <c r="BA107" i="52" s="1"/>
  <c r="BA98" i="52"/>
  <c r="J25" i="51"/>
  <c r="J38" i="51" s="1"/>
  <c r="J115" i="51"/>
  <c r="Q115" i="51"/>
  <c r="Q25" i="51"/>
  <c r="Q38" i="51" s="1"/>
  <c r="U25" i="51"/>
  <c r="U38" i="51" s="1"/>
  <c r="U115" i="51"/>
  <c r="DL19" i="52"/>
  <c r="DO10" i="52"/>
  <c r="CK27" i="52"/>
  <c r="AB27" i="52"/>
  <c r="DR11" i="52"/>
  <c r="O25" i="51"/>
  <c r="O118" i="51" s="1"/>
  <c r="O115" i="51"/>
  <c r="AA27" i="52"/>
  <c r="DD98" i="52"/>
  <c r="DD43" i="52"/>
  <c r="DD46" i="52" s="1"/>
  <c r="DD107" i="52" s="1"/>
  <c r="DD42" i="52"/>
  <c r="R74" i="52"/>
  <c r="R77" i="52" s="1"/>
  <c r="T115" i="51"/>
  <c r="T25" i="51"/>
  <c r="T38" i="51" s="1"/>
  <c r="AZ42" i="52"/>
  <c r="AZ43" i="52"/>
  <c r="AZ46" i="52" s="1"/>
  <c r="AZ107" i="52" s="1"/>
  <c r="AZ98" i="52"/>
  <c r="F25" i="51"/>
  <c r="F115" i="51"/>
  <c r="CY27" i="52"/>
  <c r="CH74" i="52"/>
  <c r="DO13" i="52"/>
  <c r="DA74" i="52"/>
  <c r="CU74" i="52"/>
  <c r="C74" i="52"/>
  <c r="C77" i="52" s="1"/>
  <c r="DR10" i="52"/>
  <c r="CT74" i="52"/>
  <c r="S115" i="51"/>
  <c r="S25" i="51"/>
  <c r="S38" i="51" s="1"/>
  <c r="N25" i="51"/>
  <c r="N38" i="51" s="1"/>
  <c r="N115" i="51"/>
  <c r="P115" i="51"/>
  <c r="P25" i="51"/>
  <c r="P38" i="51" s="1"/>
  <c r="DO18" i="52"/>
  <c r="AI28" i="51"/>
  <c r="CW98" i="52"/>
  <c r="CW42" i="52"/>
  <c r="CW43" i="52"/>
  <c r="CW46" i="52" s="1"/>
  <c r="CW107" i="52" s="1"/>
  <c r="DO11" i="52"/>
  <c r="DX11" i="52"/>
  <c r="CX27" i="52"/>
  <c r="L25" i="51"/>
  <c r="L38" i="51" s="1"/>
  <c r="L115" i="51"/>
  <c r="CJ42" i="52"/>
  <c r="CJ98" i="52"/>
  <c r="CJ43" i="52"/>
  <c r="CJ46" i="52" s="1"/>
  <c r="CJ107" i="52" s="1"/>
  <c r="Q74" i="52"/>
  <c r="Q77" i="52" s="1"/>
  <c r="BN98" i="52"/>
  <c r="BN42" i="52"/>
  <c r="BN43" i="52"/>
  <c r="BN46" i="52" s="1"/>
  <c r="BN107" i="52" s="1"/>
  <c r="AG146" i="51"/>
  <c r="W25" i="51"/>
  <c r="W38" i="51" s="1"/>
  <c r="W115" i="51"/>
  <c r="CC74" i="52"/>
  <c r="V98" i="52"/>
  <c r="V42" i="52"/>
  <c r="V43" i="52"/>
  <c r="V46" i="52" s="1"/>
  <c r="V107" i="52" s="1"/>
  <c r="DO16" i="52"/>
  <c r="AI25" i="51"/>
  <c r="AI27" i="51"/>
  <c r="AH150" i="51"/>
  <c r="E27" i="52"/>
  <c r="DX9" i="52"/>
  <c r="U61" i="51" l="1"/>
  <c r="CO44" i="52"/>
  <c r="BO38" i="52"/>
  <c r="F45" i="52"/>
  <c r="F48" i="52" s="1"/>
  <c r="F53" i="52"/>
  <c r="F111" i="52" s="1"/>
  <c r="F74" i="52"/>
  <c r="F51" i="52"/>
  <c r="F110" i="52" s="1"/>
  <c r="F107" i="52"/>
  <c r="F75" i="52"/>
  <c r="BV48" i="52"/>
  <c r="BV55" i="52" s="1"/>
  <c r="DO9" i="52"/>
  <c r="J28" i="52"/>
  <c r="J44" i="52" s="1"/>
  <c r="AI24" i="51"/>
  <c r="CO99" i="52"/>
  <c r="CO38" i="52"/>
  <c r="CO42" i="52" s="1"/>
  <c r="CO51" i="52" s="1"/>
  <c r="CN99" i="52"/>
  <c r="CN38" i="52"/>
  <c r="CN42" i="52" s="1"/>
  <c r="CN51" i="52" s="1"/>
  <c r="C55" i="52"/>
  <c r="CX38" i="52"/>
  <c r="AG44" i="52"/>
  <c r="AG46" i="52" s="1"/>
  <c r="AG107" i="52" s="1"/>
  <c r="X61" i="51"/>
  <c r="X168" i="51" s="1"/>
  <c r="W61" i="51"/>
  <c r="W168" i="51" s="1"/>
  <c r="T61" i="51"/>
  <c r="T168" i="51" s="1"/>
  <c r="S61" i="51"/>
  <c r="S168" i="51" s="1"/>
  <c r="R61" i="51"/>
  <c r="R168" i="51" s="1"/>
  <c r="E87" i="51"/>
  <c r="E90" i="51" s="1"/>
  <c r="E64" i="51"/>
  <c r="E159" i="51" s="1"/>
  <c r="AD46" i="52"/>
  <c r="AD107" i="52" s="1"/>
  <c r="AA44" i="52"/>
  <c r="AF44" i="52"/>
  <c r="AF46" i="52" s="1"/>
  <c r="AF107" i="52" s="1"/>
  <c r="K46" i="52"/>
  <c r="K107" i="52" s="1"/>
  <c r="X42" i="52"/>
  <c r="X51" i="52" s="1"/>
  <c r="CZ99" i="52"/>
  <c r="EA12" i="52" s="1"/>
  <c r="CZ38" i="52"/>
  <c r="CZ42" i="52" s="1"/>
  <c r="CM43" i="52"/>
  <c r="CM44" i="52"/>
  <c r="J45" i="51"/>
  <c r="J64" i="51" s="1"/>
  <c r="BB99" i="52"/>
  <c r="N44" i="52"/>
  <c r="N46" i="52" s="1"/>
  <c r="M44" i="52"/>
  <c r="AC46" i="52"/>
  <c r="AC107" i="52" s="1"/>
  <c r="M38" i="52"/>
  <c r="M42" i="52" s="1"/>
  <c r="M51" i="52" s="1"/>
  <c r="M110" i="52" s="1"/>
  <c r="BF99" i="52"/>
  <c r="BF46" i="52"/>
  <c r="BF107" i="52" s="1"/>
  <c r="AC169" i="51"/>
  <c r="CM38" i="52"/>
  <c r="CM42" i="52" s="1"/>
  <c r="CM51" i="52" s="1"/>
  <c r="BB44" i="52"/>
  <c r="CZ44" i="52"/>
  <c r="CZ43" i="52"/>
  <c r="BI99" i="52"/>
  <c r="BI46" i="52"/>
  <c r="BI107" i="52" s="1"/>
  <c r="BI38" i="52"/>
  <c r="AF38" i="52"/>
  <c r="AF42" i="52" s="1"/>
  <c r="AF51" i="52" s="1"/>
  <c r="AF99" i="52"/>
  <c r="AH99" i="52"/>
  <c r="AH38" i="52"/>
  <c r="AH42" i="52" s="1"/>
  <c r="AI96" i="52"/>
  <c r="CA42" i="52"/>
  <c r="CA51" i="52" s="1"/>
  <c r="CA106" i="52"/>
  <c r="DU23" i="52" s="1"/>
  <c r="H44" i="52"/>
  <c r="BG96" i="52"/>
  <c r="AI99" i="52"/>
  <c r="AI38" i="52"/>
  <c r="AI42" i="52" s="1"/>
  <c r="AD38" i="52"/>
  <c r="AD42" i="52" s="1"/>
  <c r="AD51" i="52" s="1"/>
  <c r="AD99" i="52"/>
  <c r="AG99" i="52"/>
  <c r="AG38" i="52"/>
  <c r="AG42" i="52" s="1"/>
  <c r="AG51" i="52" s="1"/>
  <c r="BJ99" i="52"/>
  <c r="BJ38" i="52"/>
  <c r="BJ42" i="52" s="1"/>
  <c r="BJ74" i="52" s="1"/>
  <c r="BJ77" i="52" s="1"/>
  <c r="BJ46" i="52"/>
  <c r="BJ107" i="52" s="1"/>
  <c r="BK96" i="52"/>
  <c r="BH99" i="52"/>
  <c r="BH38" i="52"/>
  <c r="BH42" i="52" s="1"/>
  <c r="BE99" i="52"/>
  <c r="BE38" i="52"/>
  <c r="BE42" i="52" s="1"/>
  <c r="BE46" i="52"/>
  <c r="BE107" i="52" s="1"/>
  <c r="BD96" i="52"/>
  <c r="BD99" i="52"/>
  <c r="BD38" i="52"/>
  <c r="BD42" i="52" s="1"/>
  <c r="BD46" i="52"/>
  <c r="BG99" i="52"/>
  <c r="BG38" i="52"/>
  <c r="BG42" i="52" s="1"/>
  <c r="BG46" i="52"/>
  <c r="BG107" i="52" s="1"/>
  <c r="AH96" i="52"/>
  <c r="AH44" i="52"/>
  <c r="BK99" i="52"/>
  <c r="BK38" i="52"/>
  <c r="BK42" i="52" s="1"/>
  <c r="BK46" i="52"/>
  <c r="BK107" i="52" s="1"/>
  <c r="AA38" i="52"/>
  <c r="AA42" i="52" s="1"/>
  <c r="AA51" i="52" s="1"/>
  <c r="H38" i="52"/>
  <c r="H42" i="52" s="1"/>
  <c r="H51" i="52" s="1"/>
  <c r="BF96" i="52"/>
  <c r="BF42" i="52"/>
  <c r="BI96" i="52"/>
  <c r="BI42" i="52"/>
  <c r="AI44" i="52"/>
  <c r="AJ99" i="52"/>
  <c r="AJ38" i="52"/>
  <c r="AJ42" i="52" s="1"/>
  <c r="AJ46" i="52"/>
  <c r="AJ107" i="52" s="1"/>
  <c r="BH46" i="52"/>
  <c r="BH107" i="52" s="1"/>
  <c r="DO17" i="52"/>
  <c r="G44" i="52"/>
  <c r="G38" i="52"/>
  <c r="G106" i="52" s="1"/>
  <c r="DL17" i="52"/>
  <c r="AC38" i="52"/>
  <c r="AC42" i="52" s="1"/>
  <c r="AC51" i="52" s="1"/>
  <c r="AC99" i="52"/>
  <c r="K99" i="52"/>
  <c r="K38" i="52"/>
  <c r="K42" i="52" s="1"/>
  <c r="K51" i="52" s="1"/>
  <c r="K110" i="52" s="1"/>
  <c r="AB44" i="52"/>
  <c r="AB46" i="52" s="1"/>
  <c r="AB107" i="52" s="1"/>
  <c r="O44" i="52"/>
  <c r="O46" i="52" s="1"/>
  <c r="CK106" i="52"/>
  <c r="DX23" i="52" s="1"/>
  <c r="N96" i="52"/>
  <c r="AB38" i="52"/>
  <c r="AB42" i="52" s="1"/>
  <c r="AB51" i="52" s="1"/>
  <c r="AB99" i="52"/>
  <c r="L38" i="52"/>
  <c r="L42" i="52" s="1"/>
  <c r="L51" i="52" s="1"/>
  <c r="L99" i="52"/>
  <c r="E44" i="52"/>
  <c r="E38" i="52"/>
  <c r="E42" i="52" s="1"/>
  <c r="E51" i="52" s="1"/>
  <c r="L44" i="52"/>
  <c r="O99" i="52"/>
  <c r="O38" i="52"/>
  <c r="O42" i="52" s="1"/>
  <c r="N99" i="52"/>
  <c r="N38" i="52"/>
  <c r="N42" i="52" s="1"/>
  <c r="O96" i="52"/>
  <c r="CY42" i="52"/>
  <c r="CY51" i="52" s="1"/>
  <c r="C54" i="52"/>
  <c r="BR42" i="52"/>
  <c r="F38" i="51"/>
  <c r="F45" i="51" s="1"/>
  <c r="F69" i="51"/>
  <c r="BP42" i="52"/>
  <c r="S42" i="52"/>
  <c r="S51" i="52" s="1"/>
  <c r="S110" i="52" s="1"/>
  <c r="I69" i="51"/>
  <c r="I47" i="51"/>
  <c r="CK42" i="52"/>
  <c r="CK51" i="52" s="1"/>
  <c r="CL42" i="52"/>
  <c r="CL51" i="52" s="1"/>
  <c r="CX42" i="52"/>
  <c r="CX51" i="52" s="1"/>
  <c r="CX106" i="52"/>
  <c r="EA23" i="52" s="1"/>
  <c r="Z42" i="52"/>
  <c r="Z51" i="52" s="1"/>
  <c r="BO42" i="52"/>
  <c r="BO51" i="52" s="1"/>
  <c r="BX42" i="52"/>
  <c r="BB42" i="52"/>
  <c r="BB51" i="52" s="1"/>
  <c r="BQ42" i="52"/>
  <c r="T42" i="52"/>
  <c r="M96" i="52"/>
  <c r="T96" i="52"/>
  <c r="CO96" i="52"/>
  <c r="AF96" i="52"/>
  <c r="AD96" i="52"/>
  <c r="CP96" i="52"/>
  <c r="BB96" i="52"/>
  <c r="X97" i="52"/>
  <c r="L96" i="52"/>
  <c r="BL53" i="52"/>
  <c r="BL111" i="52" s="1"/>
  <c r="BL113" i="52" s="1"/>
  <c r="CA96" i="52"/>
  <c r="CQ96" i="52"/>
  <c r="BL74" i="52"/>
  <c r="AC96" i="52"/>
  <c r="BL45" i="52"/>
  <c r="BL48" i="52" s="1"/>
  <c r="BL55" i="52" s="1"/>
  <c r="S96" i="52"/>
  <c r="J96" i="52"/>
  <c r="BR96" i="52"/>
  <c r="AG96" i="52"/>
  <c r="K96" i="52"/>
  <c r="CB96" i="52"/>
  <c r="BX96" i="52"/>
  <c r="BW113" i="52"/>
  <c r="CT113" i="52"/>
  <c r="DB113" i="52"/>
  <c r="DA113" i="52"/>
  <c r="CS113" i="52"/>
  <c r="BU113" i="52"/>
  <c r="CC113" i="52"/>
  <c r="CH113" i="52"/>
  <c r="BV113" i="52"/>
  <c r="CU113" i="52"/>
  <c r="R113" i="52"/>
  <c r="BS113" i="52"/>
  <c r="BT113" i="52"/>
  <c r="U113" i="52"/>
  <c r="Q113" i="52"/>
  <c r="X46" i="52"/>
  <c r="X75" i="52" s="1"/>
  <c r="D45" i="52"/>
  <c r="D48" i="52" s="1"/>
  <c r="CN46" i="52"/>
  <c r="CN107" i="52" s="1"/>
  <c r="CC75" i="52"/>
  <c r="Q75" i="52"/>
  <c r="Z48" i="51"/>
  <c r="U46" i="51"/>
  <c r="U45" i="51"/>
  <c r="U64" i="51" s="1"/>
  <c r="W45" i="51"/>
  <c r="W46" i="51"/>
  <c r="W48" i="51" s="1"/>
  <c r="M46" i="51"/>
  <c r="M48" i="51" s="1"/>
  <c r="Q45" i="51"/>
  <c r="Q64" i="51" s="1"/>
  <c r="Q46" i="51"/>
  <c r="Q48" i="51" s="1"/>
  <c r="Y61" i="51"/>
  <c r="Y168" i="51" s="1"/>
  <c r="Y45" i="51"/>
  <c r="Y46" i="51"/>
  <c r="I45" i="51"/>
  <c r="I64" i="51" s="1"/>
  <c r="I46" i="51"/>
  <c r="I48" i="51" s="1"/>
  <c r="I49" i="51" s="1"/>
  <c r="N46" i="51"/>
  <c r="N48" i="51" s="1"/>
  <c r="N53" i="51" s="1"/>
  <c r="N45" i="51"/>
  <c r="N64" i="51" s="1"/>
  <c r="X45" i="51"/>
  <c r="X46" i="51"/>
  <c r="Z46" i="51"/>
  <c r="R46" i="51"/>
  <c r="R45" i="51"/>
  <c r="R64" i="51" s="1"/>
  <c r="T46" i="51"/>
  <c r="T48" i="51" s="1"/>
  <c r="T45" i="51"/>
  <c r="T64" i="51" s="1"/>
  <c r="AA48" i="51"/>
  <c r="AA53" i="51" s="1"/>
  <c r="AA153" i="51" s="1"/>
  <c r="AA46" i="51"/>
  <c r="J46" i="51"/>
  <c r="J48" i="51" s="1"/>
  <c r="P45" i="51"/>
  <c r="P64" i="51" s="1"/>
  <c r="P46" i="51"/>
  <c r="P48" i="51" s="1"/>
  <c r="S46" i="51"/>
  <c r="S45" i="51"/>
  <c r="L46" i="51"/>
  <c r="L48" i="51" s="1"/>
  <c r="L53" i="51" s="1"/>
  <c r="L45" i="51"/>
  <c r="L64" i="51" s="1"/>
  <c r="CU75" i="52"/>
  <c r="CB46" i="52"/>
  <c r="CB107" i="52" s="1"/>
  <c r="CK46" i="52"/>
  <c r="CK107" i="52" s="1"/>
  <c r="CO46" i="52"/>
  <c r="CO107" i="52" s="1"/>
  <c r="S46" i="52"/>
  <c r="S107" i="52" s="1"/>
  <c r="CA46" i="52"/>
  <c r="CA107" i="52" s="1"/>
  <c r="BZ45" i="52"/>
  <c r="CX46" i="52"/>
  <c r="CX107" i="52" s="1"/>
  <c r="CQ46" i="52"/>
  <c r="CQ107" i="52" s="1"/>
  <c r="CR46" i="52"/>
  <c r="CR107" i="52" s="1"/>
  <c r="CP46" i="52"/>
  <c r="CP107" i="52" s="1"/>
  <c r="CI45" i="52"/>
  <c r="CW45" i="52"/>
  <c r="BY45" i="52"/>
  <c r="CJ45" i="52"/>
  <c r="BA45" i="52"/>
  <c r="BM45" i="52"/>
  <c r="W45" i="52"/>
  <c r="DC45" i="52"/>
  <c r="Q48" i="52"/>
  <c r="Q55" i="52" s="1"/>
  <c r="BN45" i="52"/>
  <c r="DB75" i="52"/>
  <c r="DD45" i="52"/>
  <c r="CV45" i="52"/>
  <c r="V45" i="52"/>
  <c r="AZ45" i="52"/>
  <c r="DA75" i="52"/>
  <c r="AA38" i="51"/>
  <c r="AA118" i="51"/>
  <c r="CC48" i="52"/>
  <c r="CC55" i="52" s="1"/>
  <c r="CU48" i="52"/>
  <c r="CU55" i="52" s="1"/>
  <c r="P107" i="52"/>
  <c r="P113" i="52" s="1"/>
  <c r="P75" i="52"/>
  <c r="CS75" i="52"/>
  <c r="D75" i="52"/>
  <c r="CS48" i="52"/>
  <c r="CS55" i="52" s="1"/>
  <c r="R48" i="52"/>
  <c r="R55" i="52" s="1"/>
  <c r="U48" i="52"/>
  <c r="U55" i="52" s="1"/>
  <c r="DB48" i="52"/>
  <c r="DB55" i="52" s="1"/>
  <c r="CT48" i="52"/>
  <c r="CT55" i="52" s="1"/>
  <c r="BW48" i="52"/>
  <c r="BW55" i="52" s="1"/>
  <c r="BS48" i="52"/>
  <c r="BS55" i="52" s="1"/>
  <c r="BT48" i="52"/>
  <c r="BT55" i="52" s="1"/>
  <c r="DA48" i="52"/>
  <c r="DA55" i="52" s="1"/>
  <c r="P48" i="52"/>
  <c r="P55" i="52" s="1"/>
  <c r="CH48" i="52"/>
  <c r="CH55" i="52" s="1"/>
  <c r="BU48" i="52"/>
  <c r="BU55" i="52" s="1"/>
  <c r="U48" i="51"/>
  <c r="CH75" i="52"/>
  <c r="X48" i="51"/>
  <c r="BW75" i="52"/>
  <c r="R48" i="51"/>
  <c r="S48" i="51"/>
  <c r="T46" i="52"/>
  <c r="T107" i="52" s="1"/>
  <c r="AB47" i="51"/>
  <c r="AB49" i="51" s="1"/>
  <c r="R75" i="52"/>
  <c r="Y48" i="51"/>
  <c r="Z47" i="51"/>
  <c r="Z49" i="51" s="1"/>
  <c r="Z61" i="51"/>
  <c r="Z168" i="51" s="1"/>
  <c r="AB61" i="51"/>
  <c r="AB168" i="51" s="1"/>
  <c r="E50" i="51"/>
  <c r="E53" i="51"/>
  <c r="CL46" i="52"/>
  <c r="CL107" i="52" s="1"/>
  <c r="N61" i="51"/>
  <c r="N168" i="51" s="1"/>
  <c r="Q61" i="51"/>
  <c r="Q168" i="51" s="1"/>
  <c r="P61" i="51"/>
  <c r="P168" i="51" s="1"/>
  <c r="O61" i="51"/>
  <c r="O168" i="51" s="1"/>
  <c r="M61" i="51"/>
  <c r="M168" i="51" s="1"/>
  <c r="L61" i="51"/>
  <c r="L168" i="51" s="1"/>
  <c r="K61" i="51"/>
  <c r="K168" i="51" s="1"/>
  <c r="J61" i="51"/>
  <c r="J168" i="51" s="1"/>
  <c r="U75" i="52"/>
  <c r="BO46" i="52"/>
  <c r="O107" i="51"/>
  <c r="T107" i="51"/>
  <c r="X107" i="51"/>
  <c r="J107" i="51"/>
  <c r="F61" i="51"/>
  <c r="F168" i="51" s="1"/>
  <c r="S107" i="51"/>
  <c r="L107" i="51"/>
  <c r="E107" i="51"/>
  <c r="G61" i="51"/>
  <c r="G168" i="51" s="1"/>
  <c r="H61" i="51"/>
  <c r="H168" i="51" s="1"/>
  <c r="I61" i="51"/>
  <c r="I168" i="51" s="1"/>
  <c r="Z107" i="51"/>
  <c r="BU75" i="52"/>
  <c r="BX46" i="52"/>
  <c r="BX107" i="52" s="1"/>
  <c r="CT75" i="52"/>
  <c r="BV75" i="52"/>
  <c r="CI48" i="52"/>
  <c r="BA48" i="52"/>
  <c r="BP46" i="52"/>
  <c r="BP107" i="52" s="1"/>
  <c r="BM48" i="52"/>
  <c r="BP96" i="52"/>
  <c r="BY113" i="52"/>
  <c r="CJ48" i="52"/>
  <c r="CJ113" i="52"/>
  <c r="W48" i="52"/>
  <c r="W113" i="52"/>
  <c r="BY48" i="52"/>
  <c r="BY55" i="52" s="1"/>
  <c r="V48" i="52"/>
  <c r="V113" i="52"/>
  <c r="DD48" i="52"/>
  <c r="DD113" i="52"/>
  <c r="CV48" i="52"/>
  <c r="AD153" i="51"/>
  <c r="AD169" i="51" s="1"/>
  <c r="BS75" i="52"/>
  <c r="BQ46" i="52"/>
  <c r="BQ107" i="52" s="1"/>
  <c r="BN48" i="52"/>
  <c r="AZ48" i="52"/>
  <c r="AZ113" i="52"/>
  <c r="BR46" i="52"/>
  <c r="BR107" i="52" s="1"/>
  <c r="BQ96" i="52"/>
  <c r="CW48" i="52"/>
  <c r="BZ48" i="52"/>
  <c r="BZ55" i="52" s="1"/>
  <c r="BZ113" i="52"/>
  <c r="BT75" i="52"/>
  <c r="BO96" i="52"/>
  <c r="DC48" i="52"/>
  <c r="DC55" i="52" s="1"/>
  <c r="Z46" i="52"/>
  <c r="Z107" i="52" s="1"/>
  <c r="Z97" i="52"/>
  <c r="C111" i="52"/>
  <c r="C113" i="52" s="1"/>
  <c r="G118" i="51"/>
  <c r="K153" i="51"/>
  <c r="F118" i="51"/>
  <c r="O38" i="51"/>
  <c r="AB38" i="51"/>
  <c r="Z38" i="51"/>
  <c r="Z159" i="51" s="1"/>
  <c r="H38" i="51"/>
  <c r="H45" i="51" s="1"/>
  <c r="H64" i="51" s="1"/>
  <c r="M38" i="51"/>
  <c r="M45" i="51" s="1"/>
  <c r="M64" i="51" s="1"/>
  <c r="K38" i="51"/>
  <c r="G38" i="51"/>
  <c r="G46" i="51" s="1"/>
  <c r="G48" i="51" s="1"/>
  <c r="E66" i="51"/>
  <c r="E161" i="51" s="1"/>
  <c r="CB110" i="52"/>
  <c r="D110" i="52"/>
  <c r="D53" i="52"/>
  <c r="D111" i="52" s="1"/>
  <c r="CQ110" i="52"/>
  <c r="CQ74" i="52"/>
  <c r="CQ79" i="52" s="1" a="1"/>
  <c r="CQ79" i="52" s="1"/>
  <c r="U168" i="51"/>
  <c r="CR96" i="52"/>
  <c r="CN96" i="52"/>
  <c r="CL96" i="52"/>
  <c r="H96" i="52"/>
  <c r="V118" i="51"/>
  <c r="AI43" i="51"/>
  <c r="AI21" i="51"/>
  <c r="G96" i="52"/>
  <c r="R118" i="51"/>
  <c r="AI17" i="51"/>
  <c r="P118" i="51"/>
  <c r="CY75" i="52"/>
  <c r="T118" i="51"/>
  <c r="AA96" i="52"/>
  <c r="W118" i="51"/>
  <c r="E96" i="52"/>
  <c r="L118" i="51"/>
  <c r="CY96" i="52"/>
  <c r="AB96" i="52"/>
  <c r="I118" i="51"/>
  <c r="AC50" i="51"/>
  <c r="AC55" i="51" s="1"/>
  <c r="AC68" i="51" s="1"/>
  <c r="CV113" i="52"/>
  <c r="AB118" i="51"/>
  <c r="Z118" i="51"/>
  <c r="N118" i="51"/>
  <c r="U118" i="51"/>
  <c r="Y118" i="51"/>
  <c r="CM96" i="52"/>
  <c r="CI113" i="52"/>
  <c r="X118" i="51"/>
  <c r="CK96" i="52"/>
  <c r="Q118" i="51"/>
  <c r="CX96" i="52"/>
  <c r="J118" i="51"/>
  <c r="BM113" i="52"/>
  <c r="K118" i="51"/>
  <c r="D74" i="52"/>
  <c r="D77" i="52" s="1"/>
  <c r="DC113" i="52"/>
  <c r="BN113" i="52"/>
  <c r="CW113" i="52"/>
  <c r="S118" i="51"/>
  <c r="BA113" i="52"/>
  <c r="AD50" i="51"/>
  <c r="AD55" i="51" s="1"/>
  <c r="J99" i="52" l="1"/>
  <c r="J38" i="52"/>
  <c r="J46" i="52" s="1"/>
  <c r="J107" i="52" s="1"/>
  <c r="BB46" i="52"/>
  <c r="BB107" i="52" s="1"/>
  <c r="DX12" i="52"/>
  <c r="F77" i="52"/>
  <c r="F79" i="52" s="1" a="1"/>
  <c r="F79" i="52" s="1"/>
  <c r="F113" i="52"/>
  <c r="F81" i="52"/>
  <c r="F55" i="52"/>
  <c r="F83" i="52"/>
  <c r="F54" i="52"/>
  <c r="Y87" i="51"/>
  <c r="Y90" i="51" s="1"/>
  <c r="Y64" i="51"/>
  <c r="Y159" i="51" s="1"/>
  <c r="M46" i="52"/>
  <c r="M107" i="52" s="1"/>
  <c r="D55" i="52"/>
  <c r="AA46" i="52"/>
  <c r="AA107" i="52" s="1"/>
  <c r="X87" i="51"/>
  <c r="X90" i="51" s="1"/>
  <c r="X64" i="51"/>
  <c r="X159" i="51" s="1"/>
  <c r="S87" i="51"/>
  <c r="S90" i="51" s="1"/>
  <c r="S64" i="51"/>
  <c r="S159" i="51" s="1"/>
  <c r="O45" i="51"/>
  <c r="O64" i="51" s="1"/>
  <c r="O159" i="51" s="1"/>
  <c r="O151" i="51"/>
  <c r="O46" i="51"/>
  <c r="O48" i="51" s="1"/>
  <c r="O53" i="51" s="1"/>
  <c r="O153" i="51" s="1"/>
  <c r="G45" i="51"/>
  <c r="G64" i="51" s="1"/>
  <c r="G159" i="51" s="1"/>
  <c r="G151" i="51"/>
  <c r="AJ75" i="52"/>
  <c r="H46" i="52"/>
  <c r="H107" i="52" s="1"/>
  <c r="BJ75" i="52"/>
  <c r="BK75" i="52"/>
  <c r="BI75" i="52"/>
  <c r="BG75" i="52"/>
  <c r="BF53" i="52"/>
  <c r="BF111" i="52" s="1"/>
  <c r="E46" i="52"/>
  <c r="E107" i="52" s="1"/>
  <c r="DO12" i="52"/>
  <c r="BH75" i="52"/>
  <c r="AH53" i="52"/>
  <c r="AH111" i="52" s="1"/>
  <c r="CZ46" i="52"/>
  <c r="CZ107" i="52" s="1"/>
  <c r="EA16" i="52" s="1"/>
  <c r="BF75" i="52"/>
  <c r="G46" i="52"/>
  <c r="G107" i="52" s="1"/>
  <c r="CM46" i="52"/>
  <c r="CM107" i="52" s="1"/>
  <c r="DX16" i="52" s="1"/>
  <c r="BD74" i="52"/>
  <c r="BD77" i="52" s="1"/>
  <c r="BD45" i="52"/>
  <c r="BD48" i="52" s="1"/>
  <c r="N107" i="52"/>
  <c r="N75" i="52"/>
  <c r="G42" i="52"/>
  <c r="BE75" i="52"/>
  <c r="J50" i="51"/>
  <c r="DR8" i="52"/>
  <c r="J106" i="52"/>
  <c r="DL23" i="52" s="1"/>
  <c r="DR13" i="52"/>
  <c r="BK51" i="52"/>
  <c r="BK110" i="52" s="1"/>
  <c r="BK53" i="52"/>
  <c r="BK111" i="52" s="1"/>
  <c r="BK74" i="52"/>
  <c r="BK77" i="52" s="1"/>
  <c r="BK45" i="52"/>
  <c r="BK48" i="52" s="1"/>
  <c r="BK55" i="52" s="1"/>
  <c r="AI51" i="52"/>
  <c r="AI110" i="52" s="1"/>
  <c r="AI53" i="52"/>
  <c r="AI111" i="52" s="1"/>
  <c r="AI74" i="52"/>
  <c r="AI77" i="52" s="1"/>
  <c r="AI45" i="52"/>
  <c r="BG51" i="52"/>
  <c r="BG110" i="52" s="1"/>
  <c r="BG74" i="52"/>
  <c r="BG77" i="52" s="1"/>
  <c r="BG45" i="52"/>
  <c r="BG48" i="52" s="1"/>
  <c r="BG53" i="52"/>
  <c r="BG111" i="52" s="1"/>
  <c r="BF51" i="52"/>
  <c r="BF110" i="52" s="1"/>
  <c r="BF74" i="52"/>
  <c r="BF77" i="52" s="1"/>
  <c r="BF45" i="52"/>
  <c r="BF48" i="52" s="1"/>
  <c r="AH51" i="52"/>
  <c r="AH110" i="52" s="1"/>
  <c r="AH74" i="52"/>
  <c r="AH77" i="52" s="1"/>
  <c r="AH45" i="52"/>
  <c r="BD51" i="52"/>
  <c r="BD110" i="52" s="1"/>
  <c r="BD53" i="52"/>
  <c r="BD111" i="52" s="1"/>
  <c r="AI46" i="52"/>
  <c r="BJ51" i="52"/>
  <c r="BJ110" i="52" s="1"/>
  <c r="BJ45" i="52"/>
  <c r="BJ48" i="52" s="1"/>
  <c r="BJ55" i="52" s="1"/>
  <c r="BJ53" i="52"/>
  <c r="BJ111" i="52" s="1"/>
  <c r="AJ51" i="52"/>
  <c r="AJ110" i="52" s="1"/>
  <c r="AJ74" i="52"/>
  <c r="AJ77" i="52" s="1"/>
  <c r="AJ53" i="52"/>
  <c r="AJ111" i="52" s="1"/>
  <c r="AJ45" i="52"/>
  <c r="AJ48" i="52" s="1"/>
  <c r="AJ55" i="52" s="1"/>
  <c r="BE51" i="52"/>
  <c r="BE110" i="52" s="1"/>
  <c r="BE74" i="52"/>
  <c r="BE77" i="52" s="1"/>
  <c r="BE45" i="52"/>
  <c r="BE48" i="52" s="1"/>
  <c r="BE55" i="52" s="1"/>
  <c r="BE53" i="52"/>
  <c r="BE111" i="52" s="1"/>
  <c r="BD107" i="52"/>
  <c r="BD75" i="52"/>
  <c r="BH51" i="52"/>
  <c r="BH110" i="52" s="1"/>
  <c r="BH74" i="52"/>
  <c r="BH77" i="52" s="1"/>
  <c r="BH45" i="52"/>
  <c r="BH48" i="52" s="1"/>
  <c r="BH55" i="52" s="1"/>
  <c r="BH53" i="52"/>
  <c r="BH111" i="52" s="1"/>
  <c r="AH46" i="52"/>
  <c r="BI51" i="52"/>
  <c r="BI110" i="52" s="1"/>
  <c r="BI53" i="52"/>
  <c r="BI111" i="52" s="1"/>
  <c r="BI74" i="52"/>
  <c r="BI77" i="52" s="1"/>
  <c r="BI45" i="52"/>
  <c r="BI48" i="52" s="1"/>
  <c r="CZ51" i="52"/>
  <c r="CZ110" i="52" s="1"/>
  <c r="CZ45" i="52"/>
  <c r="CZ74" i="52"/>
  <c r="CZ77" i="52" s="1"/>
  <c r="CZ53" i="52"/>
  <c r="CZ111" i="52" s="1"/>
  <c r="J42" i="52"/>
  <c r="J51" i="52" s="1"/>
  <c r="J110" i="52" s="1"/>
  <c r="L46" i="52"/>
  <c r="DL12" i="52"/>
  <c r="N51" i="52"/>
  <c r="N110" i="52" s="1"/>
  <c r="N74" i="52"/>
  <c r="N77" i="52" s="1"/>
  <c r="N53" i="52"/>
  <c r="N111" i="52" s="1"/>
  <c r="N45" i="52"/>
  <c r="N48" i="52" s="1"/>
  <c r="N55" i="52" s="1"/>
  <c r="O107" i="52"/>
  <c r="O75" i="52"/>
  <c r="O51" i="52"/>
  <c r="O110" i="52" s="1"/>
  <c r="O45" i="52"/>
  <c r="O48" i="52" s="1"/>
  <c r="O55" i="52" s="1"/>
  <c r="O74" i="52"/>
  <c r="O77" i="52" s="1"/>
  <c r="O53" i="52"/>
  <c r="O111" i="52" s="1"/>
  <c r="T45" i="52"/>
  <c r="T48" i="52" s="1"/>
  <c r="T55" i="52" s="1"/>
  <c r="T51" i="52"/>
  <c r="T110" i="52" s="1"/>
  <c r="AG75" i="52"/>
  <c r="CH54" i="52"/>
  <c r="CH114" i="52" s="1"/>
  <c r="BW54" i="52"/>
  <c r="BW114" i="52" s="1"/>
  <c r="CT54" i="52"/>
  <c r="CT114" i="52" s="1"/>
  <c r="CU54" i="52"/>
  <c r="CU114" i="52" s="1"/>
  <c r="BU54" i="52"/>
  <c r="BU114" i="52" s="1"/>
  <c r="DB54" i="52"/>
  <c r="DB114" i="52" s="1"/>
  <c r="Q54" i="52"/>
  <c r="Q114" i="52" s="1"/>
  <c r="P54" i="52"/>
  <c r="P114" i="52" s="1"/>
  <c r="U54" i="52"/>
  <c r="U114" i="52" s="1"/>
  <c r="CC54" i="52"/>
  <c r="CC114" i="52" s="1"/>
  <c r="DA54" i="52"/>
  <c r="DA114" i="52" s="1"/>
  <c r="R54" i="52"/>
  <c r="R114" i="52" s="1"/>
  <c r="BT54" i="52"/>
  <c r="BT114" i="52" s="1"/>
  <c r="CS54" i="52"/>
  <c r="CS114" i="52" s="1"/>
  <c r="BL54" i="52"/>
  <c r="BL114" i="52" s="1"/>
  <c r="BS54" i="52"/>
  <c r="BS114" i="52" s="1"/>
  <c r="BV54" i="52"/>
  <c r="BV114" i="52" s="1"/>
  <c r="D54" i="52"/>
  <c r="Z53" i="51"/>
  <c r="Z153" i="51" s="1"/>
  <c r="DU8" i="52"/>
  <c r="DO8" i="52"/>
  <c r="J53" i="51"/>
  <c r="H151" i="51"/>
  <c r="AC75" i="52"/>
  <c r="CB75" i="52"/>
  <c r="CX75" i="52"/>
  <c r="CO75" i="52"/>
  <c r="CN75" i="52"/>
  <c r="CK75" i="52"/>
  <c r="CP75" i="52"/>
  <c r="CA75" i="52"/>
  <c r="CA79" i="52" s="1" a="1"/>
  <c r="CA79" i="52" s="1"/>
  <c r="K75" i="52"/>
  <c r="AZ54" i="52"/>
  <c r="AZ55" i="52"/>
  <c r="AZ83" i="52" s="1"/>
  <c r="CJ54" i="52"/>
  <c r="CJ81" i="52" s="1"/>
  <c r="CJ55" i="52"/>
  <c r="CJ83" i="52" s="1"/>
  <c r="CI54" i="52"/>
  <c r="CI55" i="52"/>
  <c r="CI83" i="52" s="1"/>
  <c r="CW54" i="52"/>
  <c r="CW55" i="52"/>
  <c r="CW83" i="52" s="1"/>
  <c r="DC54" i="52"/>
  <c r="DC81" i="52" s="1"/>
  <c r="DC83" i="52"/>
  <c r="BN54" i="52"/>
  <c r="BN55" i="52"/>
  <c r="V54" i="52"/>
  <c r="V81" i="52" s="1"/>
  <c r="V55" i="52"/>
  <c r="V83" i="52" s="1"/>
  <c r="CV54" i="52"/>
  <c r="CV81" i="52" s="1"/>
  <c r="CV55" i="52"/>
  <c r="CV83" i="52" s="1"/>
  <c r="BM54" i="52"/>
  <c r="BM55" i="52"/>
  <c r="BM83" i="52" s="1"/>
  <c r="W54" i="52"/>
  <c r="W114" i="52" s="1"/>
  <c r="W55" i="52"/>
  <c r="W83" i="52" s="1"/>
  <c r="DD54" i="52"/>
  <c r="DD81" i="52" s="1"/>
  <c r="DD55" i="52"/>
  <c r="DD83" i="52" s="1"/>
  <c r="BA54" i="52"/>
  <c r="BA133" i="52" s="1"/>
  <c r="BA55" i="52"/>
  <c r="BA83" i="52" s="1"/>
  <c r="X107" i="52"/>
  <c r="CK45" i="52"/>
  <c r="CK48" i="52" s="1"/>
  <c r="CX45" i="52"/>
  <c r="CX48" i="52" s="1"/>
  <c r="CX55" i="52" s="1"/>
  <c r="BB45" i="52"/>
  <c r="BB48" i="52" s="1"/>
  <c r="CP45" i="52"/>
  <c r="CP48" i="52" s="1"/>
  <c r="BQ45" i="52"/>
  <c r="BQ48" i="52" s="1"/>
  <c r="BQ55" i="52" s="1"/>
  <c r="BP45" i="52"/>
  <c r="BP48" i="52" s="1"/>
  <c r="BP55" i="52" s="1"/>
  <c r="CY45" i="52"/>
  <c r="CY48" i="52" s="1"/>
  <c r="CY55" i="52" s="1"/>
  <c r="CM45" i="52"/>
  <c r="AF45" i="52"/>
  <c r="AF48" i="52" s="1"/>
  <c r="BR45" i="52"/>
  <c r="BR48" i="52" s="1"/>
  <c r="BR55" i="52" s="1"/>
  <c r="CO45" i="52"/>
  <c r="CO48" i="52" s="1"/>
  <c r="CL45" i="52"/>
  <c r="CL48" i="52" s="1"/>
  <c r="BO45" i="52"/>
  <c r="BO48" i="52" s="1"/>
  <c r="CQ53" i="52"/>
  <c r="CQ111" i="52" s="1"/>
  <c r="AG45" i="52"/>
  <c r="AG48" i="52" s="1"/>
  <c r="AG55" i="52" s="1"/>
  <c r="BX45" i="52"/>
  <c r="BX48" i="52" s="1"/>
  <c r="BX55" i="52" s="1"/>
  <c r="CN45" i="52"/>
  <c r="CN48" i="52" s="1"/>
  <c r="CR45" i="52"/>
  <c r="CR48" i="52" s="1"/>
  <c r="CR55" i="52" s="1"/>
  <c r="CB45" i="52"/>
  <c r="CB48" i="52" s="1"/>
  <c r="CA45" i="52"/>
  <c r="CA48" i="52" s="1"/>
  <c r="AD45" i="52"/>
  <c r="AD48" i="52" s="1"/>
  <c r="T74" i="52"/>
  <c r="T77" i="52" s="1"/>
  <c r="AA45" i="52"/>
  <c r="AC45" i="52"/>
  <c r="AC48" i="52" s="1"/>
  <c r="X45" i="52"/>
  <c r="X48" i="52" s="1"/>
  <c r="M45" i="52"/>
  <c r="AB45" i="52"/>
  <c r="AB48" i="52" s="1"/>
  <c r="L45" i="52"/>
  <c r="T53" i="52"/>
  <c r="T111" i="52" s="1"/>
  <c r="K45" i="52"/>
  <c r="K48" i="52" s="1"/>
  <c r="K55" i="52" s="1"/>
  <c r="H45" i="52"/>
  <c r="S75" i="52"/>
  <c r="AB45" i="51"/>
  <c r="AB50" i="51" s="1"/>
  <c r="E55" i="51"/>
  <c r="K45" i="51"/>
  <c r="J75" i="52"/>
  <c r="CQ75" i="52"/>
  <c r="H46" i="51"/>
  <c r="H48" i="51" s="1"/>
  <c r="H53" i="51" s="1"/>
  <c r="H153" i="51" s="1"/>
  <c r="Z45" i="51"/>
  <c r="Z66" i="51" s="1"/>
  <c r="Z161" i="51" s="1"/>
  <c r="AA45" i="51"/>
  <c r="AA66" i="51" s="1"/>
  <c r="AA161" i="51" s="1"/>
  <c r="C48" i="51"/>
  <c r="C66" i="51" s="1"/>
  <c r="G69" i="51"/>
  <c r="CR75" i="52"/>
  <c r="CA74" i="52"/>
  <c r="CA77" i="52" s="1"/>
  <c r="CA53" i="52"/>
  <c r="CA111" i="52" s="1"/>
  <c r="CQ45" i="52"/>
  <c r="CQ48" i="52" s="1"/>
  <c r="CQ55" i="52" s="1"/>
  <c r="AF75" i="52"/>
  <c r="S53" i="52"/>
  <c r="S111" i="52" s="1"/>
  <c r="S45" i="52"/>
  <c r="S48" i="52" s="1"/>
  <c r="S55" i="52" s="1"/>
  <c r="S74" i="52"/>
  <c r="S77" i="52" s="1"/>
  <c r="M74" i="52"/>
  <c r="M77" i="52" s="1"/>
  <c r="M53" i="52"/>
  <c r="M111" i="52" s="1"/>
  <c r="AB75" i="52"/>
  <c r="CB53" i="52"/>
  <c r="CB111" i="52" s="1"/>
  <c r="BO75" i="52"/>
  <c r="BO107" i="52"/>
  <c r="AD75" i="52"/>
  <c r="Z53" i="52"/>
  <c r="Z111" i="52" s="1"/>
  <c r="Z45" i="52"/>
  <c r="Z48" i="52" s="1"/>
  <c r="T50" i="51"/>
  <c r="T53" i="51"/>
  <c r="W50" i="51"/>
  <c r="W53" i="51"/>
  <c r="DU16" i="52"/>
  <c r="BX110" i="52"/>
  <c r="U50" i="51"/>
  <c r="U53" i="51"/>
  <c r="CL75" i="52"/>
  <c r="P53" i="51"/>
  <c r="P50" i="51"/>
  <c r="Q50" i="51"/>
  <c r="Q53" i="51"/>
  <c r="T75" i="52"/>
  <c r="L50" i="51"/>
  <c r="S50" i="51"/>
  <c r="S53" i="51"/>
  <c r="R53" i="51"/>
  <c r="R50" i="51"/>
  <c r="X50" i="51"/>
  <c r="X53" i="51"/>
  <c r="CB74" i="52"/>
  <c r="CB77" i="52" s="1"/>
  <c r="N50" i="51"/>
  <c r="I53" i="51"/>
  <c r="I50" i="51"/>
  <c r="G53" i="51"/>
  <c r="M53" i="51"/>
  <c r="M153" i="51" s="1"/>
  <c r="M50" i="51"/>
  <c r="CA110" i="52"/>
  <c r="DU19" i="52" s="1"/>
  <c r="AB53" i="51"/>
  <c r="AB153" i="51" s="1"/>
  <c r="Y50" i="51"/>
  <c r="Y53" i="51"/>
  <c r="AA159" i="51"/>
  <c r="AB159" i="51"/>
  <c r="BX75" i="52"/>
  <c r="C114" i="52"/>
  <c r="BX74" i="52"/>
  <c r="Q107" i="51"/>
  <c r="U107" i="51"/>
  <c r="R107" i="51"/>
  <c r="M107" i="51"/>
  <c r="Y107" i="51"/>
  <c r="P107" i="51"/>
  <c r="N107" i="51"/>
  <c r="W107" i="51"/>
  <c r="G107" i="51"/>
  <c r="V107" i="51"/>
  <c r="BX53" i="52"/>
  <c r="BX111" i="52" s="1"/>
  <c r="K88" i="51"/>
  <c r="Z75" i="52"/>
  <c r="CR53" i="52"/>
  <c r="CR111" i="52" s="1"/>
  <c r="BQ75" i="52"/>
  <c r="X53" i="52"/>
  <c r="X111" i="52" s="1"/>
  <c r="CP53" i="52"/>
  <c r="CP111" i="52" s="1"/>
  <c r="BR110" i="52"/>
  <c r="BR74" i="52"/>
  <c r="BR53" i="52"/>
  <c r="BR111" i="52" s="1"/>
  <c r="CO53" i="52"/>
  <c r="CO111" i="52" s="1"/>
  <c r="ED8" i="52"/>
  <c r="CQ68" i="52"/>
  <c r="BP74" i="52"/>
  <c r="BP53" i="52"/>
  <c r="BP111" i="52" s="1"/>
  <c r="BP110" i="52"/>
  <c r="BP75" i="52"/>
  <c r="BO74" i="52"/>
  <c r="BO77" i="52" s="1"/>
  <c r="BO53" i="52"/>
  <c r="BO111" i="52" s="1"/>
  <c r="BO110" i="52"/>
  <c r="BZ83" i="52"/>
  <c r="BZ54" i="52"/>
  <c r="BQ74" i="52"/>
  <c r="BQ53" i="52"/>
  <c r="BQ111" i="52" s="1"/>
  <c r="BQ110" i="52"/>
  <c r="CK53" i="52"/>
  <c r="CK111" i="52" s="1"/>
  <c r="CL53" i="52"/>
  <c r="CL111" i="52" s="1"/>
  <c r="BY54" i="52"/>
  <c r="BY83" i="52"/>
  <c r="AC53" i="52"/>
  <c r="AC111" i="52" s="1"/>
  <c r="H53" i="52"/>
  <c r="H111" i="52" s="1"/>
  <c r="AG53" i="52"/>
  <c r="AG111" i="52" s="1"/>
  <c r="CN53" i="52"/>
  <c r="CN111" i="52" s="1"/>
  <c r="K53" i="52"/>
  <c r="K111" i="52" s="1"/>
  <c r="BR75" i="52"/>
  <c r="Z74" i="52"/>
  <c r="Z77" i="52" s="1"/>
  <c r="K74" i="52"/>
  <c r="CX53" i="52"/>
  <c r="CX111" i="52" s="1"/>
  <c r="CX110" i="52"/>
  <c r="AD67" i="51"/>
  <c r="AD171" i="51" s="1"/>
  <c r="L153" i="51"/>
  <c r="N153" i="51"/>
  <c r="P66" i="51"/>
  <c r="P161" i="51" s="1"/>
  <c r="T66" i="51"/>
  <c r="T161" i="51" s="1"/>
  <c r="D113" i="52"/>
  <c r="R66" i="51"/>
  <c r="R161" i="51" s="1"/>
  <c r="W66" i="51"/>
  <c r="W161" i="51" s="1"/>
  <c r="CM110" i="52"/>
  <c r="CM53" i="52"/>
  <c r="CM111" i="52" s="1"/>
  <c r="X66" i="51"/>
  <c r="X161" i="51" s="1"/>
  <c r="J66" i="51"/>
  <c r="J161" i="51" s="1"/>
  <c r="CY110" i="52"/>
  <c r="CY53" i="52"/>
  <c r="CY111" i="52" s="1"/>
  <c r="I66" i="51"/>
  <c r="I161" i="51" s="1"/>
  <c r="AD53" i="52"/>
  <c r="AD111" i="52" s="1"/>
  <c r="AB110" i="52"/>
  <c r="AB53" i="52"/>
  <c r="AB111" i="52" s="1"/>
  <c r="L66" i="51"/>
  <c r="L161" i="51" s="1"/>
  <c r="M66" i="51"/>
  <c r="M161" i="51" s="1"/>
  <c r="BB110" i="52"/>
  <c r="BB53" i="52"/>
  <c r="BB111" i="52" s="1"/>
  <c r="S66" i="51"/>
  <c r="S161" i="51" s="1"/>
  <c r="U159" i="51"/>
  <c r="U66" i="51"/>
  <c r="U161" i="51" s="1"/>
  <c r="L110" i="52"/>
  <c r="L53" i="52"/>
  <c r="L111" i="52" s="1"/>
  <c r="AF53" i="52"/>
  <c r="AF111" i="52" s="1"/>
  <c r="Y66" i="51"/>
  <c r="Y161" i="51" s="1"/>
  <c r="Q87" i="51"/>
  <c r="Q90" i="51" s="1"/>
  <c r="Q66" i="51"/>
  <c r="Q161" i="51" s="1"/>
  <c r="AA110" i="52"/>
  <c r="AA53" i="52"/>
  <c r="AA111" i="52" s="1"/>
  <c r="N66" i="51"/>
  <c r="N161" i="51" s="1"/>
  <c r="L74" i="52"/>
  <c r="CL74" i="52"/>
  <c r="CL77" i="52" s="1"/>
  <c r="CN74" i="52"/>
  <c r="CN110" i="52"/>
  <c r="CR110" i="52"/>
  <c r="CR74" i="52"/>
  <c r="CP110" i="52"/>
  <c r="CP74" i="52"/>
  <c r="BB74" i="52"/>
  <c r="BB77" i="52" s="1"/>
  <c r="AF74" i="52"/>
  <c r="AF77" i="52" s="1"/>
  <c r="AD74" i="52"/>
  <c r="AD77" i="52" s="1"/>
  <c r="W159" i="51"/>
  <c r="T159" i="51"/>
  <c r="Q159" i="51"/>
  <c r="H110" i="52"/>
  <c r="H74" i="52"/>
  <c r="P159" i="51"/>
  <c r="N159" i="51"/>
  <c r="CO110" i="52"/>
  <c r="CO74" i="52"/>
  <c r="CO77" i="52" s="1"/>
  <c r="R159" i="51"/>
  <c r="L159" i="51"/>
  <c r="I159" i="51"/>
  <c r="N87" i="51"/>
  <c r="N90" i="51" s="1"/>
  <c r="X110" i="52"/>
  <c r="AC110" i="52"/>
  <c r="AC74" i="52"/>
  <c r="AC77" i="52" s="1"/>
  <c r="J159" i="51"/>
  <c r="M159" i="51"/>
  <c r="AG110" i="52"/>
  <c r="AG74" i="52"/>
  <c r="AG77" i="52" s="1"/>
  <c r="I87" i="51"/>
  <c r="I90" i="51" s="1"/>
  <c r="CK110" i="52"/>
  <c r="AC67" i="51"/>
  <c r="AC96" i="51"/>
  <c r="BN83" i="52"/>
  <c r="X74" i="52"/>
  <c r="X77" i="52" s="1"/>
  <c r="W87" i="51"/>
  <c r="P87" i="51"/>
  <c r="P90" i="51" s="1"/>
  <c r="L87" i="51"/>
  <c r="L90" i="51" s="1"/>
  <c r="CK74" i="52"/>
  <c r="M87" i="51"/>
  <c r="M90" i="51" s="1"/>
  <c r="DX8" i="52"/>
  <c r="T87" i="51"/>
  <c r="H87" i="51"/>
  <c r="H90" i="51" s="1"/>
  <c r="AI20" i="51"/>
  <c r="U87" i="51"/>
  <c r="U90" i="51" s="1"/>
  <c r="DL15" i="52"/>
  <c r="J87" i="51"/>
  <c r="J90" i="51" s="1"/>
  <c r="CX74" i="52"/>
  <c r="CX77" i="52" s="1"/>
  <c r="AB74" i="52"/>
  <c r="AB77" i="52" s="1"/>
  <c r="AA74" i="52"/>
  <c r="R87" i="51"/>
  <c r="R90" i="51" s="1"/>
  <c r="EA8" i="52"/>
  <c r="CM74" i="52"/>
  <c r="DO15" i="52"/>
  <c r="CY74" i="52"/>
  <c r="CY77" i="52" s="1"/>
  <c r="M48" i="52" l="1"/>
  <c r="M55" i="52" s="1"/>
  <c r="BB75" i="52"/>
  <c r="DR17" i="52"/>
  <c r="O87" i="51"/>
  <c r="O90" i="51" s="1"/>
  <c r="O66" i="51"/>
  <c r="O161" i="51" s="1"/>
  <c r="E96" i="51"/>
  <c r="E68" i="51"/>
  <c r="E67" i="51"/>
  <c r="E94" i="51"/>
  <c r="F114" i="52"/>
  <c r="M113" i="52"/>
  <c r="M75" i="52"/>
  <c r="AA75" i="52"/>
  <c r="AA48" i="52"/>
  <c r="AA55" i="52" s="1"/>
  <c r="CB81" i="52"/>
  <c r="CJ84" i="52" s="1"/>
  <c r="CB83" i="52"/>
  <c r="AZ114" i="52"/>
  <c r="AZ133" i="52"/>
  <c r="Q123" i="36" s="1"/>
  <c r="G50" i="51"/>
  <c r="G87" i="51"/>
  <c r="G90" i="51" s="1"/>
  <c r="BO55" i="52"/>
  <c r="X55" i="52"/>
  <c r="X81" i="52"/>
  <c r="AF83" i="52"/>
  <c r="AF55" i="52"/>
  <c r="AF81" i="52"/>
  <c r="CK83" i="52"/>
  <c r="CK55" i="52"/>
  <c r="CK81" i="52"/>
  <c r="AC81" i="52"/>
  <c r="AC55" i="52"/>
  <c r="AC83" i="52"/>
  <c r="AD55" i="52"/>
  <c r="AD81" i="52"/>
  <c r="AD83" i="52"/>
  <c r="Z83" i="52"/>
  <c r="Z55" i="52"/>
  <c r="CA55" i="52"/>
  <c r="CL83" i="52"/>
  <c r="CL81" i="52"/>
  <c r="CL55" i="52"/>
  <c r="CP83" i="52"/>
  <c r="CP55" i="52"/>
  <c r="AA81" i="52"/>
  <c r="AB83" i="52"/>
  <c r="AB55" i="52"/>
  <c r="CB55" i="52"/>
  <c r="CO83" i="52"/>
  <c r="CO81" i="52"/>
  <c r="CO55" i="52"/>
  <c r="BB83" i="52"/>
  <c r="BB81" i="52"/>
  <c r="BB55" i="52"/>
  <c r="CN81" i="52"/>
  <c r="CN55" i="52"/>
  <c r="CN83" i="52"/>
  <c r="BI55" i="52"/>
  <c r="BG55" i="52"/>
  <c r="BD55" i="52"/>
  <c r="BF55" i="52"/>
  <c r="CN77" i="52"/>
  <c r="CN79" i="52" s="1" a="1"/>
  <c r="CN79" i="52" s="1"/>
  <c r="H48" i="52"/>
  <c r="H54" i="52" s="1"/>
  <c r="G75" i="52"/>
  <c r="BI54" i="52"/>
  <c r="H77" i="52"/>
  <c r="H75" i="52"/>
  <c r="G51" i="52"/>
  <c r="G53" i="52"/>
  <c r="T90" i="51"/>
  <c r="O50" i="51"/>
  <c r="O55" i="51" s="1"/>
  <c r="E75" i="52"/>
  <c r="AA169" i="51"/>
  <c r="BE113" i="52"/>
  <c r="BF113" i="52"/>
  <c r="CM48" i="52"/>
  <c r="CM54" i="52" s="1"/>
  <c r="CM68" i="52" s="1"/>
  <c r="CZ48" i="52"/>
  <c r="CZ55" i="52" s="1"/>
  <c r="CM75" i="52"/>
  <c r="BJ54" i="52"/>
  <c r="DR21" i="52"/>
  <c r="BH54" i="52"/>
  <c r="Z169" i="51"/>
  <c r="CZ75" i="52"/>
  <c r="K79" i="52" a="1"/>
  <c r="K79" i="52" s="1"/>
  <c r="K77" i="52"/>
  <c r="Z88" i="51"/>
  <c r="Z92" i="51" s="1" a="1"/>
  <c r="Z92" i="51" s="1"/>
  <c r="L79" i="52" a="1"/>
  <c r="L79" i="52" s="1"/>
  <c r="L77" i="52"/>
  <c r="L48" i="52"/>
  <c r="L55" i="52" s="1"/>
  <c r="BF54" i="52"/>
  <c r="BD54" i="52"/>
  <c r="CM77" i="52"/>
  <c r="DR20" i="52"/>
  <c r="O54" i="52"/>
  <c r="AA77" i="52"/>
  <c r="AA79" i="52" s="1" a="1"/>
  <c r="AA79" i="52" s="1"/>
  <c r="CK77" i="52"/>
  <c r="CK79" i="52" s="1" a="1"/>
  <c r="CK79" i="52" s="1"/>
  <c r="N169" i="51"/>
  <c r="BK54" i="52"/>
  <c r="AJ54" i="52"/>
  <c r="AJ133" i="52" s="1"/>
  <c r="BG54" i="52"/>
  <c r="CZ54" i="52"/>
  <c r="BE54" i="52"/>
  <c r="BI113" i="52"/>
  <c r="J74" i="52"/>
  <c r="J53" i="52"/>
  <c r="J111" i="52" s="1"/>
  <c r="J113" i="52" s="1"/>
  <c r="J45" i="52"/>
  <c r="J48" i="52" s="1"/>
  <c r="AH107" i="52"/>
  <c r="AH113" i="52" s="1"/>
  <c r="AH75" i="52"/>
  <c r="AI48" i="52"/>
  <c r="AI55" i="52" s="1"/>
  <c r="BJ113" i="52"/>
  <c r="CZ113" i="52"/>
  <c r="AI107" i="52"/>
  <c r="AI113" i="52" s="1"/>
  <c r="AI75" i="52"/>
  <c r="BH113" i="52"/>
  <c r="BD113" i="52"/>
  <c r="BD114" i="52" s="1"/>
  <c r="AJ113" i="52"/>
  <c r="AH48" i="52"/>
  <c r="AH55" i="52" s="1"/>
  <c r="BG113" i="52"/>
  <c r="BK113" i="52"/>
  <c r="N54" i="52"/>
  <c r="L107" i="52"/>
  <c r="DL24" i="52" s="1"/>
  <c r="L75" i="52"/>
  <c r="O113" i="52"/>
  <c r="N113" i="52"/>
  <c r="M169" i="51"/>
  <c r="L169" i="51"/>
  <c r="O169" i="51"/>
  <c r="K50" i="51"/>
  <c r="K55" i="51" s="1"/>
  <c r="K64" i="51"/>
  <c r="K159" i="51" s="1"/>
  <c r="Z54" i="52"/>
  <c r="Z133" i="52" s="1"/>
  <c r="AC54" i="52"/>
  <c r="AC133" i="52" s="1"/>
  <c r="CY54" i="52"/>
  <c r="K54" i="52"/>
  <c r="CB54" i="52"/>
  <c r="AG54" i="52"/>
  <c r="AG133" i="52" s="1"/>
  <c r="CO54" i="52"/>
  <c r="CO68" i="52" s="1"/>
  <c r="CX54" i="52"/>
  <c r="T54" i="52"/>
  <c r="BP54" i="52"/>
  <c r="AD54" i="52"/>
  <c r="AD133" i="52" s="1"/>
  <c r="BR54" i="52"/>
  <c r="CK54" i="52"/>
  <c r="AC94" i="51"/>
  <c r="AC171" i="51"/>
  <c r="CR54" i="52"/>
  <c r="BQ54" i="52"/>
  <c r="AB54" i="52"/>
  <c r="AB133" i="52" s="1"/>
  <c r="CN54" i="52"/>
  <c r="BO54" i="52"/>
  <c r="AF54" i="52"/>
  <c r="AF133" i="52" s="1"/>
  <c r="CP54" i="52"/>
  <c r="M54" i="52"/>
  <c r="M114" i="52" s="1"/>
  <c r="CQ54" i="52"/>
  <c r="X54" i="52"/>
  <c r="X133" i="52" s="1"/>
  <c r="CA54" i="52"/>
  <c r="BX54" i="52"/>
  <c r="CL54" i="52"/>
  <c r="BB54" i="52"/>
  <c r="S54" i="52"/>
  <c r="AB87" i="51"/>
  <c r="AB66" i="51"/>
  <c r="AB161" i="51" s="1"/>
  <c r="AB169" i="51" s="1"/>
  <c r="Y88" i="51"/>
  <c r="Y92" i="51" s="1" a="1"/>
  <c r="Y92" i="51" s="1"/>
  <c r="S113" i="52"/>
  <c r="K113" i="52"/>
  <c r="J55" i="51"/>
  <c r="T113" i="52"/>
  <c r="CQ113" i="52"/>
  <c r="CL79" i="52" a="1"/>
  <c r="CL79" i="52" s="1"/>
  <c r="CA83" i="52"/>
  <c r="J153" i="51"/>
  <c r="J169" i="51" s="1"/>
  <c r="J88" i="51"/>
  <c r="J92" i="51" s="1" a="1"/>
  <c r="J92" i="51" s="1"/>
  <c r="I153" i="51"/>
  <c r="I169" i="51" s="1"/>
  <c r="K66" i="51"/>
  <c r="K161" i="51" s="1"/>
  <c r="K87" i="51"/>
  <c r="H159" i="51"/>
  <c r="CX113" i="52"/>
  <c r="CN113" i="52"/>
  <c r="CP113" i="52"/>
  <c r="Z87" i="51"/>
  <c r="Z50" i="51"/>
  <c r="Z55" i="51" s="1"/>
  <c r="R153" i="51"/>
  <c r="R169" i="51" s="1"/>
  <c r="S153" i="51"/>
  <c r="S169" i="51" s="1"/>
  <c r="P153" i="51"/>
  <c r="P169" i="51" s="1"/>
  <c r="U153" i="51"/>
  <c r="U169" i="51" s="1"/>
  <c r="W153" i="51"/>
  <c r="W169" i="51" s="1"/>
  <c r="X153" i="51"/>
  <c r="X169" i="51" s="1"/>
  <c r="T153" i="51"/>
  <c r="T169" i="51" s="1"/>
  <c r="Q153" i="51"/>
  <c r="Q169" i="51" s="1"/>
  <c r="Y153" i="51"/>
  <c r="Y169" i="51" s="1"/>
  <c r="CO113" i="52"/>
  <c r="H50" i="51"/>
  <c r="H55" i="51" s="1"/>
  <c r="DU20" i="52"/>
  <c r="C161" i="51"/>
  <c r="C53" i="51"/>
  <c r="C50" i="51"/>
  <c r="AA50" i="51"/>
  <c r="AA55" i="51" s="1"/>
  <c r="S88" i="51"/>
  <c r="S92" i="51" s="1" a="1"/>
  <c r="S92" i="51" s="1"/>
  <c r="CR113" i="52"/>
  <c r="AB88" i="51"/>
  <c r="CB113" i="52"/>
  <c r="BX113" i="52"/>
  <c r="AB55" i="51"/>
  <c r="AC113" i="52"/>
  <c r="CA113" i="52"/>
  <c r="Z110" i="52"/>
  <c r="Z113" i="52" s="1"/>
  <c r="J82" i="51"/>
  <c r="CL110" i="52"/>
  <c r="DX19" i="52" s="1"/>
  <c r="AD79" i="52" a="1"/>
  <c r="AD79" i="52" s="1"/>
  <c r="CK113" i="52"/>
  <c r="AB79" i="52" a="1"/>
  <c r="AB79" i="52" s="1"/>
  <c r="P88" i="51"/>
  <c r="P92" i="51" s="1" a="1"/>
  <c r="P92" i="51" s="1"/>
  <c r="O88" i="51"/>
  <c r="AG113" i="52"/>
  <c r="BO113" i="52"/>
  <c r="DX20" i="52"/>
  <c r="AE106" i="51"/>
  <c r="F107" i="51"/>
  <c r="AE105" i="51"/>
  <c r="I107" i="51"/>
  <c r="BR113" i="52"/>
  <c r="H107" i="51"/>
  <c r="BQ113" i="52"/>
  <c r="ED17" i="52"/>
  <c r="N88" i="51"/>
  <c r="N92" i="51" s="1" a="1"/>
  <c r="N92" i="51" s="1"/>
  <c r="T55" i="51"/>
  <c r="I88" i="51"/>
  <c r="I92" i="51" s="1" a="1"/>
  <c r="I92" i="51" s="1"/>
  <c r="W55" i="51"/>
  <c r="BZ81" i="52"/>
  <c r="BZ114" i="52"/>
  <c r="BP113" i="52"/>
  <c r="ED20" i="52"/>
  <c r="Q55" i="51"/>
  <c r="P55" i="51"/>
  <c r="ED21" i="52"/>
  <c r="CK68" i="52"/>
  <c r="BY114" i="52"/>
  <c r="BY81" i="52"/>
  <c r="EA21" i="52"/>
  <c r="EA19" i="52"/>
  <c r="EA20" i="52"/>
  <c r="E88" i="51"/>
  <c r="E92" i="51" s="1" a="1"/>
  <c r="E92" i="51" s="1"/>
  <c r="E153" i="51"/>
  <c r="E169" i="51" s="1"/>
  <c r="T88" i="51"/>
  <c r="T92" i="51" s="1" a="1"/>
  <c r="T92" i="51" s="1"/>
  <c r="M55" i="51"/>
  <c r="L55" i="51"/>
  <c r="N55" i="51"/>
  <c r="U55" i="51"/>
  <c r="I55" i="51"/>
  <c r="R55" i="51"/>
  <c r="X55" i="51"/>
  <c r="S55" i="51"/>
  <c r="Y55" i="51"/>
  <c r="R88" i="51"/>
  <c r="R92" i="51" s="1" a="1"/>
  <c r="R92" i="51" s="1"/>
  <c r="X88" i="51"/>
  <c r="X92" i="51" s="1" a="1"/>
  <c r="X92" i="51" s="1"/>
  <c r="U88" i="51"/>
  <c r="U92" i="51" s="1" a="1"/>
  <c r="U92" i="51" s="1"/>
  <c r="L88" i="51"/>
  <c r="L92" i="51" s="1" a="1"/>
  <c r="L92" i="51" s="1"/>
  <c r="W88" i="51"/>
  <c r="AD94" i="51"/>
  <c r="Q88" i="51"/>
  <c r="Q92" i="51" s="1" a="1"/>
  <c r="Q92" i="51" s="1"/>
  <c r="M88" i="51"/>
  <c r="M92" i="51" s="1" a="1"/>
  <c r="M92" i="51" s="1"/>
  <c r="CY113" i="52"/>
  <c r="D114" i="52"/>
  <c r="AB113" i="52"/>
  <c r="AA113" i="52"/>
  <c r="BB113" i="52"/>
  <c r="DO28" i="52"/>
  <c r="H66" i="51"/>
  <c r="H161" i="51" s="1"/>
  <c r="G66" i="51"/>
  <c r="G161" i="51" s="1"/>
  <c r="W92" i="51" a="1"/>
  <c r="W92" i="51" s="1"/>
  <c r="O92" i="51" a="1"/>
  <c r="O92" i="51" s="1"/>
  <c r="BB79" i="52" a="1"/>
  <c r="BB79" i="52" s="1"/>
  <c r="AF110" i="52"/>
  <c r="AF113" i="52" s="1"/>
  <c r="AF79" i="52" a="1"/>
  <c r="AF79" i="52" s="1"/>
  <c r="X113" i="52"/>
  <c r="AD110" i="52"/>
  <c r="AD113" i="52" s="1"/>
  <c r="DD114" i="52"/>
  <c r="AZ81" i="52"/>
  <c r="AG79" i="52" a="1"/>
  <c r="AG79" i="52" s="1"/>
  <c r="CO79" i="52" a="1"/>
  <c r="CO79" i="52" s="1"/>
  <c r="H113" i="52"/>
  <c r="AC79" i="52" a="1"/>
  <c r="AC79" i="52" s="1"/>
  <c r="CJ114" i="52"/>
  <c r="CM113" i="52"/>
  <c r="V114" i="52"/>
  <c r="W81" i="52"/>
  <c r="DL30" i="52" s="1"/>
  <c r="H88" i="51"/>
  <c r="H92" i="51" s="1" a="1"/>
  <c r="H92" i="51" s="1"/>
  <c r="CV114" i="52"/>
  <c r="DC114" i="52"/>
  <c r="X79" i="52" a="1"/>
  <c r="X79" i="52" s="1"/>
  <c r="BM81" i="52"/>
  <c r="BM114" i="52"/>
  <c r="BN114" i="52"/>
  <c r="BN81" i="52"/>
  <c r="CI114" i="52"/>
  <c r="CI81" i="52"/>
  <c r="DU21" i="52" s="1"/>
  <c r="BA81" i="52"/>
  <c r="BA114" i="52"/>
  <c r="CW114" i="52"/>
  <c r="CW81" i="52"/>
  <c r="DX21" i="52" s="1"/>
  <c r="AA54" i="52" l="1"/>
  <c r="AA133" i="52" s="1"/>
  <c r="Q119" i="36"/>
  <c r="Z68" i="51"/>
  <c r="Z67" i="51"/>
  <c r="AB68" i="51"/>
  <c r="AB67" i="51"/>
  <c r="AB171" i="51" s="1"/>
  <c r="AA68" i="51"/>
  <c r="AA67" i="51"/>
  <c r="CM79" i="52" a="1"/>
  <c r="CM79" i="52" s="1"/>
  <c r="M68" i="51"/>
  <c r="M67" i="51"/>
  <c r="Q67" i="51"/>
  <c r="Q68" i="51"/>
  <c r="Q96" i="51"/>
  <c r="Q94" i="51"/>
  <c r="I68" i="51"/>
  <c r="I96" i="51"/>
  <c r="I94" i="51"/>
  <c r="I67" i="51"/>
  <c r="I171" i="51" s="1"/>
  <c r="H67" i="51"/>
  <c r="H68" i="51"/>
  <c r="H96" i="51"/>
  <c r="H94" i="51"/>
  <c r="K96" i="51"/>
  <c r="K94" i="51"/>
  <c r="K67" i="51"/>
  <c r="K154" i="51" s="1"/>
  <c r="AG154" i="51" s="1"/>
  <c r="K68" i="51"/>
  <c r="J67" i="51"/>
  <c r="J96" i="51"/>
  <c r="J68" i="51"/>
  <c r="J94" i="51"/>
  <c r="L94" i="51"/>
  <c r="L68" i="51"/>
  <c r="L67" i="51"/>
  <c r="L171" i="51" s="1"/>
  <c r="L96" i="51"/>
  <c r="O94" i="51"/>
  <c r="O67" i="51"/>
  <c r="O171" i="51" s="1"/>
  <c r="O68" i="51"/>
  <c r="O96" i="51"/>
  <c r="N96" i="51"/>
  <c r="N68" i="51"/>
  <c r="N67" i="51"/>
  <c r="N171" i="51" s="1"/>
  <c r="N94" i="51"/>
  <c r="P94" i="51"/>
  <c r="P67" i="51"/>
  <c r="P171" i="51" s="1"/>
  <c r="P96" i="51"/>
  <c r="P68" i="51"/>
  <c r="T94" i="51"/>
  <c r="T68" i="51"/>
  <c r="T67" i="51"/>
  <c r="T171" i="51" s="1"/>
  <c r="T96" i="51"/>
  <c r="U68" i="51"/>
  <c r="U67" i="51"/>
  <c r="U171" i="51" s="1"/>
  <c r="U96" i="51"/>
  <c r="U94" i="51"/>
  <c r="R96" i="51"/>
  <c r="R94" i="51"/>
  <c r="R68" i="51"/>
  <c r="R67" i="51"/>
  <c r="S96" i="51"/>
  <c r="S94" i="51"/>
  <c r="S68" i="51"/>
  <c r="S67" i="51"/>
  <c r="S171" i="51" s="1"/>
  <c r="W96" i="51"/>
  <c r="W68" i="51"/>
  <c r="W67" i="51"/>
  <c r="W171" i="51" s="1"/>
  <c r="X67" i="51"/>
  <c r="X171" i="51" s="1"/>
  <c r="X94" i="51"/>
  <c r="X68" i="51"/>
  <c r="X96" i="51"/>
  <c r="Y68" i="51"/>
  <c r="Y67" i="51"/>
  <c r="Y171" i="51" s="1"/>
  <c r="CM83" i="52"/>
  <c r="CM81" i="52"/>
  <c r="CM55" i="52"/>
  <c r="G46" i="5" s="1"/>
  <c r="J81" i="52"/>
  <c r="J83" i="52"/>
  <c r="BJ114" i="52"/>
  <c r="O114" i="52"/>
  <c r="BI114" i="52"/>
  <c r="BF114" i="52"/>
  <c r="H81" i="52"/>
  <c r="H55" i="52"/>
  <c r="M96" i="51"/>
  <c r="M94" i="51"/>
  <c r="CZ114" i="52"/>
  <c r="H79" i="52" a="1"/>
  <c r="H79" i="52" s="1"/>
  <c r="L54" i="52"/>
  <c r="J77" i="52"/>
  <c r="J79" i="52" s="1" a="1"/>
  <c r="J79" i="52" s="1"/>
  <c r="BH114" i="52"/>
  <c r="BN56" i="52"/>
  <c r="BK114" i="52"/>
  <c r="BE114" i="52"/>
  <c r="L113" i="52"/>
  <c r="AJ114" i="52"/>
  <c r="BN57" i="52"/>
  <c r="E171" i="51"/>
  <c r="K92" i="51" a="1"/>
  <c r="K92" i="51" s="1"/>
  <c r="K90" i="51"/>
  <c r="BG114" i="52"/>
  <c r="N114" i="52"/>
  <c r="AI54" i="52"/>
  <c r="DO24" i="52"/>
  <c r="BA57" i="52"/>
  <c r="AH54" i="52"/>
  <c r="AH133" i="52" s="1"/>
  <c r="K114" i="52"/>
  <c r="CJ85" i="52"/>
  <c r="E119" i="5" s="1"/>
  <c r="S114" i="52"/>
  <c r="J54" i="52"/>
  <c r="J114" i="52" s="1"/>
  <c r="K169" i="51"/>
  <c r="H169" i="51"/>
  <c r="Z171" i="51"/>
  <c r="AA171" i="51"/>
  <c r="R171" i="51"/>
  <c r="Q171" i="51"/>
  <c r="M171" i="51"/>
  <c r="J171" i="51"/>
  <c r="CX114" i="52"/>
  <c r="T114" i="52"/>
  <c r="CQ114" i="52"/>
  <c r="CJ57" i="52"/>
  <c r="CA114" i="52"/>
  <c r="CO114" i="52"/>
  <c r="CB114" i="52"/>
  <c r="C153" i="51"/>
  <c r="C169" i="51" s="1"/>
  <c r="C55" i="51"/>
  <c r="C88" i="51"/>
  <c r="C92" i="51" s="1" a="1"/>
  <c r="C92" i="51" s="1"/>
  <c r="CP114" i="52"/>
  <c r="AC114" i="52"/>
  <c r="BX114" i="52"/>
  <c r="CJ56" i="52"/>
  <c r="F61" i="5" s="1"/>
  <c r="H61" i="5" s="1"/>
  <c r="Z114" i="52"/>
  <c r="BR114" i="52"/>
  <c r="CL113" i="52"/>
  <c r="CL114" i="52" s="1"/>
  <c r="ED22" i="52"/>
  <c r="ED25" i="52" s="1"/>
  <c r="BQ114" i="52"/>
  <c r="AG114" i="52"/>
  <c r="AE107" i="51"/>
  <c r="F64" i="32" s="1"/>
  <c r="G55" i="51"/>
  <c r="G153" i="51"/>
  <c r="G169" i="51" s="1"/>
  <c r="BP114" i="52"/>
  <c r="BZ57" i="52"/>
  <c r="BZ56" i="52"/>
  <c r="BO114" i="52"/>
  <c r="CY114" i="52"/>
  <c r="G88" i="51"/>
  <c r="G92" i="51" s="1" a="1"/>
  <c r="G92" i="51" s="1"/>
  <c r="DO30" i="52"/>
  <c r="AB114" i="52"/>
  <c r="DR22" i="52"/>
  <c r="CL68" i="52"/>
  <c r="BB114" i="52"/>
  <c r="AF114" i="52"/>
  <c r="BA85" i="52"/>
  <c r="E120" i="5" s="1"/>
  <c r="BN85" i="52"/>
  <c r="BA84" i="52"/>
  <c r="DO31" i="52" s="1"/>
  <c r="BN84" i="52"/>
  <c r="X114" i="52"/>
  <c r="CR114" i="52"/>
  <c r="CR68" i="52"/>
  <c r="AD114" i="52"/>
  <c r="CN114" i="52"/>
  <c r="CN68" i="52"/>
  <c r="DO27" i="52"/>
  <c r="H114" i="52"/>
  <c r="CM114" i="52"/>
  <c r="CK114" i="52"/>
  <c r="CW56" i="52"/>
  <c r="EA22" i="52"/>
  <c r="EA24" i="52" s="1"/>
  <c r="D118" i="5"/>
  <c r="DD57" i="52"/>
  <c r="DU22" i="52"/>
  <c r="D119" i="5"/>
  <c r="DD56" i="52"/>
  <c r="AA114" i="52" l="1"/>
  <c r="C68" i="51"/>
  <c r="C67" i="51"/>
  <c r="C171" i="51" s="1"/>
  <c r="J55" i="52"/>
  <c r="CW85" i="52"/>
  <c r="E117" i="5" s="1"/>
  <c r="CW84" i="52"/>
  <c r="DX22" i="52" s="1"/>
  <c r="CW57" i="52"/>
  <c r="AI114" i="52"/>
  <c r="AI133" i="52"/>
  <c r="Q120" i="36" s="1"/>
  <c r="Q127" i="36" s="1"/>
  <c r="AH114" i="52"/>
  <c r="G68" i="51"/>
  <c r="G94" i="51"/>
  <c r="G96" i="51"/>
  <c r="G67" i="51"/>
  <c r="G171" i="51" s="1"/>
  <c r="L114" i="52"/>
  <c r="F35" i="5"/>
  <c r="H35" i="5" s="1"/>
  <c r="G61" i="5"/>
  <c r="F22" i="2" s="1"/>
  <c r="F24" i="2" s="1"/>
  <c r="BA56" i="52"/>
  <c r="E111" i="36" s="1"/>
  <c r="E114" i="36" s="1"/>
  <c r="F187" i="36" s="1"/>
  <c r="DO32" i="52"/>
  <c r="H171" i="51"/>
  <c r="K171" i="51"/>
  <c r="DU24" i="52"/>
  <c r="DU25" i="52" s="1"/>
  <c r="AE83" i="51"/>
  <c r="G32" i="5" s="1"/>
  <c r="F82" i="51"/>
  <c r="F124" i="32"/>
  <c r="G63" i="5" s="1"/>
  <c r="F71" i="32"/>
  <c r="M32" i="63"/>
  <c r="M46" i="63" s="1"/>
  <c r="M47" i="63" s="1"/>
  <c r="E121" i="5"/>
  <c r="ED26" i="52"/>
  <c r="F55" i="5"/>
  <c r="EA25" i="52"/>
  <c r="F111" i="36"/>
  <c r="F114" i="36" s="1"/>
  <c r="G35" i="5"/>
  <c r="G55" i="5"/>
  <c r="G59" i="5" s="1"/>
  <c r="F20" i="2" s="1"/>
  <c r="G37" i="5"/>
  <c r="J32" i="63"/>
  <c r="J46" i="63" s="1"/>
  <c r="F42" i="5" s="1"/>
  <c r="H42" i="5" s="1"/>
  <c r="CW70" i="52"/>
  <c r="F46" i="5" s="1"/>
  <c r="H46" i="5" s="1"/>
  <c r="D121" i="5"/>
  <c r="H82" i="51"/>
  <c r="DR23" i="52"/>
  <c r="DR25" i="52" s="1"/>
  <c r="D120" i="5"/>
  <c r="E22" i="2"/>
  <c r="E24" i="2" s="1"/>
  <c r="F65" i="5"/>
  <c r="F45" i="5" l="1"/>
  <c r="H45" i="5" s="1"/>
  <c r="Q128" i="36"/>
  <c r="G45" i="5"/>
  <c r="G53" i="5" s="1"/>
  <c r="D117" i="5"/>
  <c r="G65" i="5"/>
  <c r="F23" i="2" s="1"/>
  <c r="F37" i="5"/>
  <c r="H37" i="5" s="1"/>
  <c r="DO33" i="52"/>
  <c r="G82" i="51"/>
  <c r="AE82" i="51" s="1"/>
  <c r="F32" i="5" s="1"/>
  <c r="H32" i="5" s="1"/>
  <c r="DX24" i="52"/>
  <c r="DX25" i="52" s="1"/>
  <c r="DR26" i="52"/>
  <c r="E206" i="36"/>
  <c r="E207" i="36" s="1"/>
  <c r="J47" i="63"/>
  <c r="G42" i="5"/>
  <c r="F59" i="5"/>
  <c r="H55" i="5"/>
  <c r="E23" i="2"/>
  <c r="H65" i="5"/>
  <c r="F53" i="5"/>
  <c r="H53" i="5" s="1"/>
  <c r="E16" i="2"/>
  <c r="E18" i="2" s="1"/>
  <c r="F16" i="2" l="1"/>
  <c r="F18" i="2" s="1"/>
  <c r="E20" i="2"/>
  <c r="H59" i="5"/>
  <c r="E17" i="2"/>
  <c r="F17" i="2" l="1"/>
  <c r="G77" i="5"/>
  <c r="G78" i="5" l="1"/>
  <c r="F28" i="2"/>
  <c r="F29" i="2" s="1"/>
  <c r="E53" i="52" l="1"/>
  <c r="E111" i="52" s="1"/>
  <c r="E45" i="52"/>
  <c r="E48" i="52" s="1"/>
  <c r="E110" i="52"/>
  <c r="E74" i="52"/>
  <c r="E77" i="52" s="1"/>
  <c r="E83" i="52" l="1"/>
  <c r="E81" i="52"/>
  <c r="E55" i="52"/>
  <c r="E113" i="52"/>
  <c r="E54" i="52"/>
  <c r="E79" i="52" a="1"/>
  <c r="E79" i="52" s="1"/>
  <c r="G45" i="52"/>
  <c r="G111" i="52"/>
  <c r="DL28" i="52" s="1"/>
  <c r="G110" i="52"/>
  <c r="DL27" i="52" s="1"/>
  <c r="G74" i="52"/>
  <c r="G77" i="52" s="1"/>
  <c r="G79" i="52" l="1" a="1"/>
  <c r="G79" i="52" s="1"/>
  <c r="G48" i="52"/>
  <c r="E114" i="52"/>
  <c r="G83" i="52" l="1"/>
  <c r="G81" i="52"/>
  <c r="W84" i="52" s="1"/>
  <c r="G55" i="52"/>
  <c r="G54" i="52"/>
  <c r="DE48" i="52"/>
  <c r="G113" i="52"/>
  <c r="W85" i="52" l="1"/>
  <c r="E116" i="5" s="1"/>
  <c r="G114" i="52"/>
  <c r="D116" i="5"/>
  <c r="DL31" i="52"/>
  <c r="DL32" i="52" s="1"/>
  <c r="W57" i="52"/>
  <c r="W56" i="52"/>
  <c r="G33" i="5" l="1"/>
  <c r="DL33" i="52"/>
  <c r="F33" i="5"/>
  <c r="H33" i="5" l="1"/>
  <c r="F87" i="51" l="1"/>
  <c r="F151" i="51"/>
  <c r="AI37" i="51" s="1"/>
  <c r="F46" i="51"/>
  <c r="F90" i="51" l="1"/>
  <c r="F48" i="51"/>
  <c r="F50" i="51" s="1"/>
  <c r="F64" i="51"/>
  <c r="F159" i="51" s="1"/>
  <c r="F66" i="51" l="1"/>
  <c r="F161" i="51" s="1"/>
  <c r="F53" i="51"/>
  <c r="F88" i="51" s="1"/>
  <c r="F92" i="51" s="1" a="1"/>
  <c r="F92" i="51" s="1"/>
  <c r="AH162" i="51"/>
  <c r="F55" i="51" l="1"/>
  <c r="F153" i="51"/>
  <c r="F68" i="51" l="1"/>
  <c r="F67" i="51"/>
  <c r="F96" i="51"/>
  <c r="AG95" i="51" s="1"/>
  <c r="F94" i="51"/>
  <c r="AH157" i="51"/>
  <c r="F169" i="51"/>
  <c r="F171" i="51" l="1"/>
  <c r="V61" i="51" l="1"/>
  <c r="V168" i="51" s="1"/>
  <c r="V138" i="51"/>
  <c r="AI26" i="51" s="1"/>
  <c r="V46" i="51"/>
  <c r="V48" i="51" s="1"/>
  <c r="V53" i="51" s="1"/>
  <c r="V38" i="51"/>
  <c r="V45" i="51" s="1"/>
  <c r="V87" i="51" l="1"/>
  <c r="V90" i="51" s="1"/>
  <c r="V64" i="51"/>
  <c r="V159" i="51" s="1"/>
  <c r="V66" i="51"/>
  <c r="V161" i="51" s="1"/>
  <c r="AI41" i="51" s="1"/>
  <c r="AI36" i="51"/>
  <c r="V153" i="51"/>
  <c r="V88" i="51"/>
  <c r="V50" i="51"/>
  <c r="V55" i="51" s="1"/>
  <c r="V92" i="51" l="1" a="1"/>
  <c r="V92" i="51" s="1"/>
  <c r="AG92" i="51" s="1"/>
  <c r="V67" i="51"/>
  <c r="AE67" i="51" s="1"/>
  <c r="V68" i="51"/>
  <c r="V94" i="51"/>
  <c r="AG93" i="51" s="1"/>
  <c r="AG96" i="51" s="1"/>
  <c r="E115" i="5" s="1"/>
  <c r="E122" i="5" s="1"/>
  <c r="V169" i="51"/>
  <c r="AE169" i="51" s="1"/>
  <c r="AG153" i="51"/>
  <c r="AI32" i="51"/>
  <c r="AG159" i="51"/>
  <c r="AI40" i="51"/>
  <c r="AE55" i="51"/>
  <c r="AG94" i="51" l="1"/>
  <c r="AG169" i="51"/>
  <c r="AG171" i="51" s="1"/>
  <c r="F31" i="5"/>
  <c r="V171" i="51"/>
  <c r="AE171" i="51"/>
  <c r="D115" i="5" l="1"/>
  <c r="D122" i="5" s="1"/>
  <c r="AI44" i="51"/>
  <c r="AI45" i="51" s="1"/>
  <c r="AI46" i="51" s="1"/>
  <c r="F43" i="5"/>
  <c r="H43" i="5" s="1"/>
  <c r="H66" i="5" s="1"/>
  <c r="H31" i="5"/>
  <c r="E12" i="2" l="1"/>
  <c r="E15" i="2" s="1"/>
  <c r="F66" i="5"/>
  <c r="D6" i="3" s="1"/>
  <c r="E25" i="2" l="1"/>
  <c r="F67" i="5"/>
  <c r="H67" i="5" s="1"/>
  <c r="D7" i="3" l="1"/>
  <c r="E26" i="2"/>
  <c r="E30" i="2" s="1"/>
  <c r="E34" i="2" s="1"/>
  <c r="F79" i="5"/>
  <c r="H79" i="5" s="1"/>
  <c r="F83" i="5" l="1"/>
  <c r="D113" i="5" s="1"/>
  <c r="D133" i="5" s="1"/>
  <c r="F84" i="5" s="1"/>
  <c r="F102" i="5" s="1"/>
  <c r="H83" i="5" l="1"/>
  <c r="H102" i="5"/>
  <c r="H109" i="5" s="1"/>
  <c r="F109" i="5"/>
  <c r="D8" i="3"/>
  <c r="F108" i="5"/>
  <c r="H108" i="5" s="1"/>
  <c r="F105" i="5"/>
  <c r="E53" i="2"/>
  <c r="H105" i="5" l="1"/>
  <c r="F99" i="5"/>
  <c r="E55" i="2"/>
  <c r="AE68" i="51"/>
  <c r="G31" i="5" s="1"/>
  <c r="G43" i="5" s="1"/>
  <c r="H99" i="5" l="1"/>
  <c r="F106" i="5"/>
  <c r="E50" i="2"/>
  <c r="G66" i="5"/>
  <c r="F12" i="2"/>
  <c r="F15" i="2" s="1"/>
  <c r="E56" i="2" l="1"/>
  <c r="H106" i="5"/>
  <c r="F25" i="2"/>
  <c r="G67" i="5"/>
  <c r="E6" i="3"/>
  <c r="E7" i="3" l="1"/>
  <c r="G79" i="5"/>
  <c r="G83" i="5" s="1"/>
  <c r="E113" i="5" s="1"/>
  <c r="E133" i="5" s="1"/>
  <c r="G84" i="5" s="1"/>
  <c r="G102" i="5" s="1"/>
  <c r="F26" i="2"/>
  <c r="F30" i="2" s="1"/>
  <c r="F34" i="2" s="1"/>
  <c r="G108" i="5" l="1"/>
  <c r="E8" i="3"/>
  <c r="F53" i="2"/>
  <c r="G109" i="5"/>
  <c r="G105" i="5"/>
  <c r="G99" i="5" l="1"/>
  <c r="F55" i="2"/>
  <c r="F50" i="2" l="1"/>
  <c r="G106" i="5"/>
  <c r="F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Tove Dohn</author>
    <author>tc={BE3AF0E5-2F6A-C944-BFC4-89EE673A2615}</author>
    <author>tc={5B3B0BD1-7452-0042-827E-F576144014A8}</author>
  </authors>
  <commentList>
    <comment ref="D3" authorId="0" shapeId="0" xr:uid="{370CE34D-6055-4D40-964D-485A3AD26C6E}">
      <text>
        <r>
          <rPr>
            <b/>
            <sz val="10"/>
            <color rgb="FF000000"/>
            <rFont val="Tahoma"/>
            <family val="2"/>
          </rPr>
          <t>Tove Dohn:</t>
        </r>
        <r>
          <rPr>
            <sz val="10"/>
            <color rgb="FF000000"/>
            <rFont val="Tahoma"/>
            <family val="2"/>
          </rPr>
          <t xml:space="preserve">
</t>
        </r>
        <r>
          <rPr>
            <sz val="8"/>
            <color rgb="FF000000"/>
            <rFont val="Arial"/>
            <family val="2"/>
          </rPr>
          <t xml:space="preserve">Øverste leder ved grundskoler under 100 elever stiger med kr. 12.160,- i årlig grundbeløb. 
</t>
        </r>
        <r>
          <rPr>
            <sz val="8"/>
            <color rgb="FF000000"/>
            <rFont val="Arial"/>
            <family val="2"/>
          </rPr>
          <t xml:space="preserve">Øverste leder ved grundskoler på 100 eller flere elever stiger med kr. 6.080,- i årlig grundbeløb. Tast her den nye intervalløn i årlig grundbeløb.
</t>
        </r>
      </text>
    </comment>
    <comment ref="E4" authorId="1" shapeId="0" xr:uid="{00000000-0006-0000-0700-000001000000}">
      <text>
        <t>[Trådet kommentar]
Din version af Excel lader dig læse denne trådede kommentar. Eventuelle ændringer vil dog blive fjernet, hvis filen åbnes i en nyere version af Excel. Få mere at vide: https://go.microsoft.com/fwlink/?linkid=870924
Kommentar:
    Tove Dohn: 
Elevtal under 350 = 353.412,- i årligt grundbeløb. 
Elevtal på eller over 350 = 396.929,- i årligt  grundbeløb. 
Hertil  kan der være et udligningstillæg beregnet i 2019 samt lokale tillæg.</t>
      </text>
    </comment>
    <comment ref="A22" authorId="0" shapeId="0" xr:uid="{B7AF8667-C3B2-0840-BD4B-92B9F8D97090}">
      <text>
        <r>
          <rPr>
            <b/>
            <sz val="10"/>
            <color rgb="FF000000"/>
            <rFont val="Tahoma"/>
            <family val="2"/>
          </rPr>
          <t>Tove Dohn:</t>
        </r>
        <r>
          <rPr>
            <sz val="10"/>
            <color rgb="FF000000"/>
            <rFont val="Tahoma"/>
            <family val="2"/>
          </rPr>
          <t xml:space="preserve">
</t>
        </r>
        <r>
          <rPr>
            <sz val="10"/>
            <color rgb="FF000000"/>
            <rFont val="Tahoma"/>
            <family val="2"/>
          </rPr>
          <t>Børnehaveklasseledere stiger pr. 1. april 2025 kr. 900,- i årlig grundværdi. Budgettet tager højde for stigningen.</t>
        </r>
      </text>
    </comment>
    <comment ref="A37" authorId="0" shapeId="0" xr:uid="{246F37E9-0B64-8246-ADA1-BB131167DEAA}">
      <text>
        <r>
          <rPr>
            <b/>
            <sz val="10"/>
            <color rgb="FF000000"/>
            <rFont val="Tahoma"/>
            <family val="2"/>
          </rPr>
          <t>Tove Dohn:</t>
        </r>
        <r>
          <rPr>
            <sz val="10"/>
            <color rgb="FF000000"/>
            <rFont val="Tahoma"/>
            <family val="2"/>
          </rPr>
          <t xml:space="preserve">
</t>
        </r>
        <r>
          <rPr>
            <sz val="10"/>
            <color rgb="FF000000"/>
            <rFont val="Tahoma"/>
            <family val="2"/>
          </rPr>
          <t>OK-18 tillæg stiger pr. 1. april fra 900,- til 4.100,- i årlig grundværdi. Tillægget ændres herefter til OK 24-tillæg. Budgettet tager højde for stigningen.</t>
        </r>
      </text>
    </comment>
    <comment ref="A86" authorId="0" shapeId="0" xr:uid="{910AF1E9-DC27-9F44-A9D5-0C6EFAD563E7}">
      <text>
        <r>
          <rPr>
            <b/>
            <sz val="10"/>
            <color rgb="FF000000"/>
            <rFont val="Tahoma"/>
            <family val="2"/>
          </rPr>
          <t>Tove Dohn:</t>
        </r>
        <r>
          <rPr>
            <sz val="10"/>
            <color rgb="FF000000"/>
            <rFont val="Tahoma"/>
            <family val="2"/>
          </rPr>
          <t xml:space="preserve">
</t>
        </r>
        <r>
          <rPr>
            <sz val="11"/>
            <color rgb="FF000000"/>
            <rFont val="Arial"/>
            <family val="2"/>
          </rPr>
          <t>Tast her skolens udgift på feriepengeforpligtigelsen. Hvis fleksjobber på gl. ordning er skolens udgift typist 17%. Hvis fleksjobber på ny ordning er skolens udgift 50%</t>
        </r>
        <r>
          <rPr>
            <sz val="11"/>
            <color rgb="FF000000"/>
            <rFont val="Arial"/>
            <family val="2"/>
          </rPr>
          <t xml:space="preserve">
</t>
        </r>
      </text>
    </comment>
    <comment ref="B87" authorId="2" shapeId="0" xr:uid="{00000000-0006-0000-0700-000003000000}">
      <text>
        <t xml:space="preserve">[Trådet kommentar]
Din version af Excel lader dig læse denne trådede kommentar. Eventuelle ændringer vil dog blive fjernet, hvis filen åbnes i en nyere version af Excel. Få mere at vide: https://go.microsoft.com/fwlink/?linkid=870924
Kommentar:
    Hvis en ansat har mere end 1 kolonne pga. feks. lønændring, barsel eller fratrædelse skal kun oplyse skyldige feriedage i en af kolonnerne.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tc={C6A80ED0-6B1D-4048-917F-FBA122BEA6A8}</author>
  </authors>
  <commentList>
    <comment ref="AR8" authorId="0" shapeId="0" xr:uid="{C3A99A61-4F0D-5C49-ABB0-F2794E4EAA8A}">
      <text>
        <r>
          <rPr>
            <b/>
            <sz val="10"/>
            <color rgb="FF000000"/>
            <rFont val="Tahoma"/>
            <family val="2"/>
          </rPr>
          <t>Tove Dohn:</t>
        </r>
        <r>
          <rPr>
            <sz val="10"/>
            <color rgb="FF000000"/>
            <rFont val="Tahoma"/>
            <family val="2"/>
          </rPr>
          <t xml:space="preserve">
</t>
        </r>
        <r>
          <rPr>
            <sz val="10"/>
            <color rgb="FF000000"/>
            <rFont val="Tahoma"/>
            <family val="2"/>
          </rPr>
          <t xml:space="preserve">Tast her månedslønnen i 12 kroner.
</t>
        </r>
      </text>
    </comment>
    <comment ref="AS8" authorId="0" shapeId="0" xr:uid="{EFC14577-3FF1-D948-A4DE-F77EE5AF0DF8}">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text>
    </comment>
    <comment ref="AT8" authorId="0" shapeId="0" xr:uid="{6C60F9B5-3619-0D42-AEFF-51B1C63E9A8C}">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text>
    </comment>
    <comment ref="AU8" authorId="0" shapeId="0" xr:uid="{96EE9951-2C57-BF42-9FAD-D0EABDF8FE73}">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text>
    </comment>
    <comment ref="AV8" authorId="0" shapeId="0" xr:uid="{25C668F4-3E8D-CE42-B422-F70052F91471}">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text>
    </comment>
    <comment ref="AW8" authorId="0" shapeId="0" xr:uid="{01ABA92E-FE18-A642-944E-59C40D893B69}">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r>
          <rPr>
            <sz val="10"/>
            <color rgb="FF000000"/>
            <rFont val="Tahoma"/>
            <family val="2"/>
          </rPr>
          <t xml:space="preserve">
</t>
        </r>
      </text>
    </comment>
    <comment ref="AX8" authorId="0" shapeId="0" xr:uid="{58EA103D-8706-3B4C-BE61-B05E3629699D}">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text>
    </comment>
    <comment ref="AY8" authorId="0" shapeId="0" xr:uid="{BB3A9EF8-46B3-C342-9DAF-377489A45813}">
      <text>
        <r>
          <rPr>
            <b/>
            <sz val="10"/>
            <color rgb="FF000000"/>
            <rFont val="Tahoma"/>
            <family val="2"/>
          </rPr>
          <t>Tove Dohn:</t>
        </r>
        <r>
          <rPr>
            <sz val="10"/>
            <color rgb="FF000000"/>
            <rFont val="Tahoma"/>
            <family val="2"/>
          </rPr>
          <t xml:space="preserve">
</t>
        </r>
        <r>
          <rPr>
            <sz val="10"/>
            <color rgb="FF000000"/>
            <rFont val="Arial"/>
            <family val="2"/>
          </rPr>
          <t>Tast her månedslønnen i 12 kroner.</t>
        </r>
        <r>
          <rPr>
            <sz val="10"/>
            <color rgb="FF000000"/>
            <rFont val="Arial"/>
            <family val="2"/>
          </rPr>
          <t xml:space="preserve">
</t>
        </r>
        <r>
          <rPr>
            <sz val="10"/>
            <color rgb="FF000000"/>
            <rFont val="Tahoma"/>
            <family val="2"/>
          </rPr>
          <t xml:space="preserve">
</t>
        </r>
      </text>
    </comment>
    <comment ref="A28" authorId="0" shapeId="0" xr:uid="{35A65F89-1772-1B40-8BAD-B10691E18304}">
      <text>
        <r>
          <rPr>
            <b/>
            <sz val="10"/>
            <color rgb="FF000000"/>
            <rFont val="Tahoma"/>
            <family val="2"/>
          </rPr>
          <t>Tove Dohn:</t>
        </r>
        <r>
          <rPr>
            <sz val="10"/>
            <color rgb="FF000000"/>
            <rFont val="Tahoma"/>
            <family val="2"/>
          </rPr>
          <t xml:space="preserve">
</t>
        </r>
        <r>
          <rPr>
            <sz val="10"/>
            <color rgb="FF000000"/>
            <rFont val="Tahoma"/>
            <family val="2"/>
          </rPr>
          <t xml:space="preserve">Overenskomsttillæg til pædagoger er kr. 2.000,- i årlig grundværdi.
</t>
        </r>
        <r>
          <rPr>
            <sz val="10"/>
            <color rgb="FF000000"/>
            <rFont val="Tahoma"/>
            <family val="2"/>
          </rPr>
          <t xml:space="preserve">Overenskomsttillæg til pædagogiske assistenter stiger pr. 1. april 2025 fra kr. 2.000,- til kr. 5.500,- i årlig grundværdi.
</t>
        </r>
        <r>
          <rPr>
            <sz val="10"/>
            <color rgb="FF000000"/>
            <rFont val="Tahoma"/>
            <family val="2"/>
          </rPr>
          <t xml:space="preserve">Overenskomsttillæg til pædagogmedhjælpere stiger pr. 1. april 2025 fra kr. 2.000,- til kr. 4.000,- i årlig grundværdi.
</t>
        </r>
        <r>
          <rPr>
            <sz val="10"/>
            <color rgb="FF000000"/>
            <rFont val="Tahoma"/>
            <family val="2"/>
          </rPr>
          <t xml:space="preserve">
</t>
        </r>
        <r>
          <rPr>
            <sz val="10"/>
            <color rgb="FF000000"/>
            <rFont val="Tahoma"/>
            <family val="2"/>
          </rPr>
          <t xml:space="preserve">3F
</t>
        </r>
        <r>
          <rPr>
            <sz val="10"/>
            <color rgb="FF000000"/>
            <rFont val="Tahoma"/>
            <family val="2"/>
          </rPr>
          <t xml:space="preserve">Skalatrin 14 stiger i OK-tillæg pr. 1. april fra kr. 1.993,- til kr. 3.950,- i årlig grundværdi.
</t>
        </r>
        <r>
          <rPr>
            <sz val="10"/>
            <color rgb="FF000000"/>
            <rFont val="Tahoma"/>
            <family val="2"/>
          </rPr>
          <t xml:space="preserve">Skalatrin 17 får pr. 1. april kr. 2.280,- i årlig grundværdi.
</t>
        </r>
        <r>
          <rPr>
            <sz val="10"/>
            <color rgb="FF000000"/>
            <rFont val="Tahoma"/>
            <family val="2"/>
          </rPr>
          <t>Skalatrin 21 stiger i OK-tillæg fra kr. 2.000,- til kr. 3.560, - i årlig grundværdi.</t>
        </r>
      </text>
    </comment>
    <comment ref="A73" authorId="0" shapeId="0" xr:uid="{F823FBE9-491C-8043-B62B-8F4CBE826AFC}">
      <text>
        <r>
          <rPr>
            <b/>
            <sz val="10"/>
            <color rgb="FF000000"/>
            <rFont val="Tahoma"/>
            <family val="2"/>
          </rPr>
          <t>Tove Dohn:</t>
        </r>
        <r>
          <rPr>
            <sz val="10"/>
            <color rgb="FF000000"/>
            <rFont val="Tahoma"/>
            <family val="2"/>
          </rPr>
          <t xml:space="preserve">
</t>
        </r>
        <r>
          <rPr>
            <sz val="10"/>
            <color rgb="FF000000"/>
            <rFont val="Arial"/>
            <family val="2"/>
          </rPr>
          <t>Tast her skolens udgift på feriepengeforpligtigelsen. Hvis fleksjobber på gl. ordning er skolens udgift typist 17%. Hvis fleksjobber på ny ordning er skolens udgift 50%</t>
        </r>
        <r>
          <rPr>
            <sz val="10"/>
            <color rgb="FF000000"/>
            <rFont val="Arial"/>
            <family val="2"/>
          </rPr>
          <t xml:space="preserve">
</t>
        </r>
      </text>
    </comment>
    <comment ref="B74" authorId="1" shapeId="0" xr:uid="{00000000-0006-0000-0800-000002000000}">
      <text>
        <t xml:space="preserve">[Trådet kommentar]
Din version af Excel lader dig læse denne trådede kommentar. Eventuelle ændringer vil dog blive fjernet, hvis filen åbnes i en nyere version af Excel. Få mere at vide: https://go.microsoft.com/fwlink/?linkid=870924
Kommentar:
    Hvis en ansat har mere end 1 kolonne pga. feks. lønændring, barsel eller fratrædelse skal kun oplyse skyldige feriedage i en af kolonnerne.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tc={CE2744AF-F4E2-D446-97F9-4F7599637F9D}</author>
    <author>tc={181D65AC-B732-3642-B9B1-7EBE4E540F62}</author>
    <author>tc={B02B7958-3E4A-7841-8A55-DE33D8167A1E}</author>
    <author>tc={380510AB-B41A-614F-A30F-597F22F22FDE}</author>
  </authors>
  <commentList>
    <comment ref="E3" authorId="0" shapeId="0" xr:uid="{00000000-0006-0000-0B00-000001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forældrebetalte rater i dette budgetår kan være lavere end i et helt almindeligt finansår.
Er daginstitutionen kørende og altså ikke nyopstartet skrives samme antal mdr. i begge celler.</t>
      </text>
    </comment>
    <comment ref="T3" authorId="1" shapeId="0" xr:uid="{00000000-0006-0000-0B00-000002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kommunal betalte rater i dette budgetår kan være lavere end i et helt almindeligt finansår.
Er daginstitutionen kørende og altså ikke nyopstartet skrives samme antal mdr. i begge celler.</t>
      </text>
    </comment>
    <comment ref="E56" authorId="2" shapeId="0" xr:uid="{00000000-0006-0000-0B00-000003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forældrebetalte rater i dette budgetår kan være lavere end i et helt almindeligt finansår.
Er daginstitutionen kørende og altså ikke nyopstartet skrives samme antal mdr. i begge celler.</t>
      </text>
    </comment>
    <comment ref="T56" authorId="3" shapeId="0" xr:uid="{00000000-0006-0000-0B00-000004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kommunal betalte rater i dette budgetår kan være lavere end i et helt almindeligt finansår.
Er daginstitutionen kørende og altså ikke nyopstartet skrives samme antal mdr. i begge celler.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xport file" type="6" refreshedVersion="0" background="1" saveData="1">
    <textPr sourceFile="Macintosh HD:Users:olemikke:Desktop:SLET:Export file" decimal="," thousands=".">
      <textFields count="3">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<sst xmlns="http://schemas.openxmlformats.org/spreadsheetml/2006/main" count="3807" uniqueCount="1574">
  <si>
    <t>Kvikvejledning til budgetværktøjet.</t>
  </si>
  <si>
    <t>Tast KUN i de gule felter  - i de grå felter ligger der formler som IKKE må overskrives</t>
  </si>
  <si>
    <t>VEJLEDNING GENERELT:</t>
  </si>
  <si>
    <t xml:space="preserve">Øverst i hvert ark findes et grønt felt "Til Hovedskema" og "Elevprognose". Ved at klikke på disse felter hopper man straks tilbage til hhv. hovedskema og elevprognose. </t>
  </si>
  <si>
    <t>I arket "Hovedskema" er der yderst til venstre grønne felter, der leder til det ark, hvor indtægten eller udgiften stammer fra.</t>
  </si>
  <si>
    <t>SatsBilag: er et bilag hvor Friskolernes Hus har skrevet kendte og "ukendte" satser samt givet det bedste bud på fremskrivningsprocenter, som alle er nødevendige forudsætninger for at udarbejde et budget.</t>
  </si>
  <si>
    <t xml:space="preserve">Hovedskema: Budgettet for det kommende år samt året efter vises i hovedskemaet. Hovedskemaet er det skema der "samler" de indtastede oplysninger fra værktøjets øvrige ark. Hovedskemaet er bygget op, så den bedst muligt spejler sig op af den nye regnskabsbekendtgørelse. </t>
  </si>
  <si>
    <t>Indtast elevtalsoplysningerne for såvel skolebørn, SFO, heltids SFO samt daginstitution øverst i hovedskemaet(de gule felter).</t>
  </si>
  <si>
    <t>Indtast regnskabet fra skolens revisor vedr. sidste år i hovedskemaet. Bruges som sammenligningstal.</t>
  </si>
  <si>
    <t>Indtast det forventede resultat for 2024 i hovedskemaet. Det forventede resultat er IKKE budgettet for 2024 men de tal skolen forventer året vil slutte med. Her i efteråret er der bogført 8, 9 - måske 10 måneder og det er sidste kendte saldobalance + forventede kommende indtægter og udgifter for de sidste måneder af året der sammen giver et forventet resultat. Altså skolens mest realistiske bud. Tallene bruges som sammenligningstal til budgettet for 2025 og 2026.</t>
  </si>
  <si>
    <t>Forside: Indtast skolens navn, skolens stedtillægsområde, om skolen er godkendt som profilskole samt elevoplysningerne pr. 5. september for 2023, 2024 samt forventet 2025 og 2026.</t>
  </si>
  <si>
    <t>Statstilskud: De indtastede oplysninger indtastet på "forsidearket" danner grundlag for statstilskuddet samt de forventede takster fra arket: "satsbilag". Tast selv forventede indtægter vedr. SPSU-tilskud(De gule felter)</t>
  </si>
  <si>
    <t>Skolepenge mv: Tast her alle oplysninger om priser, rater og antal elever pr. pris både ved skolepenge og SFO.(Bemærk SFO opdeles fra 0-3 klasse og fra 4. klasse og opefter). Såfremt antal elever/SFO-børn ikke stemmer overens med 5. september indberetning oplyst på arket "forside", vil der dukke en rød linie op som fortæller dette. Hvis skolen forventer at opkræver flere eller midre elever end 5. september, ses der bort fra denen røde advarsel. Ellers skal elevtal/SFO-tallet rettes således de stemmer overens med antalt pr. 5. september.  Nederst indtastes andre indtægter.</t>
  </si>
  <si>
    <t>Løn undervisning: Oplys her hvilke ledere, lærere/børnehaveklasseledere skolen forventer der er ansat på skolen i det kommende budgetår.  Hvilket løntrin/timeløn, pensionsform mm. Oplys også hvilke mdr. den enkelte er ansat. Skifter en ansat feks. basisløntrin i løbet af budgetåret, kan man lade læreren få to kolonner. En med feks basisløntrin 2 i 7 mdr., og med en stigning til basisløntrin 3 i de sidste 5 mdr. HUSK at ved lønrefusioner at skrive talene med et "minus" foran. Lønarket giver desuden mulighed for at vælge orlov, således der i en periode kun budgetteres med pension. De lønafhængige omkostninger (Samlet bidrag, ATP, Flex-bidrag mm udregner skemaet selv udfra årsværk og videreføres til fanen "administration").</t>
  </si>
  <si>
    <t>Løn Pæd., TAP mm: Bruges til lønbudget for skolens pædagoger i såvel SFO, daginstitution, heltidsskolefritidsordning, sekretær, pedel samt evt. kostafdeling.</t>
  </si>
  <si>
    <t>Tast de forventede tal vedr undervisningsudgifter, bygninger, administration, skolemadsudgifter, daginstitution, prioritetsrenter. Tallene vedr. budget 2025 videreføres til hovedskemaet. (Det gør tallene vedr. 2024 ikke)! Der står i forvejen forslag til udgiftsposter. Dette er kun forslag, og overskrives så det stemmer overens med skolens egne konti. I fanen "Ejendom" og "Adm" er der mulighed for at videreføre udgifter til skolens budget for daginstitutionen. Dette da skoler med daginstitution SKAL udarbejde et budget for daginstitutionen, og for at budgettet for daginstitutionen er mest retvisende skal ejendom og administrationsudgifter med. Overførslen sker med en procentsats. Denne procentsats kan være beregnet på antal børn/elever eller m2 fordeling.</t>
  </si>
  <si>
    <t>ÆNDRINGER I FORHOLD TIL SIDSTE ÅRS BUDGET:</t>
  </si>
  <si>
    <t>Udover ændrede satser i satsbilaget, byder budgetåret 2025 på følgende ændringer.</t>
  </si>
  <si>
    <t xml:space="preserve">Løn faner:  </t>
  </si>
  <si>
    <r>
      <rPr>
        <b/>
        <sz val="12"/>
        <color theme="1"/>
        <rFont val="Arial"/>
        <family val="2"/>
      </rPr>
      <t>St. bededagstillæg:</t>
    </r>
    <r>
      <rPr>
        <sz val="12"/>
        <color theme="1"/>
        <rFont val="Arial"/>
        <family val="2"/>
      </rPr>
      <t xml:space="preserve"> Da vi forudsætter at alt personale er omfattet af ferieaftalen og den forhøjede sats til ferietillæg, er St. bededagstillæg slettet for alle.</t>
    </r>
  </si>
  <si>
    <r>
      <rPr>
        <b/>
        <sz val="12"/>
        <color theme="1"/>
        <rFont val="Arial"/>
        <family val="2"/>
      </rPr>
      <t>Ferietillæg</t>
    </r>
    <r>
      <rPr>
        <sz val="12"/>
        <color theme="1"/>
        <rFont val="Arial"/>
        <family val="2"/>
      </rPr>
      <t>: satsen er ændret fra 1,5% til 2,02%</t>
    </r>
  </si>
  <si>
    <t>OK-24 er indarbejdet i dette budget:</t>
  </si>
  <si>
    <r>
      <t xml:space="preserve">Øverste leder: </t>
    </r>
    <r>
      <rPr>
        <sz val="12"/>
        <color theme="1"/>
        <rFont val="Arial"/>
        <family val="2"/>
      </rPr>
      <t>Pr. 1. april 2025 stiger øverste leder på skoler med under 100 elever med kr. 12.160,- i årlig grundværdi. Øverste ledere på skoler med 100 elever og derover stiger med kr. 6.080,- i årlig grundværdi. Skolen taster selv denne forøgede intervalløn i skolelederens 2. kolonne.</t>
    </r>
  </si>
  <si>
    <r>
      <t xml:space="preserve">Lærere og børnehaveklasseledere: </t>
    </r>
    <r>
      <rPr>
        <sz val="12"/>
        <color theme="1"/>
        <rFont val="Arial"/>
        <family val="2"/>
      </rPr>
      <t>Pr. 1. april 2025 bortfalder OK-18 tillægget. I stedet træder OK-24 tillægget i kraft. OK-24 tillægget er på kr. 4.100,- i årlig grundværdi. OK-24 tillæg er indarbejdet i budgettet.</t>
    </r>
  </si>
  <si>
    <r>
      <t xml:space="preserve">Børnehaveklasseledere: </t>
    </r>
    <r>
      <rPr>
        <sz val="12"/>
        <color theme="1"/>
        <rFont val="Arial"/>
        <family val="2"/>
      </rPr>
      <t>Pr. 1. april 2025 stiger børnehaveklasselederes basisløn med kr. 900,- i årlig grundværdi. Stigningen er indarbejdet i budgettet.</t>
    </r>
  </si>
  <si>
    <r>
      <t xml:space="preserve">Pædagoger og afdelingsledere jf. BUPL overenskomsten: </t>
    </r>
    <r>
      <rPr>
        <sz val="12"/>
        <color theme="1"/>
        <rFont val="Arial"/>
        <family val="2"/>
      </rPr>
      <t>Som noget nyt skal skole oplyse om det pædagogiske personale er afdelingsleder, pædagog, pædagogisk assistent eller pædagogmedhjælper. På den måde beregner budgettet automatisk trepartstillægget pr. 1. januar 2025 og 1. januar 2025, samt stigningen i de overenskomstaftalte tillæg.</t>
    </r>
  </si>
  <si>
    <r>
      <t xml:space="preserve">3F: </t>
    </r>
    <r>
      <rPr>
        <sz val="12"/>
        <color theme="1"/>
        <rFont val="Arial"/>
        <family val="2"/>
      </rPr>
      <t>Stigningen i de overenskomstaftalte tillæg til skalatrin 14 og 21 er indarbejdet i budgettet. Ligeledes er det nye overenskomst aftalte tillæg til skalatrin 17.</t>
    </r>
  </si>
  <si>
    <t xml:space="preserve">Hvad skal skolen selv være OBS på: </t>
  </si>
  <si>
    <t xml:space="preserve">Skolens øverste ledere skal pga. intervallønsstigning 1. april 2025 have indtastet intervalløn i to kolonner. </t>
  </si>
  <si>
    <t>BUPL: Pædagoger med 0-1 års anciennitet stiger pr. 1. april 2025 et skalatrin.</t>
  </si>
  <si>
    <t>BUPL: Pædagoger med mere end 15 års anciennitet stiger pr. 1. april stige et skalatrin.</t>
  </si>
  <si>
    <t>BUPL: Pædagogiske assistenter har pr. 1. april 2025 ingen karens på pensionsretten.</t>
  </si>
  <si>
    <t xml:space="preserve">BUPL: Afdelingsledere i enheder med 0-30 og 31-150 i børnetal får pr. 1. april 2025 en ændret skalatrinsforløb. </t>
  </si>
  <si>
    <t>BUPL: Timelønnede pædagogiske assistenter får pr. 1. april 2025 "egen" timelønssats.</t>
  </si>
  <si>
    <t>HK: Pensionen stiger pr. 1. april 2025 fra 16% til 17,3%.</t>
  </si>
  <si>
    <t>3F: Pensionen stiger pr. 1. april 2025 fra 14,5% til 15%.</t>
  </si>
  <si>
    <t>Supplerende oplysninger:</t>
  </si>
  <si>
    <r>
      <t xml:space="preserve">Ferietillæg: </t>
    </r>
    <r>
      <rPr>
        <sz val="12"/>
        <rFont val="Arial"/>
        <family val="2"/>
      </rPr>
      <t>Skolen udbetaler særlig ferietillæg på 1,5% ultimo maj og ultimo august 2024. I lønfanen for lærer/bh.kl.ledere række 63 og i lønfanen for pæd/TAP række 50 oplyses hvor mange måneder den ansatte har været ansat i perioden 1. september 2023 til 31. august 2024. Ud fra antallet af måneder beregner budgettet et budget vedr. det særlige ferietillæg.</t>
    </r>
  </si>
  <si>
    <r>
      <t xml:space="preserve">Særlige feriedage: </t>
    </r>
    <r>
      <rPr>
        <sz val="12"/>
        <rFont val="Arial"/>
        <family val="2"/>
      </rPr>
      <t>Udbetaler skolen særlige feriedage d. 30. april 2025(optjent i finansåret 2023 og som ikke er afviklet i perioden 1. maj 2024 - 30. april 2025) oplyses antallet af særlige feriedage der udbetales pr. 30. april 2025. For lærer/bh.kl.ledere oplyses de udbetalte dage i række 65. For pæd/TAP oplyses de udbetalte dage i række 52. Budgetarket udregner herefter et budgettal på de særlige feriedage.</t>
    </r>
  </si>
  <si>
    <t>Feriepengeforpligtigelse</t>
  </si>
  <si>
    <t>Den nye ferielov er nu fuldt ud implementeret, hvilket gør feriepengeforpligtigelsen nemmere at udregne.</t>
  </si>
  <si>
    <t>Under selve lønbudgettet i de to "løn-faner", skal skolen oplyse antallet af skyldige feriedage og særlige feriedage pr. 31. december 2024, 2025 og 2026. Er der ikke tale om nyansættelse eller erstatningsferie vil tallene de 3 år alt andet lige være ens. Vær dog særlig opmærksom på langtidssyge og ansatte på barselsorlov der har ret til erstatningsferie og som et enkelt år derfor kan have flere skyldige feriedage og særlige feriedage end normalt. Budgetarket udregner skolens feriepengeforpligtigelse ud fra antallet af skyldige feriedage og særlige feriedage.</t>
  </si>
  <si>
    <t>Lønkontering</t>
  </si>
  <si>
    <t>Ved siden af lønbudgettet for hhv. undervisere, Pædagoger/TAP personale er der mulighed for at få et overblik over de forskellige lønarter. Overblikket kan bruges til at kontere lønbudettet til skolens eget administrative program.</t>
  </si>
  <si>
    <t>Gode råd til check.</t>
  </si>
  <si>
    <t xml:space="preserve">Denne fane er en opsummering på hvilke oplysninger der er vigtigt at huske i sit budgetarbejde. Vi anbefaler at skolen printer denne side og forholder sig til den enten under budgetarbejdet og/eller efterfølgende. </t>
  </si>
  <si>
    <t>Forside</t>
  </si>
  <si>
    <t>Check her:</t>
  </si>
  <si>
    <t xml:space="preserve">At skolen har oplyst stedtillægget i celle "H12" </t>
  </si>
  <si>
    <t>Række 31 - at elevtallet stemmer til 5. september indberetning og de fremadrettede budgetterede elevtal.</t>
  </si>
  <si>
    <t>Række 33 -  hvis skolen har elever over 13 år. Check skolen har oplyst antal over 13 år. Gælder alle årene.</t>
  </si>
  <si>
    <t>Række 36 - Har skolen SPS-elever, oplyses her antal for alle årene.</t>
  </si>
  <si>
    <t>Række 38 - Har skolen SFO-elever check at de er oplyst i række 38 for alle årene.</t>
  </si>
  <si>
    <t>Række 39 - Har skolen Klub-elever check at de er oplyst i række 39 for alle årene</t>
  </si>
  <si>
    <t>Hovedskemaet</t>
  </si>
  <si>
    <t>Skolepenge</t>
  </si>
  <si>
    <t>Vises der en rød tekst i række 29, 62 og 87 stemmer antal opkrævede elever ikke med 5. september tallene. Har skolen indskrevet/udskrevet elever efter 5. september vil der begrundet vises den røde tekst.den røde tekst. Ellers check en ekstra gang op på enten elevtal på forsiden eller elevopkrævning i skolepenge, SFO og klub.</t>
  </si>
  <si>
    <t>Løn undervisning</t>
  </si>
  <si>
    <t>Orlov oplyses i række 11.</t>
  </si>
  <si>
    <t>(175 timers regel). Er den ansatte fyldt 60 år og ønsker at gøre brug af seniorordning med nedgang i arbejdstid og løn op til 175 timer, oplyses dette i række 12.</t>
  </si>
  <si>
    <t>Pensionsordning. Er den ansatte omfattet af anden pensionsordning end lærernes pension oplyses dette i række 15.</t>
  </si>
  <si>
    <t>Beskæftigelsesgraden oplyses i række 18.</t>
  </si>
  <si>
    <t>Undervisningstimer. De årlige planlagte undervisningstimer oplyses i række 20. Husk her at undervisningstimerne altid skal være beregnet på et helt skoleår. Har den ansatte 2 kolonner eller flere pga. skiftende bg., eller andet oplyses det årlige undervisningstimetal i alle kolonner. Er den ansatte både ansat som lærer og som børnehaveklasseleder oplyses det samlede årlige undervisningstimetal i den stilling hvor den ansatte har sin hovedbeskæftigelse, mens der i den anden står 0.</t>
  </si>
  <si>
    <t>Souschef. Har skolen en souschef oplyses souscheftillægget i række 26.</t>
  </si>
  <si>
    <t>Skolens decentrale løn/ny løn oplyses i række 27 - 32. Husk at der ALTID oplyses i årlig grundbeløb.</t>
  </si>
  <si>
    <t>Udligningstillæg. Lærere ansat i 2004 og øvrige ledere ansat før 1. januar 2019 kan have sig et personligt udligningstillæg. Dette tillæg oplyses i række 33 og oplyses i årligt grundbeløb.</t>
  </si>
  <si>
    <t>Trin 4-tillæg. Lærere der var ansat pr. 31. marts og som på daværende tidspunkt have 12 års anciennitet kan have fået beregnet et personligt og varigt trin 4 tillæg. Dette tillæg oplyses i række 34 og oplyses i årligt grundbeløb.</t>
  </si>
  <si>
    <t>SPS-tillæg. Modtager skolen SPS-tilskud, er der også lærere der skal have SPS-tillæg. De timer læreren skal have SPS-tillæg oplyses i række 42.</t>
  </si>
  <si>
    <t>Udbetaler skolen ulempetillæg og weekendtillæg + evt. weekendtimer oplyses disse timer som årlige planlagte timer i række 56-58.</t>
  </si>
  <si>
    <t>Er der planlagt lejrtur og skolen betaler lejrskoletillæg efter arbejdstidsreglerne oplyses antal dage lejrskolen er på hverdage i række 59 og i weekender i række 60. Hver påbegyndt dag tæller for en dag.</t>
  </si>
  <si>
    <t>Udbetales der diæter oplyses dette i række 62.</t>
  </si>
  <si>
    <t>Særlige feriedage der udbetales, eller særlige feriedage og feriedage der afregnes ved fratræden oplyses i række 65</t>
  </si>
  <si>
    <t>Vikarer</t>
  </si>
  <si>
    <t>Har skolen udgifter til vikarer, skal skolen huske at budgettere med en udgift hertil enten med en månedslønnet budgettal eller som timelønnet.</t>
  </si>
  <si>
    <t>Refusioner</t>
  </si>
  <si>
    <t>Feriepenge forpligtigelse</t>
  </si>
  <si>
    <t>Løn pæd., TAP mm</t>
  </si>
  <si>
    <t>Da ikke alle skoler har tiltrådt overenskomst indenfor det pædagogiske, tekniske og administrative personale skal skolen selv oplyse alt.</t>
  </si>
  <si>
    <t>For at budgettet automatisk udregner trepartstillæg og OK-tillæg til BUPL/FOA er det vigtigt at skolen i række 7 indefor det pædagogiske vælger den rette ansættelse. Ved Hk og 3F tastes titel selv.</t>
  </si>
  <si>
    <t>Skalatrinsløn oplyses i række 8.</t>
  </si>
  <si>
    <t>Orlov fuldtid. Er den ansatte på orlov fuldtid oplyses dette i række 16.</t>
  </si>
  <si>
    <t>Delvis orlov. Er den ansatte på delvis orlov, men med fuld pension oplyses dette i række 17.</t>
  </si>
  <si>
    <t>Pensionsprocent oplyses i række 20.</t>
  </si>
  <si>
    <t>Egetbidrag pension. Betaler skolen ikke den ansattes egetbidrag af pension vælges der nej i række 21.</t>
  </si>
  <si>
    <t>Beskæftigelsesgrad oplyses i række 24.</t>
  </si>
  <si>
    <t>Decentrale løntillæg oplyses i række 31-37. Tillæggene oplyses altid i årligt grundbeløb.</t>
  </si>
  <si>
    <t>I række 39 og 40 er det muligt at oplyse månedlige tillæg der ikke reguleres med reguleringsprocenten og ikke er pensionsgivende.</t>
  </si>
  <si>
    <t>Gruppelivsbetaling oplyses i række 41.</t>
  </si>
  <si>
    <t>Diæter tastes i årlig nutidsværdi i række 49.</t>
  </si>
  <si>
    <t>Særlige feriedage der udbetales, eller særlige feriedage og feriedage der afregnes ved fratræden oplyses i række 52</t>
  </si>
  <si>
    <t xml:space="preserve">Heltids-SFO </t>
  </si>
  <si>
    <t>Heltids-SFO, før-SFO, forårs-SFO tastes i fanen "Heltids-SFO". Tast elevtal pr. mdr., forældrebetaling, evt. kommunalt tilskud og øvrige indtægter og udgifter.</t>
  </si>
  <si>
    <t>Daginstitutioner</t>
  </si>
  <si>
    <t>Daginstitiutionsoplysninger tastes i fanen "daginstitution" Tast børnetal pr. mdr., forældrebetaling, kommunalt tilskud og øvrige indtægter og udgifter. VIGTIGT: oplys antal mdr. i budgetåret og antal mdr. for et helt finansår øverst, både hvad angår forældrebetaling og tilskud fra kommunen. Gælder både ved børnehaven og ved vuggestuen. Hvis det er en nystartet institution der starter op i budgetåret vil de to tal måske hedde 5 mdr. fra august - december men 11 eller 12 måneder i et helt finansår. Er det en ikke ny institution skal der stå 11 eller 12 måneder i såvel budgetår som et helt finansår.</t>
  </si>
  <si>
    <t>Driftsudgiftsfanerne: Undervisning/SFO, Ejendom, skolemadsordning og administration.</t>
  </si>
  <si>
    <t>Prioritetsrenter og afdrag oplyses i fanen "Prio" renter.</t>
  </si>
  <si>
    <t>SLUT</t>
  </si>
  <si>
    <t>Data til Budget</t>
  </si>
  <si>
    <t>navn ender på '_1'.</t>
  </si>
  <si>
    <t>Navn</t>
  </si>
  <si>
    <t>Prc</t>
  </si>
  <si>
    <t>PrcAar</t>
  </si>
  <si>
    <t xml:space="preserve">ATP A-satser 1. Januar </t>
  </si>
  <si>
    <t>ATP</t>
  </si>
  <si>
    <t>ATP timesats i alt</t>
  </si>
  <si>
    <t>Gruppelivstakst</t>
  </si>
  <si>
    <t>Gr.liv</t>
  </si>
  <si>
    <t>Gruppeliv øvrige ansatte</t>
  </si>
  <si>
    <t>Gr.livAndre</t>
  </si>
  <si>
    <t>Grundtilskud til højst 40 elever pr. skole</t>
  </si>
  <si>
    <t>Grundtilsk</t>
  </si>
  <si>
    <t>Fællesudgiftstaxameter til de føste 220 elever</t>
  </si>
  <si>
    <t>FaeUdgSmaa</t>
  </si>
  <si>
    <t>Fællesudgiftstaxameter til den 221. elev og efterfølgende</t>
  </si>
  <si>
    <t>FaeUdgStore</t>
  </si>
  <si>
    <t>Undervisningstaxameter til elever under 13 år</t>
  </si>
  <si>
    <t>UvtaxU13</t>
  </si>
  <si>
    <t>Undervisningstaxameter til elever over 13 år - ekskl. 10. kl.</t>
  </si>
  <si>
    <t>UvtaxO13</t>
  </si>
  <si>
    <t>Undervisningstaxameter til elever i 10. kl.</t>
  </si>
  <si>
    <t>UvTax10kl</t>
  </si>
  <si>
    <t>Inklusionstilskud, grundtilskud</t>
  </si>
  <si>
    <t>InklGrund</t>
  </si>
  <si>
    <t>Ikke-pensionsgivende flydende tillæg(beløb i 12,- kroner pr. 60 min. klokketime)</t>
  </si>
  <si>
    <t>FlydTill</t>
  </si>
  <si>
    <t xml:space="preserve">Bygningstilskud </t>
  </si>
  <si>
    <t>Bygtilsk</t>
  </si>
  <si>
    <t>SFO-tilskud pr. barn 2025</t>
  </si>
  <si>
    <t>SFOtilsk</t>
  </si>
  <si>
    <t>SFO-tilskud pr. barn 2026 - forventer uændret takst</t>
  </si>
  <si>
    <r>
      <t>Samlet betaling pr. fuldtidsansat</t>
    </r>
    <r>
      <rPr>
        <sz val="8"/>
        <color theme="1"/>
        <rFont val="Arial"/>
        <family val="2"/>
      </rPr>
      <t xml:space="preserve"> </t>
    </r>
    <r>
      <rPr>
        <sz val="6"/>
        <color theme="1"/>
        <rFont val="Arial"/>
        <family val="2"/>
      </rPr>
      <t>(AUB, AES, AFU(0,-), FERIEKONTO, FIB, Lønmodtagernes Garantifond) OBS - lærerplads AUB er ikke medregnet).</t>
    </r>
    <r>
      <rPr>
        <sz val="10"/>
        <color theme="1"/>
        <rFont val="Arial"/>
        <family val="2"/>
      </rPr>
      <t xml:space="preserve"> </t>
    </r>
    <r>
      <rPr>
        <sz val="8"/>
        <color theme="1"/>
        <rFont val="Arial"/>
        <family val="2"/>
      </rPr>
      <t>Alle satser 2024  + 4%</t>
    </r>
  </si>
  <si>
    <t>Flexjobbidrag samt bidrag til barselsfonden</t>
  </si>
  <si>
    <t>FlexBidr</t>
  </si>
  <si>
    <t>Barsel.dk - gælder kun ansatte i skolens daginstitution</t>
  </si>
  <si>
    <t>BarselBidr</t>
  </si>
  <si>
    <t>Kontingent pr. elev nr. 0 - 220 til Dansk Friskoleforening</t>
  </si>
  <si>
    <t>DFkont</t>
  </si>
  <si>
    <t>Kontingent pr. elev fra nr. 221 til Dansk Friskoleforening</t>
  </si>
  <si>
    <t>Kampagnebidrag pr. elev</t>
  </si>
  <si>
    <t>Grundbeløb pr. skole til Dansk friskoleforening</t>
  </si>
  <si>
    <t>Kontingent daginstituion - Dansk friskoleforening, pr. barn</t>
  </si>
  <si>
    <t>Kontingent til Fordelingssekretariatet (samme stigning som året før)</t>
  </si>
  <si>
    <t>Vik.kas</t>
  </si>
  <si>
    <t>Tilsynshonorar for skoler med op til 55 elever</t>
  </si>
  <si>
    <t>Tilsyn1</t>
  </si>
  <si>
    <t>Tilsynshonorar for skoler med 55-109 elever</t>
  </si>
  <si>
    <t>Tilsyn2</t>
  </si>
  <si>
    <t>Tilsynshonorar for skoler med over 110-219 elever</t>
  </si>
  <si>
    <t>Tilsyn3</t>
  </si>
  <si>
    <t>Tilsynshonorar for skoler med over 219 elever</t>
  </si>
  <si>
    <t>Tilsyn4</t>
  </si>
  <si>
    <t>Fremskr</t>
  </si>
  <si>
    <t>Statstilskudsfremskrivning</t>
  </si>
  <si>
    <t>FremskrStatst</t>
  </si>
  <si>
    <t>Tilskud pr. lektion a 45 min. for undervisning i dansk for tosprogede (2023 taksten fra FSKR)</t>
  </si>
  <si>
    <t>Da2sprTax</t>
  </si>
  <si>
    <t xml:space="preserve">Tilskud pr. time a 60 min. til Personlig assistance. (2024 taksten fra SPSU) </t>
  </si>
  <si>
    <t>PrakMedhTax</t>
  </si>
  <si>
    <t>1. elev</t>
  </si>
  <si>
    <t>2. elev</t>
  </si>
  <si>
    <t>3. elev og følgende elever</t>
  </si>
  <si>
    <t>Tillægstakst til elev nr. 13 og følgende - på godkendte profilskoler</t>
  </si>
  <si>
    <t>Budgetforslag</t>
  </si>
  <si>
    <t>Omfatter skoleårene</t>
  </si>
  <si>
    <t>Indtast institutionsnummer:</t>
  </si>
  <si>
    <t>x</t>
  </si>
  <si>
    <t>LS</t>
  </si>
  <si>
    <r>
      <t xml:space="preserve">Vælg x såfremt skolen har min. 13 elever med et specialundervisningsbehov på min 12 ugentlige lektioner, OG så-fremt skolen er </t>
    </r>
    <r>
      <rPr>
        <b/>
        <sz val="10"/>
        <rFont val="Arial"/>
        <family val="2"/>
      </rPr>
      <t xml:space="preserve"> godkend</t>
    </r>
    <r>
      <rPr>
        <sz val="10"/>
        <rFont val="Arial"/>
        <family val="2"/>
      </rPr>
      <t>t som profilskole.</t>
    </r>
  </si>
  <si>
    <t>Stedtillægsområde:</t>
  </si>
  <si>
    <t>ELEVPROGNOSE</t>
  </si>
  <si>
    <t>Historiske elevtal' er ikke nødvendige.</t>
  </si>
  <si>
    <t>Klasser</t>
  </si>
  <si>
    <t>Elevtal 5.</t>
  </si>
  <si>
    <t>Elev til -</t>
  </si>
  <si>
    <t>og afgang</t>
  </si>
  <si>
    <t>Bhkl.</t>
  </si>
  <si>
    <t>1. kl.</t>
  </si>
  <si>
    <t>2. kl.</t>
  </si>
  <si>
    <t>3. kl.</t>
  </si>
  <si>
    <t>4. kl.</t>
  </si>
  <si>
    <t>5. kl.</t>
  </si>
  <si>
    <t>6. kl.</t>
  </si>
  <si>
    <t>7. kl.</t>
  </si>
  <si>
    <t>8. kl.</t>
  </si>
  <si>
    <t>9. kl.</t>
  </si>
  <si>
    <t>10. kl.</t>
  </si>
  <si>
    <t>Samlet elevtal</t>
  </si>
  <si>
    <t>Under 13 år</t>
  </si>
  <si>
    <r>
      <t xml:space="preserve">13 år og derover </t>
    </r>
    <r>
      <rPr>
        <sz val="10"/>
        <color theme="1"/>
        <rFont val="Arial"/>
        <family val="2"/>
      </rPr>
      <t>(ikke 10.kl.)</t>
    </r>
  </si>
  <si>
    <t>10. klasse 5/9</t>
  </si>
  <si>
    <t>10. klasse 5/2</t>
  </si>
  <si>
    <t>Antal "SPS" elever</t>
  </si>
  <si>
    <t>Bhkl. - 3. kl.</t>
  </si>
  <si>
    <t>SFO 0. - 3. klasse</t>
  </si>
  <si>
    <t>Klub fra 4. klasse og opefter</t>
  </si>
  <si>
    <t>HOVEDSKEMA</t>
  </si>
  <si>
    <t>Konto</t>
  </si>
  <si>
    <t>Indtast skolens reviderede regnskab</t>
  </si>
  <si>
    <t>Indtast forventet resultat!</t>
  </si>
  <si>
    <t>Bilag side</t>
  </si>
  <si>
    <t>Elever bh.kl. - 10.kl</t>
  </si>
  <si>
    <t>Årselever i skolen</t>
  </si>
  <si>
    <t>Elever i SFO, tilskudsberettigede</t>
  </si>
  <si>
    <t>Heltids SFO børn</t>
  </si>
  <si>
    <t>Børnehavebørn</t>
  </si>
  <si>
    <t>Vuggestuebørn</t>
  </si>
  <si>
    <t>STATSTILSKUD</t>
  </si>
  <si>
    <t>Generelt statstilskud</t>
  </si>
  <si>
    <t>Øvrige statstilskud(Bygning, SPS, SFO)</t>
  </si>
  <si>
    <t>SKOLEPENGE OG BETALING FOR PASNINGSORDNINGER</t>
  </si>
  <si>
    <t>Skolepenge grundskolen - netto</t>
  </si>
  <si>
    <t>Skolefritidsordningsbetaling, netto(0. - 3. klasse)</t>
  </si>
  <si>
    <t>Klubbetaling 4. klasse og opefter</t>
  </si>
  <si>
    <t>Børnehavebetaling</t>
  </si>
  <si>
    <t>Vuggestuebetaling</t>
  </si>
  <si>
    <t>Heltidsskolefritidsordningsbetaling</t>
  </si>
  <si>
    <t>Andre forældrebetalte indtægter - skole</t>
  </si>
  <si>
    <t>ANDRE INDTÆGTER OG TILSKUD</t>
  </si>
  <si>
    <t>Kommunale tilskud SFO (0-3 klasse)</t>
  </si>
  <si>
    <t>Kommunale tilskud klub fra 4. klasse og opefter</t>
  </si>
  <si>
    <t>Kommunale tilskud, børnehave</t>
  </si>
  <si>
    <t>Kommunale tilskud, vuggestue</t>
  </si>
  <si>
    <t>Kommunale tilskud , heltidskolefritidsordning</t>
  </si>
  <si>
    <t>Andre indtægter og tilskud</t>
  </si>
  <si>
    <t>Omsætning i alt:</t>
  </si>
  <si>
    <t>LØN OG ANDRE OMKOSTNINGER VEDR. UNDERVISNING OG PASNINGSORDNINGER:</t>
  </si>
  <si>
    <t>Løn, undervisning inkl. feriepengeforpligtigelse</t>
  </si>
  <si>
    <t>Lønrefusioner vedr. undervisning</t>
  </si>
  <si>
    <t>Løn, skolefritidsordning inkl. Feriepengeforpligtigelse</t>
  </si>
  <si>
    <t>Lønrefusioner vedr. SFO</t>
  </si>
  <si>
    <t>Løn, heltidsskolefritidsordning inkl. Feriepengeforpligtigelse</t>
  </si>
  <si>
    <t>Lønrefusioner vedr. heltidsskolefritidsordning</t>
  </si>
  <si>
    <t>Lønudgifter daginstitution inkl. Feriepengeforpligtigelse</t>
  </si>
  <si>
    <t>Lønrefusioner vedr. daginstitution</t>
  </si>
  <si>
    <t>Andre udgifter vedr. undervisning</t>
  </si>
  <si>
    <t>Andre udgifter vedr. SFO</t>
  </si>
  <si>
    <t>Andre udgifter vedr. dagtilbud</t>
  </si>
  <si>
    <t>Andre udgifter vedr. heltidsskolefritidsordning</t>
  </si>
  <si>
    <t>Løn og andre omkostninger vedr. undervisning og pasningsordniger i alt</t>
  </si>
  <si>
    <t>EJENDOMSUDGIFTER VEDR. UNDERVISNING OG PASNINGSORDNINGER:</t>
  </si>
  <si>
    <t>Løn, rengøring og pedel inkl. Feriepengeforpligtigelse</t>
  </si>
  <si>
    <t>Lønrefusioner reng./ pedel</t>
  </si>
  <si>
    <t>Lokaleleje</t>
  </si>
  <si>
    <t>Skatter og forsikring</t>
  </si>
  <si>
    <t>Varme, el, vand og rengøring</t>
  </si>
  <si>
    <t>Vedligeholdelse</t>
  </si>
  <si>
    <t>Øvrige ejendomsomkostninger</t>
  </si>
  <si>
    <t>Afskrivninger Ejendom</t>
  </si>
  <si>
    <t xml:space="preserve">EJENDOMSUDGIFTER  I ALT:  </t>
  </si>
  <si>
    <t>UDGIFTER TIL KOSTAFDELING, KANTINEDRIFT OG SKOLEMADSORDNING</t>
  </si>
  <si>
    <t>Lønomk. Kostafdeling, kantine og skolemadsordning inkl. Fp.forpligtigelse</t>
  </si>
  <si>
    <t>Lønrefusioner vedr.mad/Kantine</t>
  </si>
  <si>
    <t>Øvrige udgifter Mad/Kantine</t>
  </si>
  <si>
    <t>Afskrivninger Mad/Kantine</t>
  </si>
  <si>
    <t xml:space="preserve">KOSTAFDELING  I ALT:  </t>
  </si>
  <si>
    <t>UDGIFTER TIL ADMINISTRATION:</t>
  </si>
  <si>
    <t>Løn administrativt personale inkl. Feriepengeforpligtigelse</t>
  </si>
  <si>
    <t>Lønrefusion administration</t>
  </si>
  <si>
    <t>Andre omkostninger administration</t>
  </si>
  <si>
    <t>Afskrivning Administration</t>
  </si>
  <si>
    <t>ADMINISTRATIONSUDGIFTER I ALT:</t>
  </si>
  <si>
    <t>OMKOSTNINGER  I ALT</t>
  </si>
  <si>
    <t>RESULTAT FØR FINASIELLE POSTER</t>
  </si>
  <si>
    <t>FINANSIELLE POSTER</t>
  </si>
  <si>
    <t>Renteindtægter, konti</t>
  </si>
  <si>
    <t>Renter m.v., værdipapirer</t>
  </si>
  <si>
    <t>Realiserede kursgevinster.</t>
  </si>
  <si>
    <t>FINANSIELLE INDTÆGER M.V.</t>
  </si>
  <si>
    <t>Prioritetsrenter(Tastes som et positivt tal)</t>
  </si>
  <si>
    <t>Renteudgifter, vedr. kassekredit m.v.(Tastes som et positivt tal)</t>
  </si>
  <si>
    <t>Realiserede og urealiserede kurstab(Tastes som et positivt tal)</t>
  </si>
  <si>
    <t>FINANSIELLE OMKOSTNINGER M.V.</t>
  </si>
  <si>
    <t>FINANSIELLE POSTER I ALT</t>
  </si>
  <si>
    <t>RESULTAT før ekstraordinære post</t>
  </si>
  <si>
    <t>Ekstraordinære indtægter</t>
  </si>
  <si>
    <t>Ekstraordinære udgifter - tastes som et positivt tal</t>
  </si>
  <si>
    <t>EKSTRAORDINÆRE poster i alt</t>
  </si>
  <si>
    <t>ÅRETS RESULTAT</t>
  </si>
  <si>
    <t>Pengestrøm</t>
  </si>
  <si>
    <t>BALANCE</t>
  </si>
  <si>
    <t>Ejendomme</t>
  </si>
  <si>
    <t>Inventar og udstyr, undervisning</t>
  </si>
  <si>
    <t>Inventar og udstyr, administration</t>
  </si>
  <si>
    <t>Bus m.v.</t>
  </si>
  <si>
    <t>Deposita, Bankaktier</t>
  </si>
  <si>
    <t>Andele i forsyningsvirksomheder</t>
  </si>
  <si>
    <t>ANLÆGSAKTIVER I ALT:</t>
  </si>
  <si>
    <t>Tilgodehavender</t>
  </si>
  <si>
    <t>Forudbetalte udgifter</t>
  </si>
  <si>
    <t>Værdipapirer</t>
  </si>
  <si>
    <t>Likvide beholdninger</t>
  </si>
  <si>
    <t>OMSÆTNINGSAKTIVER I ALT:</t>
  </si>
  <si>
    <t>AKTIVER I ALT:</t>
  </si>
  <si>
    <t xml:space="preserve">EGENKAPITAL 31/12 </t>
  </si>
  <si>
    <t>Langfristet gæld</t>
  </si>
  <si>
    <t>Kortfristet gæld</t>
  </si>
  <si>
    <t>Kassekredit   (del af kortfristet gæld)</t>
  </si>
  <si>
    <t>Henlæggelser (del af egenkapital)</t>
  </si>
  <si>
    <t>Forud modtagne indtægter (del af kortfr. gæld)</t>
  </si>
  <si>
    <t>Gæld i alt</t>
  </si>
  <si>
    <t>PASSIVER I ALT:</t>
  </si>
  <si>
    <t>LIKVIDITET:</t>
  </si>
  <si>
    <t>Driftskapital</t>
  </si>
  <si>
    <t>Likviditetsgrad</t>
  </si>
  <si>
    <t>Pengestrømsopgørelse</t>
  </si>
  <si>
    <t>Årets resultat</t>
  </si>
  <si>
    <t>Depositum</t>
  </si>
  <si>
    <t>Ændring i feriepengeforpligtigelse undervisning</t>
  </si>
  <si>
    <t>Ændring i feriepengeforpligtigelse SFO</t>
  </si>
  <si>
    <t>Ændring i feriepengeforpligtigelse ejendom</t>
  </si>
  <si>
    <t>Ændring i feriepengeforpligtigelse kostafd.</t>
  </si>
  <si>
    <t>Ændring i feriepengeforpligtigelse administration</t>
  </si>
  <si>
    <t>Ændring i feriepengeforpligtigelse daginstitution</t>
  </si>
  <si>
    <t>Ændring i feriepengeforpligtigelse heltidsskolefritidsordning</t>
  </si>
  <si>
    <t>Ændringer i Feriepengeforpligtigelse i alt</t>
  </si>
  <si>
    <t>AFSKRIVNINGER</t>
  </si>
  <si>
    <t>Afskrivninger Undervisning</t>
  </si>
  <si>
    <t>Afskrivninger SFO</t>
  </si>
  <si>
    <t>Afskrivning Daginstitution</t>
  </si>
  <si>
    <t>Afskrivninger Kostafdeling</t>
  </si>
  <si>
    <t>Afskrivninger Administration</t>
  </si>
  <si>
    <t>Realiserede kurstab</t>
  </si>
  <si>
    <t>Afskrivninger i alt</t>
  </si>
  <si>
    <t>Afdrag på lån</t>
  </si>
  <si>
    <t>Årets Pengestrøm:</t>
  </si>
  <si>
    <t>skoleår</t>
  </si>
  <si>
    <t>kalender-dage</t>
  </si>
  <si>
    <t>lø/søndage</t>
  </si>
  <si>
    <t>SH-dage</t>
  </si>
  <si>
    <t>sommer-ferie-start</t>
  </si>
  <si>
    <t>sommer-ferie-slut</t>
  </si>
  <si>
    <t>ferie-dage</t>
  </si>
  <si>
    <t>arbejds-dage</t>
  </si>
  <si>
    <t>årsnorm</t>
  </si>
  <si>
    <t>2004/05</t>
  </si>
  <si>
    <t>2005/06</t>
  </si>
  <si>
    <t>2006/07</t>
  </si>
  <si>
    <t>2007/08</t>
  </si>
  <si>
    <t>2008/09</t>
  </si>
  <si>
    <t>2009/10</t>
  </si>
  <si>
    <t>2010/11</t>
  </si>
  <si>
    <t>2011/12</t>
  </si>
  <si>
    <t>2012/13</t>
  </si>
  <si>
    <t>2013/14</t>
  </si>
  <si>
    <t>2014/15</t>
  </si>
  <si>
    <t>2015/16</t>
  </si>
  <si>
    <t>2016/17</t>
  </si>
  <si>
    <t>2017/18</t>
  </si>
  <si>
    <t>2018/19</t>
  </si>
  <si>
    <t>2019/20</t>
  </si>
  <si>
    <t>Hvis ferien forskydes, skal der sørges for, at antallet af feriedage i et ferieår, 1. maj til 30. april, stadig er på 25 dage.</t>
  </si>
  <si>
    <t>Derved kan antallet af feriedage i et skoleår i en overgangsperiode blive på færre eller flere feriedage.</t>
  </si>
  <si>
    <t>Se fx årene 2006/07 og 2007/08.</t>
  </si>
  <si>
    <t>Det er ligegyldigt for antallet af arbejdsdage og dermed årsnormen, hvis ferien forskydes inden for ferieåret, fx den ene uge i august til oktober.</t>
  </si>
  <si>
    <t>BEREGNING AF STATSTILSKUD</t>
  </si>
  <si>
    <t xml:space="preserve">Skolens elevtal </t>
  </si>
  <si>
    <t>Elever u. 13:</t>
  </si>
  <si>
    <t>Elever o. 13:</t>
  </si>
  <si>
    <t xml:space="preserve">10. klasse </t>
  </si>
  <si>
    <t>Fællesudgiftstilskud</t>
  </si>
  <si>
    <t>Takst1 0 - 220 elever</t>
  </si>
  <si>
    <t>elever</t>
  </si>
  <si>
    <t>Takst2  220 - ∞</t>
  </si>
  <si>
    <t>Undervisningstilskud</t>
  </si>
  <si>
    <t>Elever på under 13 år</t>
  </si>
  <si>
    <t>Elever på 13 år og derover under 10. kl.</t>
  </si>
  <si>
    <t>10.kl.elever</t>
  </si>
  <si>
    <t>Regionalfaktor</t>
  </si>
  <si>
    <t>(1 for stedtillægsområde 2 og 3, og 1,02 for std.omr. 4-6)</t>
  </si>
  <si>
    <t>Driftstilskud incl. regionalisering</t>
  </si>
  <si>
    <t>Difference i elevtallet:</t>
  </si>
  <si>
    <t>*5/12</t>
  </si>
  <si>
    <t>Takst2  221 - ∞</t>
  </si>
  <si>
    <t>Regulering i tilskud  incl. regionalisering</t>
  </si>
  <si>
    <t>Tilskud / elev:</t>
  </si>
  <si>
    <t>Øvrige statstilskud</t>
  </si>
  <si>
    <t>Inklusionstilskud</t>
  </si>
  <si>
    <t>Afhængig af skolestørrelse</t>
  </si>
  <si>
    <t>Sats</t>
  </si>
  <si>
    <t>I alt</t>
  </si>
  <si>
    <t>Bygningstilskud</t>
  </si>
  <si>
    <t>TAST SELV</t>
  </si>
  <si>
    <t>SFO-Tilskud</t>
  </si>
  <si>
    <t>Øvrige statstilskud i alt:</t>
  </si>
  <si>
    <t xml:space="preserve">Årselevtal: </t>
  </si>
  <si>
    <t xml:space="preserve">TAST SELV </t>
  </si>
  <si>
    <t>Kontonummer:</t>
  </si>
  <si>
    <t>A</t>
  </si>
  <si>
    <t>B</t>
  </si>
  <si>
    <t>C</t>
  </si>
  <si>
    <t>D</t>
  </si>
  <si>
    <t>E</t>
  </si>
  <si>
    <t>F</t>
  </si>
  <si>
    <t>G</t>
  </si>
  <si>
    <t>Barn nr. i fam.</t>
  </si>
  <si>
    <t>Skolepenge-sats pr. rate</t>
  </si>
  <si>
    <t>Moderation pr. rate</t>
  </si>
  <si>
    <t>Skolepenge netto-rate
A — B</t>
  </si>
  <si>
    <t>Antal børn</t>
  </si>
  <si>
    <t>Antal  rater</t>
  </si>
  <si>
    <t>Skolepenge-indtægt
C x D x E</t>
  </si>
  <si>
    <t>Samlet moderation
B x D x E</t>
  </si>
  <si>
    <t>1.</t>
  </si>
  <si>
    <t>2.</t>
  </si>
  <si>
    <t>3.</t>
  </si>
  <si>
    <t>4.</t>
  </si>
  <si>
    <t>5.</t>
  </si>
  <si>
    <t>6.</t>
  </si>
  <si>
    <t>7.</t>
  </si>
  <si>
    <t>8.</t>
  </si>
  <si>
    <t>9.</t>
  </si>
  <si>
    <t>10.</t>
  </si>
  <si>
    <t>SUM:</t>
  </si>
  <si>
    <t>Tilskud til nedbringelse af skolepenge fra fordelingssekretariatet  - OBS(Læs det med rødt)</t>
  </si>
  <si>
    <t>Må kun medtages i budgettet såfremt skolen i ovennævnte skolepengeindtægter har budgetteret med samme nedslag i skolepenge</t>
  </si>
  <si>
    <r>
      <rPr>
        <sz val="10"/>
        <color theme="1"/>
        <rFont val="Arial"/>
        <family val="2"/>
      </rPr>
      <t>Skolens evt. egen fripladspulje.</t>
    </r>
    <r>
      <rPr>
        <sz val="7"/>
        <color rgb="FFFF0000"/>
        <rFont val="Arial"/>
        <family val="2"/>
      </rPr>
      <t xml:space="preserve"> </t>
    </r>
    <r>
      <rPr>
        <sz val="6"/>
        <color rgb="FFFF0000"/>
        <rFont val="Arial"/>
        <family val="2"/>
      </rPr>
      <t>Tastes som et negativt beløb.</t>
    </r>
    <r>
      <rPr>
        <sz val="6"/>
        <color theme="1"/>
        <rFont val="Arial"/>
        <family val="2"/>
      </rPr>
      <t xml:space="preserve"> (Fripladspuljen må ikke være modregnet i ovennævnte skolepengesatser/moderationer)</t>
    </r>
  </si>
  <si>
    <t>SFO-sats pr. rate</t>
  </si>
  <si>
    <t>SFO netto-rate
A — B</t>
  </si>
  <si>
    <t>Antal årlige rater</t>
  </si>
  <si>
    <t>SFO-indtægt
C x D x E</t>
  </si>
  <si>
    <t>Tilskud til nedbringelse af SFO-betaling fra fordelingssekretariatet  - OBS(Læs det med rødt)</t>
  </si>
  <si>
    <t>Må kun medtages i budgettet såfremt skolen i ovennævnte SFO-indtægter har budgetteret med samme nedslag</t>
  </si>
  <si>
    <r>
      <t xml:space="preserve">Skolens evt. egen fripladspulje. </t>
    </r>
    <r>
      <rPr>
        <sz val="6"/>
        <color rgb="FFFF0000"/>
        <rFont val="Arial"/>
        <family val="2"/>
      </rPr>
      <t xml:space="preserve">Tastes som et negativt beløb. </t>
    </r>
    <r>
      <rPr>
        <sz val="6"/>
        <color theme="1"/>
        <rFont val="Arial"/>
        <family val="2"/>
      </rPr>
      <t>(Fripladspuljen må ikke være modregnet i ovennævnte skolepengesatser/moderationer)</t>
    </r>
  </si>
  <si>
    <t>SFO-penge i alt til hovedskema lin. 16</t>
  </si>
  <si>
    <t>1</t>
  </si>
  <si>
    <t>2</t>
  </si>
  <si>
    <t>3</t>
  </si>
  <si>
    <t>4</t>
  </si>
  <si>
    <t>5</t>
  </si>
  <si>
    <t>6</t>
  </si>
  <si>
    <t>SFO-penge i alt til hovedskema lin. 17</t>
  </si>
  <si>
    <t>ANDRE FORÆLDREBETALTE INDTÆGTER:</t>
  </si>
  <si>
    <t>nr.</t>
  </si>
  <si>
    <t>Art</t>
  </si>
  <si>
    <t>Konto nr.</t>
  </si>
  <si>
    <t>Depositum der senere skal tilbagebetales</t>
  </si>
  <si>
    <r>
      <t>Forældrebetaling børnehave</t>
    </r>
    <r>
      <rPr>
        <sz val="8"/>
        <rFont val="Arial"/>
        <family val="2"/>
      </rPr>
      <t>(Fra fanen daginstitution)</t>
    </r>
  </si>
  <si>
    <r>
      <t>Forældrebetaling vuggestue</t>
    </r>
    <r>
      <rPr>
        <sz val="8"/>
        <rFont val="Arial"/>
        <family val="2"/>
      </rPr>
      <t>(Fra fanen daginstitution)</t>
    </r>
  </si>
  <si>
    <r>
      <t>Forældrebetaling heltidsskolefritidsordning</t>
    </r>
    <r>
      <rPr>
        <sz val="8"/>
        <rFont val="Arial"/>
        <family val="2"/>
      </rPr>
      <t>(Fra fanen heltids SFO)</t>
    </r>
  </si>
  <si>
    <t>Betaling for materialer/sangbog</t>
  </si>
  <si>
    <t>Betaling for ekskursioner</t>
  </si>
  <si>
    <t>Betaling for rejser</t>
  </si>
  <si>
    <t>Buskørsel</t>
  </si>
  <si>
    <t>FynBus</t>
  </si>
  <si>
    <t>Indskrivningsgebyr</t>
  </si>
  <si>
    <t>Andre forældrebetalte indtægter til hovedskema lin. 18-21</t>
  </si>
  <si>
    <t>ANDRE INDTÆGTER OG TILSKUD:</t>
  </si>
  <si>
    <r>
      <t xml:space="preserve">Kommunale tilskud, børnehave </t>
    </r>
    <r>
      <rPr>
        <sz val="6"/>
        <rFont val="Arial"/>
        <family val="2"/>
      </rPr>
      <t>(fra fanen daginstitution)</t>
    </r>
  </si>
  <si>
    <r>
      <t xml:space="preserve">Kommunale tilskud, vuggestue </t>
    </r>
    <r>
      <rPr>
        <sz val="6"/>
        <rFont val="Arial"/>
        <family val="2"/>
      </rPr>
      <t>(fra fanen daginstitution)</t>
    </r>
  </si>
  <si>
    <r>
      <t xml:space="preserve">Kommunale tilskud heltidsskolefritidsordning </t>
    </r>
    <r>
      <rPr>
        <sz val="6"/>
        <rFont val="Arial"/>
        <family val="2"/>
      </rPr>
      <t>(Fra fanen heltids SFO)</t>
    </r>
  </si>
  <si>
    <r>
      <t xml:space="preserve">Øvrige indtægter vedr. børnehaven </t>
    </r>
    <r>
      <rPr>
        <sz val="6"/>
        <rFont val="Arial"/>
        <family val="2"/>
      </rPr>
      <t>(fra fanen daginstitution)</t>
    </r>
  </si>
  <si>
    <r>
      <t xml:space="preserve">Øvrige indtægter vedr. vuggestuen </t>
    </r>
    <r>
      <rPr>
        <sz val="6"/>
        <rFont val="Arial"/>
        <family val="2"/>
      </rPr>
      <t>(fra fanen daginstitution)</t>
    </r>
  </si>
  <si>
    <r>
      <t>Øvrige indtægter vedr. heltidsskolefritidsordning (</t>
    </r>
    <r>
      <rPr>
        <sz val="6"/>
        <rFont val="Arial"/>
        <family val="2"/>
      </rPr>
      <t>Fra fanen heltids SFO)</t>
    </r>
  </si>
  <si>
    <t>Kommunale tilskud til SFO (0. - 3. klasse)</t>
  </si>
  <si>
    <t>Kommunale tilskud til klub (4. klasse og opefter)</t>
  </si>
  <si>
    <t>Kommunale tilskud, støttekrævende elever i grundskolen</t>
  </si>
  <si>
    <t>Kommunale tilskud, støttekrævende elever SFO</t>
  </si>
  <si>
    <r>
      <t xml:space="preserve">Evt. SPS-tilskud  med tilbagevirkende kraft </t>
    </r>
    <r>
      <rPr>
        <sz val="8"/>
        <rFont val="Arial"/>
        <family val="2"/>
      </rPr>
      <t>(Kun for skoler uden beregningsgrundlag)</t>
    </r>
  </si>
  <si>
    <t>Tilskud fra kompentencefonden mm</t>
  </si>
  <si>
    <t>Lejeindtægter fra lokaler mv.</t>
  </si>
  <si>
    <t>Rengøring</t>
  </si>
  <si>
    <t>Ansattes betaling for lys og varme mv.</t>
  </si>
  <si>
    <t>Ansattes betaling for kost</t>
  </si>
  <si>
    <t>Salg fra kostafdeling/kantine</t>
  </si>
  <si>
    <t>Betaling for skolemad</t>
  </si>
  <si>
    <t>Kontingent skolekredsmedlemmer og lignende</t>
  </si>
  <si>
    <t>Donationer, grundskolen og SFO</t>
  </si>
  <si>
    <t>Kommunalt tilskud SFO/specialstøtte</t>
  </si>
  <si>
    <t>Kommunale tilskud, øvrige</t>
  </si>
  <si>
    <t>Tilskud fra kompetencefonden, Dansk Erhverv til efter- og videreuddannelse</t>
  </si>
  <si>
    <t>Indtægter vedr. Foredrag / arrangementer</t>
    <phoneticPr fontId="55" type="noConversion"/>
  </si>
  <si>
    <t>Arrangementer</t>
  </si>
  <si>
    <t>Sponsorløb</t>
  </si>
  <si>
    <t>Andre indtægter til hovedskema lin. 23-28</t>
  </si>
  <si>
    <t>Lærerløn</t>
  </si>
  <si>
    <t>Hvis der ønskes flere kolonner til lærere, kan der indsættes flere mellem viceleder og den sidste lærerkolonne. Prøv IKKE at indsætte EFTER den sidste kolonne! Kopier en af lærerkolonnerne og vælg herefter "indsæt kopierede celler".</t>
  </si>
  <si>
    <t>Titel</t>
  </si>
  <si>
    <t>Lærer</t>
  </si>
  <si>
    <t>Timelønnet</t>
  </si>
  <si>
    <t>basisløntrin  - For skolens øverste leder tastes årligt grundbeløb i 12 kr. For skolens mellemledere vælges en basisløn afhængig af elevantal. For skolens lærere og bh.kl.ledere vælges den enkeltes basisløn afhængig af anciennitet. For timelønnede - skriv timelønnen i 12 kr.</t>
  </si>
  <si>
    <t>Læ2</t>
  </si>
  <si>
    <t>Læ4</t>
  </si>
  <si>
    <t>Bh4</t>
  </si>
  <si>
    <t>Læ1</t>
  </si>
  <si>
    <t>Læ3</t>
  </si>
  <si>
    <t>basisløn for lærer (Læ) eller bhkl.leder (Bh). V. Timelønnede skriv timeløn i 12 kr.</t>
  </si>
  <si>
    <t>Konteringsforslag  ledere</t>
  </si>
  <si>
    <t>Konto nummer:</t>
  </si>
  <si>
    <t>Antal timer pr. mdr. KUN FOR TIMELØNNEDE LÆRER</t>
  </si>
  <si>
    <t>Intervalløn øverst leder</t>
  </si>
  <si>
    <t>Basisløn til mellemleder</t>
  </si>
  <si>
    <t>Funktionstillæg ledere</t>
  </si>
  <si>
    <t>Ansat antal måneder i året</t>
  </si>
  <si>
    <t>Kvalifikationstillæg ledere</t>
  </si>
  <si>
    <t>Nej</t>
  </si>
  <si>
    <t>Engangsvederlag ledere</t>
  </si>
  <si>
    <t xml:space="preserve">ORLOV FULD TID. Er den ansatte på barsel eller andet ulønnet med ret til fuld pension? vælg "Orlov". Der vil for denne periode ikke blive beregnet en lønudgift - kun pension </t>
  </si>
  <si>
    <t>Orlov</t>
  </si>
  <si>
    <t>Udligningstillæg ledere</t>
  </si>
  <si>
    <t>SENIORORDNING 175 TIMER. Er den ansatte på seniorordning med ret til op til 175 nedsat arbejdstid men med fuld pension eller afholdes der delvis forældreorlov med nedsat løn men med fuld pension</t>
  </si>
  <si>
    <t>Ja</t>
  </si>
  <si>
    <t>Pensionsordning</t>
  </si>
  <si>
    <t>L</t>
  </si>
  <si>
    <t>E42</t>
  </si>
  <si>
    <t>Pxx=P25, Exx=Efterlønskassen, L= Lærernes Pension (xx=skalatrin)
fx skalatrin 40 i P25: P40</t>
  </si>
  <si>
    <t>Kombineret</t>
  </si>
  <si>
    <t>Konteringsforslag lærere</t>
  </si>
  <si>
    <t>E40</t>
    <phoneticPr fontId="22" type="noConversion"/>
  </si>
  <si>
    <t>Procentregulering (beregnet gennemsnit)</t>
  </si>
  <si>
    <t>Lærere og bh.kl.ledere</t>
  </si>
  <si>
    <t>Stedtillægsområde</t>
  </si>
  <si>
    <t>skolens stedtillægsområde 2-6</t>
  </si>
  <si>
    <t>Basisløn</t>
  </si>
  <si>
    <t>Lønnet beskæftigelsesgrad. Ansat 100% skriv 1. Ansat 85% skriv 0,85</t>
  </si>
  <si>
    <t>iflg. ansættelsesbrev
eller pluslønsaftale (IKKE løbende overtid!)</t>
  </si>
  <si>
    <t>Områdetillæg</t>
  </si>
  <si>
    <t>Oplys her den oprindelige beskæftigelsesgrad der skal betales pension med. Udfyldes kun ved valg af seniordning eller kombineret forældreorlov og arbejde.</t>
  </si>
  <si>
    <t>Undervisningstimer - skriv her det årlige antal undervisningstimer. OBS: Hvis ikke ansat et helt skoleår skal undervisningstimerne fra delnormperioden opregnes til et helt skoleår.</t>
  </si>
  <si>
    <t>Iflg opgaveoversigt</t>
  </si>
  <si>
    <t>Undervisningstillæg</t>
  </si>
  <si>
    <t>Basisløngrundlag (v. 100% BG)</t>
  </si>
  <si>
    <t>opslag i løntabel</t>
  </si>
  <si>
    <t>OK-08</t>
  </si>
  <si>
    <t>Stigning i børnehaveklasseleders løn OK24. Stigningen oplyses som et gennemsnit på året for en fuldtidsansat</t>
  </si>
  <si>
    <t>Områdetillæg(Gives i område 3-6)</t>
  </si>
  <si>
    <t>OK-13</t>
  </si>
  <si>
    <t>tabelløn x BG (for ledere: intervalløn)</t>
  </si>
  <si>
    <t>OK-18</t>
  </si>
  <si>
    <t>pensionsgivende</t>
  </si>
  <si>
    <t xml:space="preserve">Funktionstillæg  </t>
  </si>
  <si>
    <t>Årligt souscheftillæg i årligt grundbeløb(2012 niveau),
skriv 19.300.</t>
  </si>
  <si>
    <t>altid pensionsgivende i LP</t>
  </si>
  <si>
    <t xml:space="preserve">Kvalifikationstillæg  </t>
  </si>
  <si>
    <t>Varigt funktionsstillæg, ikke afh. af BG,
årligt grundbeløb(2012 niveau)</t>
  </si>
  <si>
    <t>pensionsgivende, indgår IKKE i garantitillægsberegningen</t>
  </si>
  <si>
    <t>Engangstillæg</t>
  </si>
  <si>
    <t>Trin-4 tillæg</t>
  </si>
  <si>
    <t>Varigt kval.tillæg*), ikke afhængig af BG,
årligt grundbeløb (2012 niveau)</t>
  </si>
  <si>
    <t>pensionsgivende, indgår i garantitillægsberegningen</t>
  </si>
  <si>
    <t xml:space="preserve">Udligningstillæg  </t>
  </si>
  <si>
    <t>Varigt kval.tillæg*), afhængig af BG,
årligt grundbeløb(2012 niveau) v. 100% BG</t>
  </si>
  <si>
    <t>Konteringsforslag alle ansatte</t>
  </si>
  <si>
    <t>Gruppeliv</t>
  </si>
  <si>
    <t>Pension</t>
  </si>
  <si>
    <t>Udligningstillæg, evt. pensionsgivende for lærere. For mellemledere er udligningstillæg beregnet i 2019 pensionsgivende.
årligt grundbeløb(2012 niveau) v. 100% BG</t>
  </si>
  <si>
    <t>Årligt TRIN 4-tillæg i årligt grundbeløb (2012 niveau)
v. 100% BG</t>
  </si>
  <si>
    <t>SPS-tillæg</t>
  </si>
  <si>
    <t>OK08-tillæg</t>
  </si>
  <si>
    <t>Lokal aftalt ulempegodt.</t>
  </si>
  <si>
    <t>OK13-tillæg</t>
  </si>
  <si>
    <t>Ulempegodtgørelse</t>
  </si>
  <si>
    <t>OK18-tillæg. Pr. 1. april 2025 ændres tillægget til OK 24-tillæg.</t>
  </si>
  <si>
    <t>Seniorbonus</t>
  </si>
  <si>
    <t>St. Bededagstillæg</t>
  </si>
  <si>
    <t>Suppl. pension i LP JA/NEJ. Gælder kun ansatte i efterlønskassen</t>
  </si>
  <si>
    <t>Hvis 'JA' beregnes for varige og midlertidige tillæg (lin. 14-20) pension i LP for personer med tjenestemandspension</t>
    <phoneticPr fontId="11"/>
  </si>
  <si>
    <t>Timedagpenge</t>
  </si>
  <si>
    <t>Er Engangsvederlag og eller resultatløn pensionsgivende?</t>
  </si>
  <si>
    <t>Særlig ferietillæg</t>
  </si>
  <si>
    <t>Er Udligningstillæg Pensionsgivende?</t>
  </si>
  <si>
    <t>Feriefridage - udbetaling</t>
  </si>
  <si>
    <t>SPS timer eller timer til 2-sprogede. pr. uge(Oplyses i klokketimer)</t>
  </si>
  <si>
    <t>Konteringsfoslag timelønnede</t>
  </si>
  <si>
    <t>Lokalaftalt fast godtgørelse - oplyses i "nu" kr. pr. mdr.(Kan være lokalaftale ulempetillæg eller lejrskoletillæg omregnet til mdr. beløb.</t>
  </si>
  <si>
    <t>ikke ledere</t>
  </si>
  <si>
    <t>Timelønede</t>
  </si>
  <si>
    <t>Feriepengeforpligtigelse betydning for drift</t>
  </si>
  <si>
    <t>Løn excl. pension</t>
  </si>
  <si>
    <t>Total lønudgift undervisning</t>
  </si>
  <si>
    <t>Pensionsgrundlag pr. måned (LP)</t>
  </si>
  <si>
    <t>Afstemning til budget planlægning</t>
  </si>
  <si>
    <t>Pensionsgrundlag pr. mdr. ved brug af seniorordning eller kombineret forældreorlov/arb</t>
  </si>
  <si>
    <t>Pensionstillæg (1/3 af pensionsindb. i alt) **)</t>
  </si>
  <si>
    <t>kun for lærere i Lærernes Pension</t>
  </si>
  <si>
    <t>Ekstra pension i tilfælde af at medarbejderen er på seniorordning eller er på kombineret arbejde og forældreorlov</t>
  </si>
  <si>
    <t>Løn incl. pensionstillæg pr. md.</t>
  </si>
  <si>
    <t>P25- eller bidrag til efterlønskassen</t>
  </si>
  <si>
    <t>efter gl. regler ("skyggeforløb")</t>
  </si>
  <si>
    <t>Ekstra bidrag til P25 eller efterlønskassen pga. brug af seniorordning eller kombineret arbejde/forældreorlov</t>
  </si>
  <si>
    <t>Indbetaling til Lærernes Pension **)</t>
  </si>
  <si>
    <t>ATP, samlet indbetaling</t>
  </si>
  <si>
    <t>A-satser.</t>
  </si>
  <si>
    <t>Skolens lønudgifter pr. måned</t>
  </si>
  <si>
    <t>Ulempe tillæg - 25% (Skriv antal årlige hele arbejdstimer der udløser ulempetillæg i tidsummet 17-06 samt i weekender og som udbetales) Arket beregner selv 25% af nettotimelønnen.</t>
  </si>
  <si>
    <t>Weekendtillæg - 50%. Tillægget afspadseres normalt i indeværende normperiode. Hvis der udarbejdes individuelle aftaler om udbetaling, skrives antal årlige arbejdstimer der udløser weekendtillæg. Arket beregner selv 50% af nettotimelønnen.</t>
  </si>
  <si>
    <t>Weekendtimer. Timeforbruget for arbejde i weekender skal normalvis afspadseres i indeværende normperiode. Hvis der udarbejdes individuelle aftaler om udbetaling, skrives antal årlige hele timer for arbejde i weekend.  Arket beregner selv nettotimelønnen</t>
  </si>
  <si>
    <t>Lejrskoletillæg på hverdage. Kr. 163,64 (pr. 31. marts 2012) pr. påbegyndt dag. Oplys antal lejrskoledage på hverdage</t>
  </si>
  <si>
    <t>Lejrskoletillæg på weekenddage. Kr. 372,20 (pr. 31. marts 2012) pr. påbegyndt dag. Oplys antal lejrskoledage i week.</t>
  </si>
  <si>
    <t>Ulempe og weekendtillæg i alt</t>
  </si>
  <si>
    <t>Diæter - Time og dagpenge. Udbetales ved tjeneste ud over 24 timer. Budgettal = årlig værdi i nutidskroner.</t>
  </si>
  <si>
    <t>Ny seniorbonusordning - dette tal bruges til år 2 i budgettet og regner hvis nej i år 1 og ja i år 2</t>
  </si>
  <si>
    <t>Seniorbonus - 0,8% af de fastpåregnelige løndele</t>
  </si>
  <si>
    <t>Lønrefusioner vedr. ledere, lærere og børnehaveklasseledere</t>
  </si>
  <si>
    <r>
      <t xml:space="preserve">(Indtast som et samlet beløb pr år) </t>
    </r>
    <r>
      <rPr>
        <sz val="12"/>
        <color rgb="FFFF0000"/>
        <rFont val="Helvetica"/>
        <family val="2"/>
      </rPr>
      <t xml:space="preserve">HUSK AT SKRIVE SOM NEGATIVE BELØB </t>
    </r>
  </si>
  <si>
    <t>Tilskud fra Fordelingssekretariatet(Sygdom 245,-/121,- Barsel 31,- Pr. lønnet 100% orlovstime)</t>
  </si>
  <si>
    <t>Tilskud til sygeundervisning(Fra fordelingssekretariatet) - se tilskudssatser FSKR</t>
  </si>
  <si>
    <t>Tilskud fra Fleksbarsel(kr. 82,- pr. lønnet 100% orlovstime)</t>
  </si>
  <si>
    <t>Tilskud fra Fleksjobordningen(50% af lønudgiften)</t>
  </si>
  <si>
    <t>Dagpengerefusioner (kr. 126,89 pr. lønnet 100% orlovstime)</t>
  </si>
  <si>
    <t>Kommunalt tilskud til flex (For ansatte under den gamle flexjobordning) Check flexaftale</t>
  </si>
  <si>
    <t>Øvrige tilskud vedr. løn</t>
  </si>
  <si>
    <r>
      <t xml:space="preserve">Feriepengeforpligtigelse  vedr. ledere, lærere og børnehaveklasseledere. </t>
    </r>
    <r>
      <rPr>
        <sz val="16"/>
        <color rgb="FFFF0000"/>
        <rFont val="Helvetica"/>
        <family val="2"/>
      </rPr>
      <t xml:space="preserve">OBS: Har en ansat mere end 1 lønkolonne(feks. pga. lønændring, orlov eller fratrædelse), skal skolen kun oplyse forpligtigelse i en kolonne. </t>
    </r>
  </si>
  <si>
    <t>Skolen har normalt 100% feriepengeforpligtigelse. MEN er der tale om en ansat i flexjob er forpligtigelsen mindre. Oplys her skolens forpligtigelse. Er det en fleksjob ansat i den gl. Ordning før 2013 er refusionssatsen typisk 83% hvilket gør at skolen har en forpligtigelse på 17%. Er det en ansat i fleksjob efter 1. jan. 2013 er skolens forpligtigelse 50%.</t>
  </si>
  <si>
    <t xml:space="preserve">Ferieberettiget løn pr. 31. december 2023. DET ER VIGTIGT DER OPLYSES EN HEL MÅNEDS LØN. (hvis ikke der sker ændring i lønnen kan lønnen aflæses allerede i september/oktober mdr.) </t>
  </si>
  <si>
    <t>100% pensionsindbetaling pr. 31. december 2023. DET ER VIGTIGT PENSIONSINDBETALINGEN VEDR. EN HEL MÅNEDS INDBETALING. (Hvis ikke der sker ændring i lønnen kan pensionsindbetalingen aflæses allerede i september/oktober mdr.)</t>
  </si>
  <si>
    <t>Skolens bidrag til ATP december 2021. (Kan også aflæses i september/oktober mdr.)</t>
  </si>
  <si>
    <t>Ferietillæg 2,02 % optjent september-december 2024</t>
  </si>
  <si>
    <t>Regulering i feriepengeforpligtigelse</t>
  </si>
  <si>
    <t>Antal mdr * BG.</t>
  </si>
  <si>
    <t>Lønafhængige lønudgifter overført til fanen "administration"</t>
  </si>
  <si>
    <t>*) Herunder varige (funktions)tillæg, der ydes til bestemte løntrin eller generelt</t>
  </si>
  <si>
    <r>
      <t xml:space="preserve">**) for ansatte med pension i Efterlønskassen eller P25 </t>
    </r>
    <r>
      <rPr>
        <i/>
        <sz val="10"/>
        <color indexed="16"/>
        <rFont val="Helv"/>
      </rPr>
      <t>kan</t>
    </r>
    <r>
      <rPr>
        <sz val="10"/>
        <color indexed="16"/>
        <rFont val="Helv"/>
      </rPr>
      <t xml:space="preserve"> der aftales supplerende pension af varige (og midlertidige) tillæg (bortset fra udligningstillæg) i Lærernes Pension. Gælder også intervalløn.</t>
    </r>
  </si>
  <si>
    <t>læ:   0-650, bh:   0-750</t>
  </si>
  <si>
    <t>JA</t>
  </si>
  <si>
    <t>læ: 650-700, bh: 750-800</t>
  </si>
  <si>
    <t>NEJ</t>
  </si>
  <si>
    <t>læ: 700-750, bh: 800-835</t>
  </si>
  <si>
    <t xml:space="preserve">læ: 750-   , bh: 835-   </t>
  </si>
  <si>
    <t>Intervalløn</t>
  </si>
  <si>
    <t>Basisløn leder</t>
  </si>
  <si>
    <t>UV-tillæg</t>
  </si>
  <si>
    <t>Timeløn</t>
  </si>
  <si>
    <t>OK-08  tillæg</t>
  </si>
  <si>
    <t>OK-13  tillæg</t>
  </si>
  <si>
    <t>OK-18  tillæg</t>
  </si>
  <si>
    <t>Tillæg BH.kl.</t>
  </si>
  <si>
    <t>Funktionstillæg</t>
  </si>
  <si>
    <t>Kvalifikationstillæg</t>
  </si>
  <si>
    <t>Udligningstillæg</t>
  </si>
  <si>
    <t>Trin 4-tillæg</t>
  </si>
  <si>
    <t>SF</t>
  </si>
  <si>
    <t>Diæter</t>
  </si>
  <si>
    <t>Lokal fast aftalt ulempe</t>
  </si>
  <si>
    <t>Ulempe godtg.</t>
  </si>
  <si>
    <t>OK18/24 tillæg særligt i 2025. jan-marts 900,- årlig grundbeløb</t>
  </si>
  <si>
    <t>april - dec 4100 i prlig grundbeløb</t>
  </si>
  <si>
    <t>OK18/24 i snit pr. mdr. i 2025</t>
  </si>
  <si>
    <t>jan-marts 2026 med forhøjet ok18/24 tillæg</t>
  </si>
  <si>
    <t>Ekstra udgift 2026 pga. forhøjet ok. Tillæg jan-marts 2025</t>
  </si>
  <si>
    <t>Ekstra udgift 2026 inkl. pension</t>
  </si>
  <si>
    <t>Hvis der ønskes flere kolonner til, kan der indsættes flere mellem første og sidste personale i hvert "ansættelsesområde"Sæt ALDRIG EFTER den sidste ansatte i hvert "ansættelseskategori". Kopier èn enkelt kolonne af gangen og "indsæt kopierede celler".</t>
  </si>
  <si>
    <t>lønudgift for skalatrinslønnede samt timelønnede ansatte i SFO, daginstitution, heltidskolefritidsordning, pedel/rengøring, administration samt kostafdeling</t>
  </si>
  <si>
    <t>Pædagogisk personale</t>
  </si>
  <si>
    <t>Administration</t>
  </si>
  <si>
    <t>Ejendom</t>
  </si>
  <si>
    <t>Kostafdeling</t>
  </si>
  <si>
    <t>Daginstitution</t>
  </si>
  <si>
    <t>Mdr. lønnede i skolens SFO og klub</t>
  </si>
  <si>
    <t>Timelønnede pædagoger i SFO og klub</t>
  </si>
  <si>
    <t>Mdr. lønnede i daginstitution</t>
  </si>
  <si>
    <t>Timelønnede pædagoger i daginstitution</t>
  </si>
  <si>
    <t>Mdr. lønnede i skolens heltids-SFO</t>
  </si>
  <si>
    <t>Timelønnede pædagoger i heltids-SFO</t>
  </si>
  <si>
    <r>
      <t xml:space="preserve">Mdr. lønnede pædagoger ansat i skolen </t>
    </r>
    <r>
      <rPr>
        <sz val="14"/>
        <color rgb="FFC00000"/>
        <rFont val="Courier"/>
        <family val="1"/>
      </rPr>
      <t>(KUN til praktisk støtte).</t>
    </r>
  </si>
  <si>
    <t>Timelønnede pædagoger i skolen</t>
  </si>
  <si>
    <t>Mdr. lønnede administrativ personale</t>
  </si>
  <si>
    <t>Timelønnede adm.personale</t>
  </si>
  <si>
    <t>Mdr. lønnede pedel og rengøring</t>
  </si>
  <si>
    <t>Timelønnede pedel og rengøring</t>
  </si>
  <si>
    <t>Månedslønnede i kostafdeling</t>
  </si>
  <si>
    <t>Timelønnede i kostafd.</t>
  </si>
  <si>
    <t>SFO leder</t>
  </si>
  <si>
    <t>Pædagog</t>
  </si>
  <si>
    <t>Vikarpulje</t>
  </si>
  <si>
    <t>Timeløn 2</t>
  </si>
  <si>
    <t>Timeløn 1</t>
  </si>
  <si>
    <t>Adm.</t>
  </si>
  <si>
    <t>Timeløn sekr. 1</t>
  </si>
  <si>
    <t>Timeløn sekr. 2</t>
  </si>
  <si>
    <t>Pedel</t>
  </si>
  <si>
    <t>Timeløn ejendom 2</t>
  </si>
  <si>
    <t>Kost</t>
  </si>
  <si>
    <t>Timeløn Kostafd. 1</t>
  </si>
  <si>
    <t>Timeløn Kostafd. 2</t>
  </si>
  <si>
    <t>Konteringsforslag SFO</t>
  </si>
  <si>
    <t>Beløb</t>
  </si>
  <si>
    <t>Konteringsforslag Daginstitution</t>
  </si>
  <si>
    <t>Konteringsforslag Heltids-SFO</t>
  </si>
  <si>
    <t>Konteringsforslag Administration</t>
  </si>
  <si>
    <t>Konteringsforslag Ejendom</t>
  </si>
  <si>
    <t>Konteringsforslag kostafdeling</t>
  </si>
  <si>
    <t>Konteringsforslag pædagogiske personale i skolen</t>
  </si>
  <si>
    <t>Vælg stillingsberegnelse ved pædagogisk personale. Ved HK og 3F - tast selv</t>
  </si>
  <si>
    <t>Afdelingsleder</t>
  </si>
  <si>
    <t>Pædagogmedhjælper</t>
  </si>
  <si>
    <t>Pædagogisk assistent</t>
  </si>
  <si>
    <t xml:space="preserve">Skalatrin </t>
  </si>
  <si>
    <t>pæd</t>
  </si>
  <si>
    <t>Skalaløn - leder</t>
  </si>
  <si>
    <t>Pædagogisk personale - skalatrinsløn</t>
  </si>
  <si>
    <t>Skalatrinsløn</t>
  </si>
  <si>
    <t>Timeløn - oplyses i 12 kr.</t>
  </si>
  <si>
    <t>Ledertillæg</t>
  </si>
  <si>
    <t>Trepart</t>
  </si>
  <si>
    <t>Trepartstillæg</t>
  </si>
  <si>
    <t>Antal timer pr. mdr.(Kun for timelønnede)</t>
  </si>
  <si>
    <t>Resultatløn</t>
  </si>
  <si>
    <t>OK21 tillæg</t>
  </si>
  <si>
    <t>OK21-tillæg</t>
  </si>
  <si>
    <t>Mdr. tillæg</t>
  </si>
  <si>
    <t>Fælles vedr. administration</t>
  </si>
  <si>
    <t>Fælles vedr. ejendom</t>
  </si>
  <si>
    <t>Fælles vedr. kostafdeling</t>
  </si>
  <si>
    <t>Fælles vedr. Heltids-SFO</t>
  </si>
  <si>
    <t>Fælles vedr. pædagogisk personale i skolen</t>
  </si>
  <si>
    <t>ORLOV FULD TID. Er den ansatte på barsel eller andet ulønnet orlov med ret til fuld pension? vælg "Orlov" Budgettet vil da ikke beregne en lønudgift, men i stedet en pensionsudgift.</t>
  </si>
  <si>
    <t>Ikke uddannet</t>
  </si>
  <si>
    <t>Er den ansatte på delvis orlov, hvor der betales delvis løn men fuld pension?</t>
  </si>
  <si>
    <t>Pensionsprocent</t>
  </si>
  <si>
    <t>skriv ikke procenttegnet</t>
  </si>
  <si>
    <t>Særlige feriedage</t>
  </si>
  <si>
    <t>Betaler skolen egetbidraget til pensionen?</t>
  </si>
  <si>
    <t>Fælles vedr. SFO</t>
  </si>
  <si>
    <t>Fælles vedr. daginstitution</t>
  </si>
  <si>
    <t>Procentregulering. Gennemsnit for året.</t>
  </si>
  <si>
    <t>skolens stedtillægsområde 2-6. Rettes på lærerarket.</t>
  </si>
  <si>
    <t>Seniorbonusordning</t>
  </si>
  <si>
    <t>iflg. ansættelsesbrev</t>
  </si>
  <si>
    <t>Total lønudgift administratiion</t>
  </si>
  <si>
    <t>Total lønudgift Ejendom</t>
  </si>
  <si>
    <t>Total lønudgift kostafdeling</t>
  </si>
  <si>
    <t>Oplys her den oprindelige beskæftigelsesgrad der skal betales pension med. Udfyldes kun ved kombineret forældreorlov og arbejde.</t>
  </si>
  <si>
    <t>Total lønudgift Heltids-SFO</t>
  </si>
  <si>
    <t>Total lønudgift pædagogisk personale i skolen</t>
  </si>
  <si>
    <t>Tabelløn/md.</t>
  </si>
  <si>
    <t>opslag i løntabel incl stedtillæg</t>
  </si>
  <si>
    <t>Tabelløn x BG</t>
  </si>
  <si>
    <t>Gennemsnitlig overenskomsttillæg pr. mdr. til det pædagogiske personale (Undtaget afdelingsledere) og 3F.</t>
  </si>
  <si>
    <t>Trepartstillæg. Beregnes automatisk til pædagoger og afdelingsledere</t>
  </si>
  <si>
    <t>Ledertillæg. Årligt grundbeløb kr. 4.500,-</t>
  </si>
  <si>
    <t>Funktionstillæg, ikke pensionsgivende, ikke afhængig af bg.
årligt grundbeløb(2012 niveau)</t>
  </si>
  <si>
    <t>ikke pensionsgivende ikke afhængig af BG</t>
  </si>
  <si>
    <t>kvalifikationstillæg, ikke pensionsgivende, ikke afh. af bg.
årligt grundbeløb(2012 niveau)</t>
  </si>
  <si>
    <t>Total lønudgift SFO</t>
  </si>
  <si>
    <t>Total lønudgift daginstitution</t>
  </si>
  <si>
    <t>resultatløn, ikke pensionsgivende, ikke afh. af bg.
årligt grundbeløb(2012 niveau)</t>
  </si>
  <si>
    <t>funktionstillæg, pensionsgivende, ikke afh. af bg.
årligt grundbeløb(2012 niveau)</t>
  </si>
  <si>
    <t>pensionsgivende ikke afhængig af BG</t>
  </si>
  <si>
    <t>Kvalifikationstillæg, ikke pensionsgivende, afh. af bg.
årligt grundbeløb(2012 niveau)</t>
  </si>
  <si>
    <t>Kvalifikationstillæg, pensionsgivende, afh. af bg.
Tast årligt grundbeløb(2012 niveau) v. 100% BG</t>
  </si>
  <si>
    <t>Årlige tillæg (lin 28-37) omregnet til mdl tiillæg</t>
  </si>
  <si>
    <t>Månedligt tillæg, ikke pensionsg., ikke regul.</t>
  </si>
  <si>
    <t>ikke pensionsgivende ikke reguleret</t>
  </si>
  <si>
    <t xml:space="preserve">Gruppeliv(Forenede gruppeliv - 130 kr.)
</t>
  </si>
  <si>
    <t>ikke pensionsgivende</t>
  </si>
  <si>
    <t xml:space="preserve">Egetbidrag til pension eller pensionstillæg </t>
  </si>
  <si>
    <t>1/3 af pensionsindbetalingen</t>
  </si>
  <si>
    <t>Evt. ekstra pensionstillæg i forbindelse med delvis arbejde og orlov</t>
  </si>
  <si>
    <t>løn incl. Pensionstillæg</t>
  </si>
  <si>
    <t>Samlet indbetaling til Pension</t>
  </si>
  <si>
    <t>A-satser</t>
  </si>
  <si>
    <t>Diæter - Time og dagpenge. Udbetales ved tjeneste mere end 24 timer. Budgettal = årlig værdi i nutidskroner.</t>
  </si>
  <si>
    <r>
      <t xml:space="preserve">Lønrefusioner </t>
    </r>
    <r>
      <rPr>
        <sz val="9"/>
        <rFont val="Helvetica"/>
        <family val="2"/>
      </rPr>
      <t xml:space="preserve">(Indsæt Samlet beløb pr år) </t>
    </r>
    <r>
      <rPr>
        <sz val="9"/>
        <color rgb="FFFF0000"/>
        <rFont val="Helvetica"/>
        <family val="2"/>
      </rPr>
      <t>HUSK AT SKRIVE SOM NEGATIVE BELØB</t>
    </r>
  </si>
  <si>
    <r>
      <t xml:space="preserve">Tilskud fra Fordelingssekretariatet. </t>
    </r>
    <r>
      <rPr>
        <sz val="9"/>
        <rFont val="Helvetica"/>
        <family val="2"/>
      </rPr>
      <t xml:space="preserve">BEMÆRK KUN SKOLENS ANSATTE </t>
    </r>
    <r>
      <rPr>
        <sz val="8"/>
        <rFont val="Helvetica"/>
        <family val="2"/>
      </rPr>
      <t>(sygdom 229,- de første 30 dage. Herefter 96,-).</t>
    </r>
  </si>
  <si>
    <t>Tilskud fra barsel.dk(Ansatte i skolens daginstitution) kr. 108,28</t>
  </si>
  <si>
    <t>Tilskud fra Fleksbarsel BEMÆRK KUN SKOLENS ANSATTE kr. 82,- pr. lønnet 100% orlovstime</t>
  </si>
  <si>
    <t>Dagpengerefusioner kr. 126,89 pr. lønnet 100% orlovstime</t>
  </si>
  <si>
    <t>Fleksjobordningen(kun skolens ansatte) 50% af lønudgiften</t>
  </si>
  <si>
    <t>Kommunalt tilskud til undervisning / Flex(se refusionsats fra kommunen)</t>
  </si>
  <si>
    <t>I alt pr. år til hovedskema 2017</t>
  </si>
  <si>
    <r>
      <t xml:space="preserve">Feriepengeforpligtigelse  vedr. pædaoger, teknisk og adm. persoanle. </t>
    </r>
    <r>
      <rPr>
        <sz val="16"/>
        <color rgb="FFFF0000"/>
        <rFont val="Helvetica"/>
        <family val="2"/>
      </rPr>
      <t xml:space="preserve">OBS: Har en ansat mere end 1 lønkolonne(feks. pga. lønændring, orlov eller fratrædelse), skal skolen kun oplyse forpligtigelse i en kolonne. </t>
    </r>
  </si>
  <si>
    <t>I alt til hovedskema</t>
  </si>
  <si>
    <t>Lederløn</t>
  </si>
  <si>
    <t>OK-21 tillæg</t>
  </si>
  <si>
    <t>Diæter - Time og dagpenge</t>
  </si>
  <si>
    <t>Sum</t>
  </si>
  <si>
    <t>Dif</t>
  </si>
  <si>
    <t>Ok-tillæg jan-marts en sats</t>
  </si>
  <si>
    <t>Ok-tillæg april - dec en sats</t>
  </si>
  <si>
    <t>Gennemsnit Ok-tillæg 2025</t>
  </si>
  <si>
    <t>OK-tillæg Hele 2026</t>
  </si>
  <si>
    <t>jan-marts 2026 med forhøjet ok tillæg</t>
  </si>
  <si>
    <t>Ekstra udgift 2026 pga. forhøjet ok. Tillæg 1. april 2025</t>
  </si>
  <si>
    <t>EKSTRA Udgift trepartstillæ 2026 PR. ÅR</t>
  </si>
  <si>
    <t>Difference til 2026 budget</t>
  </si>
  <si>
    <t>Inkl pension</t>
  </si>
  <si>
    <t>Undervisningsudgifter</t>
  </si>
  <si>
    <t>Kan undlades. Videreføres ikke til hovedskema.</t>
  </si>
  <si>
    <t>Budgetår</t>
  </si>
  <si>
    <t>Nr.</t>
  </si>
  <si>
    <t>Kto.nr</t>
  </si>
  <si>
    <t>Undervisningsmaterialer inklusiv bøger mv.</t>
  </si>
  <si>
    <t>Indskoling</t>
  </si>
  <si>
    <t>Dansk</t>
  </si>
  <si>
    <t>Matematik</t>
  </si>
  <si>
    <t>Specialundervisning</t>
  </si>
  <si>
    <t>Tysk</t>
  </si>
  <si>
    <t>Engelsk</t>
  </si>
  <si>
    <t>Fysik/kemi-natur/teknik</t>
  </si>
  <si>
    <t>Geografi/biologi</t>
  </si>
  <si>
    <t>Hæfter, lim, mapper m.v.</t>
  </si>
  <si>
    <t>Emneuger</t>
  </si>
  <si>
    <t>Krea</t>
  </si>
  <si>
    <t>Sløjd</t>
  </si>
  <si>
    <t>Madlavning</t>
  </si>
  <si>
    <t>SAMLET ANSLÅET FORBRUG</t>
  </si>
  <si>
    <t>Sangbog</t>
  </si>
  <si>
    <t>Musik</t>
  </si>
  <si>
    <t>SUM, undervisningsmaterialer</t>
  </si>
  <si>
    <t>Fotokopiering</t>
  </si>
  <si>
    <t>Leasing - Canon</t>
  </si>
  <si>
    <t>Copydan</t>
  </si>
  <si>
    <t>Kopiering</t>
  </si>
  <si>
    <t>SUM, fotokopiering</t>
  </si>
  <si>
    <t>Lejrskoler, rejser og ekskursioner</t>
  </si>
  <si>
    <t>Lejrskole</t>
  </si>
  <si>
    <t>Ekskursioner</t>
  </si>
  <si>
    <t>SUM, lejrskoler, rejser og ekskursioner</t>
  </si>
  <si>
    <t>Befordringsudgifter inkl. drift af busser(vedr. uv.) Netto</t>
  </si>
  <si>
    <t>Leje af bus</t>
  </si>
  <si>
    <t>Andre udgifter</t>
  </si>
  <si>
    <t>Driftomkostninger Bus</t>
  </si>
  <si>
    <t>Tilskud til bef. ved brobygning - tastes som et minustal</t>
  </si>
  <si>
    <t xml:space="preserve">SUM, Befordringsudgifter </t>
  </si>
  <si>
    <t>Befordring mellem skole og hjem - Netto</t>
  </si>
  <si>
    <t>Køb af buskort</t>
  </si>
  <si>
    <t>Tilskud til befordring til syge elever(FSKR)Tast i minus</t>
  </si>
  <si>
    <t>Tilskud til nedsættelse af bef.udgifter(FSKR) Tast i minus</t>
  </si>
  <si>
    <t>Tilskud til bef. af svært hanidcappede elever(FSKR) Tast i minus</t>
  </si>
  <si>
    <t>Egendækning vedr. befordring - Tast i minus</t>
  </si>
  <si>
    <t>SUM, Befordring mellem skole og hjem</t>
  </si>
  <si>
    <t>Pædagogiske kurser, Netto</t>
  </si>
  <si>
    <t>Efter og videreuddannelse</t>
  </si>
  <si>
    <t>Pædagogiske dage</t>
  </si>
  <si>
    <t>Landsmøde Friskoleforeningen</t>
  </si>
  <si>
    <t>Tilskud til læreres kursusdeltagelse(FSKR) Tast i minus</t>
  </si>
  <si>
    <t>Tilskud til certificering af tilsynsførende og tilsyn(FSKR)</t>
  </si>
  <si>
    <t>SUM, Pædagogiske kurser</t>
  </si>
  <si>
    <t>Tjenesterejser</t>
  </si>
  <si>
    <t>Anslået</t>
  </si>
  <si>
    <t>SUM, Tjenesterejser</t>
  </si>
  <si>
    <t>Inventar og udstyr</t>
  </si>
  <si>
    <t>Inventar og udstyr, leje og leasing</t>
  </si>
  <si>
    <t>Inventar og udstyr, småanskaffelser</t>
  </si>
  <si>
    <t>Inventar og udstyr, vedligeholdelse</t>
  </si>
  <si>
    <t>Pianostemning</t>
  </si>
  <si>
    <t xml:space="preserve">SUM, Inventar og udstyr </t>
  </si>
  <si>
    <t>Afskrivning undervisning</t>
  </si>
  <si>
    <t>Afskrivning</t>
  </si>
  <si>
    <t>BUS</t>
  </si>
  <si>
    <t>SUM, Afskrivning vedr. undervisning</t>
  </si>
  <si>
    <t>IT-omkostninger</t>
  </si>
  <si>
    <t>Abonnementer</t>
  </si>
  <si>
    <t>Licenser</t>
  </si>
  <si>
    <t>Programmer</t>
  </si>
  <si>
    <t>Skoleintra</t>
  </si>
  <si>
    <t>SUM, IT-omkostninger</t>
  </si>
  <si>
    <t>Køb af hjælpemidler til elever med særlige behov</t>
  </si>
  <si>
    <t>It-rygsæk</t>
  </si>
  <si>
    <t>Tilskud til hjælpemidler til elever med særlige behov.  (SPSU) Skriv som negativ beløb.</t>
  </si>
  <si>
    <t>SUM, Hjælpemidler til elever med særlige behov</t>
  </si>
  <si>
    <t>Øvrige omkostninger</t>
  </si>
  <si>
    <t>Møder og arrangementer</t>
  </si>
  <si>
    <t>Skolefrugt</t>
  </si>
  <si>
    <t>Diverse</t>
  </si>
  <si>
    <t>SUM, Øvrige omkostninger</t>
  </si>
  <si>
    <t xml:space="preserve">Tilsynsførende honorar </t>
  </si>
  <si>
    <t>SUM, tilsynaførende</t>
  </si>
  <si>
    <t>Udgifter til SFO</t>
  </si>
  <si>
    <t>Materialer</t>
  </si>
  <si>
    <t>Mad og drikkevarer</t>
  </si>
  <si>
    <t>Pædagogiske kurser</t>
  </si>
  <si>
    <t>It-omkostninger(abonnementer, licenser og programmer)</t>
  </si>
  <si>
    <t>Afskrivning SFO</t>
  </si>
  <si>
    <t>Konto-nummer</t>
  </si>
  <si>
    <t>Forældrebetaling</t>
  </si>
  <si>
    <t>Kommunalt tilskud</t>
  </si>
  <si>
    <t>Antal børn der opkræves på opdelt pr. måned</t>
  </si>
  <si>
    <t>Indtægt i alt</t>
  </si>
  <si>
    <t>Pris</t>
  </si>
  <si>
    <t>Kommunalt tilskud pr. barn</t>
  </si>
  <si>
    <t>Jan.</t>
  </si>
  <si>
    <t>Feb.</t>
  </si>
  <si>
    <t>Mar.</t>
  </si>
  <si>
    <t>Apr.</t>
  </si>
  <si>
    <t xml:space="preserve">Maj </t>
  </si>
  <si>
    <t>Jun.</t>
  </si>
  <si>
    <t>Juli Forældrebetalte børn</t>
  </si>
  <si>
    <t>Juli Kommunalbetalte børn</t>
  </si>
  <si>
    <t>Forældrebet. I alt</t>
  </si>
  <si>
    <t>Kommunalt tilskud i alt</t>
  </si>
  <si>
    <t>Andre forældrebetalte indtægter Heltids SFO</t>
  </si>
  <si>
    <t>Øvrige indtægter vedr. Heltids SFO i alt(Hovedskema linie 20)</t>
  </si>
  <si>
    <t>Øvrige indtæger vedr. Heltids SFO:</t>
  </si>
  <si>
    <t>Donationer</t>
  </si>
  <si>
    <t>Øvrige indtægter vedr. Heltids SFO i alt(Hovedskema linie 28)</t>
  </si>
  <si>
    <t>INDTÆGTER HELTIDS SFO I ALT</t>
  </si>
  <si>
    <t>Kontonr.</t>
  </si>
  <si>
    <t>UDGIFTER</t>
  </si>
  <si>
    <t xml:space="preserve">Løn </t>
  </si>
  <si>
    <t>Lønrefusioner vedr. heltids-SFO</t>
  </si>
  <si>
    <t>Lønafhængige omkostninger:</t>
  </si>
  <si>
    <t>Mad og drikke</t>
  </si>
  <si>
    <t>Inventar og udstyr, småanskaffelse</t>
  </si>
  <si>
    <t>Inventar og udstyr, vedligehold</t>
  </si>
  <si>
    <t>Inventar og udstyr, afskrivninger</t>
  </si>
  <si>
    <t>IT-omkostninger(Licens, prog)</t>
  </si>
  <si>
    <t>Øvrige omkosninger</t>
  </si>
  <si>
    <t>Udgifter i alt(Hovedskema linie 42)</t>
  </si>
  <si>
    <t xml:space="preserve">Årets resultat: </t>
  </si>
  <si>
    <t>Hvor mange forældrebetalte rater er der i dette budgetår:</t>
  </si>
  <si>
    <t>Hvor mange rater giver kommunen tilskud til i dette budgetår:</t>
  </si>
  <si>
    <t>Hvor mange forældrebetalte rater er der i et helt finansår:</t>
  </si>
  <si>
    <t>Hvor mange rater giver kommunen tilskud til i et helt finansår:</t>
  </si>
  <si>
    <t>Antal børn der opkræves opdelt pr. måned</t>
  </si>
  <si>
    <t xml:space="preserve">Børnehave pris pr. rate. </t>
  </si>
  <si>
    <t>Kommunalt driftstilskud pr. barn pr. mdr.</t>
  </si>
  <si>
    <t>Kommunalt adm.tilskud pr. barn pr. mdr.</t>
  </si>
  <si>
    <t>Kommunalt bygnings- tilskud pr. barn pr. mdr.</t>
  </si>
  <si>
    <t>Aug.</t>
  </si>
  <si>
    <t>Sep.</t>
  </si>
  <si>
    <t>Okt.</t>
  </si>
  <si>
    <t>Nov.</t>
  </si>
  <si>
    <t>Dec</t>
  </si>
  <si>
    <t>Andre forældrebetalte indtægter Børnehave</t>
  </si>
  <si>
    <t>Øvrige indtægter vedr. børnehaven i alt(Hovedskema linie 18)</t>
  </si>
  <si>
    <t>Øvrige indtægter vedr. børnehaven:</t>
  </si>
  <si>
    <t>Øvrige indtægter vedr. børnehaven i alt(Hovedskema linie 28)</t>
  </si>
  <si>
    <t xml:space="preserve">Vuggestue pris pr. rate. </t>
  </si>
  <si>
    <t>Andre forældrebetalte indtægter  i vuggestuen:</t>
  </si>
  <si>
    <t>Øvrige indtægter vedr. vuggestuen i alt(Hovedskema linie 19)</t>
  </si>
  <si>
    <t>Øvrige indtægter vedr. Vuggestuen:</t>
  </si>
  <si>
    <t>Øvrige indtægter vedr. vuggestuen i alt(Hovedskema linie 28)</t>
  </si>
  <si>
    <t>Lønudgifter Daginstitution:</t>
  </si>
  <si>
    <t>Gennemsnitlig minimumsnormeringsberegner for 2025 jf. budgettal</t>
  </si>
  <si>
    <t>Kto. nr.</t>
  </si>
  <si>
    <t>Lønudgifter fra arket Løn SFO TAP mv</t>
  </si>
  <si>
    <t>Lønudgifter daginstitution</t>
  </si>
  <si>
    <t>Lønafhængige omkostninger</t>
  </si>
  <si>
    <t>Minimumsnormering kræver antal ansatte</t>
  </si>
  <si>
    <t>Lønomkostninger i alt</t>
  </si>
  <si>
    <t>Materialer:</t>
  </si>
  <si>
    <t xml:space="preserve">Ændringer  </t>
  </si>
  <si>
    <t>Institutionen har jf. budget antal ansatte i alt</t>
  </si>
  <si>
    <t>Div. Materialer</t>
  </si>
  <si>
    <t>Er kravet om minimumsnormering opfyldt</t>
  </si>
  <si>
    <t>Legetøj</t>
  </si>
  <si>
    <t>Legeplads</t>
  </si>
  <si>
    <t>Ture i egen Bus</t>
  </si>
  <si>
    <t>Koloni</t>
  </si>
  <si>
    <t>Daglige aktiviteter i alt</t>
  </si>
  <si>
    <t>Forplejning spec:</t>
  </si>
  <si>
    <t>Frugt</t>
  </si>
  <si>
    <t>Madordning</t>
    <phoneticPr fontId="55" type="noConversion"/>
  </si>
  <si>
    <t>Forplejning i alt</t>
  </si>
  <si>
    <t>Personaleudgifter</t>
  </si>
  <si>
    <t>Efter- og videreuddannelse</t>
  </si>
  <si>
    <t>Personaleudgifter i alt</t>
  </si>
  <si>
    <t>Tjenesterejser vedr. pæd. personale</t>
  </si>
  <si>
    <t>Tjenesterejser i alt</t>
  </si>
  <si>
    <t>Inventar og udstyr - Dagtilbud</t>
  </si>
  <si>
    <t>Leje og leasing</t>
  </si>
  <si>
    <t>Småanskaffelser</t>
  </si>
  <si>
    <t>Inventar og udstyr i alt</t>
  </si>
  <si>
    <t>Afskrivninger  inventar og udstyr</t>
  </si>
  <si>
    <t>It-omkostninger vedr. daginstitution</t>
  </si>
  <si>
    <t>It-omkostninger i alt</t>
  </si>
  <si>
    <t>Øvrige omkostninger vedr. daginst.</t>
  </si>
  <si>
    <t>Øvrige omkostninger i alt</t>
  </si>
  <si>
    <t>Andre omkostninger vedr. dagtilbud - ovf. til hovedskemaet lin. 41</t>
  </si>
  <si>
    <t>Daginstitutionens resultat angivet i skolens årsrapport</t>
  </si>
  <si>
    <t>Øvrige udgifter</t>
  </si>
  <si>
    <t>Lejeomkostninger (faste lejemål)</t>
  </si>
  <si>
    <t xml:space="preserve">Ejendomsudgifter ifølge spec. </t>
  </si>
  <si>
    <t>Administrationsudgifter ifølge spec.</t>
  </si>
  <si>
    <t>Øvrige omk. I alt</t>
  </si>
  <si>
    <t>Financielle poster</t>
  </si>
  <si>
    <t xml:space="preserve">Renteindtægter (Fra fanen administration). </t>
  </si>
  <si>
    <t>Prioritetsrenter (Fra fanen administration).</t>
  </si>
  <si>
    <t>Renteudgifter (Fra fanen administration).</t>
  </si>
  <si>
    <t>Financielle poster i alt</t>
  </si>
  <si>
    <t>Andre lønudgifter</t>
  </si>
  <si>
    <t>Sekretær - tast selv daginstitutionens andel af lønudgiften til sekretær.</t>
  </si>
  <si>
    <t>Pedel og rengøring - tast selv daginstitutionens andel af lønudgiften til pedel og rengøring</t>
  </si>
  <si>
    <t>Kostafdeling - tast selv daginstitutionens andel af lønudgiften til kostafdelingen.</t>
  </si>
  <si>
    <t>Administration i alt</t>
  </si>
  <si>
    <t>Udgifter i alt</t>
  </si>
  <si>
    <t>Resultat daginstitution</t>
  </si>
  <si>
    <t>Udgifter vedr. ejendommen</t>
  </si>
  <si>
    <t>Kan undlades. Videreføres ikke til hovedskema</t>
  </si>
  <si>
    <t>Faste lejemål</t>
  </si>
  <si>
    <t>Skriv procent</t>
  </si>
  <si>
    <t>Bygninger</t>
  </si>
  <si>
    <t xml:space="preserve">                     </t>
  </si>
  <si>
    <t>SUM, faste lejemål</t>
  </si>
  <si>
    <t>Lejemål i alt</t>
  </si>
  <si>
    <t>Timelejemål</t>
  </si>
  <si>
    <t xml:space="preserve">Svømmehal </t>
  </si>
  <si>
    <t>Fysiklokale</t>
  </si>
  <si>
    <t>Halleje</t>
  </si>
  <si>
    <t>SUM, Timelejemål</t>
  </si>
  <si>
    <t>Ejendomsskat</t>
  </si>
  <si>
    <t>SUM, ejendomsskat</t>
  </si>
  <si>
    <t>Ejendomsforsikringer</t>
  </si>
  <si>
    <t>Bygning</t>
  </si>
  <si>
    <t>Løsøre</t>
  </si>
  <si>
    <t>Alarm</t>
  </si>
  <si>
    <t>SUM, ejendomsforsikringerl</t>
  </si>
  <si>
    <t>Varme</t>
  </si>
  <si>
    <t xml:space="preserve">Varme olie </t>
  </si>
  <si>
    <t>SUM, varme</t>
  </si>
  <si>
    <t>El</t>
  </si>
  <si>
    <t>EL</t>
  </si>
  <si>
    <t>SUM, el</t>
  </si>
  <si>
    <t>Vand</t>
  </si>
  <si>
    <t>Vandafledning</t>
  </si>
  <si>
    <t>SUM, vand</t>
  </si>
  <si>
    <t>Rengøring og renovation</t>
  </si>
  <si>
    <t>Rengøringsmidler</t>
  </si>
  <si>
    <t>Renovation</t>
  </si>
  <si>
    <t>SUM, rengøring og renovation</t>
  </si>
  <si>
    <t>Vedligeholdelse bygninger og arealer</t>
  </si>
  <si>
    <t>Vedligeholdelse udearealer</t>
  </si>
  <si>
    <t>Vedligeholdelse bygninger</t>
  </si>
  <si>
    <t>Ekstra ordinær vedligeholdelse</t>
  </si>
  <si>
    <t>Rep. Værktøj og maskiner</t>
  </si>
  <si>
    <t>Udsmykning</t>
  </si>
  <si>
    <t>Bygninger og arealer i alt til hovedskema lin. 50</t>
  </si>
  <si>
    <t>Alarmer</t>
  </si>
  <si>
    <t>SUM, øvrige omkostninger</t>
  </si>
  <si>
    <t>Kurser</t>
  </si>
  <si>
    <t>Pedelseminar</t>
  </si>
  <si>
    <t>SUM, kurser</t>
  </si>
  <si>
    <t>SUM, Inventar og udstyr</t>
  </si>
  <si>
    <t>Øvrige omk, kurser, tjenesterejser, mm. til hovedskema lin. 51</t>
  </si>
  <si>
    <t>Afskrivninger vedr. Ejendomsdrift</t>
  </si>
  <si>
    <t>Afskrivninger bygninger til scrapværdi 50% af xx mill</t>
  </si>
  <si>
    <t>SUM,Afskrivninger vedr.  Ejendomsudgifter</t>
  </si>
  <si>
    <t>I alt til daginstitutioner eks. Lejemål</t>
  </si>
  <si>
    <t>Afskrivninger vedr. ejendomsdrift til hovedskema lin. 52</t>
  </si>
  <si>
    <t>Omkostninger kostafd, kantinedrift og skolemadsordning</t>
  </si>
  <si>
    <t>Madvarer</t>
  </si>
  <si>
    <t xml:space="preserve">Ændring </t>
  </si>
  <si>
    <t>Evt. EU-tilskud fratrækkes - tastes som negativt beløb</t>
  </si>
  <si>
    <t>Fritidsaktiviteter/weekendarrangementer</t>
  </si>
  <si>
    <t>Øvrig omkostninger</t>
  </si>
  <si>
    <t>Omkostninger kostafd, kantinedrift og skolemad i alt. Hovedskema lin. 57</t>
  </si>
  <si>
    <t>Afskrivninger vedr. kostafdeling</t>
  </si>
  <si>
    <t>SUM, Afskrivninger kostafdeling. Hovedskema lin. 58</t>
  </si>
  <si>
    <t>Adminstrationsomkostninger</t>
  </si>
  <si>
    <t>Revision</t>
  </si>
  <si>
    <t>Regnskabsmæssig assistance</t>
  </si>
  <si>
    <t>EDB-lønbehandling og gebyr</t>
  </si>
  <si>
    <t>Konsulent</t>
    <phoneticPr fontId="55" type="noConversion"/>
  </si>
  <si>
    <t>Andre konsulenter</t>
  </si>
  <si>
    <t>Andre EDB-konsulenter</t>
  </si>
  <si>
    <t>Forsikringer (ej bygninger)</t>
  </si>
  <si>
    <t>Arbejdsskadeforsikring</t>
  </si>
  <si>
    <t>Ullykkesforsikring</t>
  </si>
  <si>
    <t>Erhvervsskadeforsikring</t>
  </si>
  <si>
    <t>Erhvervsforsikring</t>
  </si>
  <si>
    <t>Hjemrejseforsikring</t>
  </si>
  <si>
    <t>bestyrelsesansvar</t>
  </si>
  <si>
    <t>Markedsføring</t>
  </si>
  <si>
    <t>Årsskrift</t>
  </si>
  <si>
    <t>PR</t>
  </si>
  <si>
    <t xml:space="preserve">Annoncer </t>
  </si>
  <si>
    <t>Omkostninger ved ansættelse af personale</t>
  </si>
  <si>
    <t>Stillingsannoncer</t>
  </si>
  <si>
    <t>Personaleomkostninger</t>
  </si>
  <si>
    <t>Forplejning v. Interne arrangementer</t>
  </si>
  <si>
    <t>Julegaver</t>
  </si>
  <si>
    <t>Lejlighedsgaver</t>
  </si>
  <si>
    <t>Lægeattest</t>
  </si>
  <si>
    <t>Bestyrelsesomkostninger</t>
  </si>
  <si>
    <t>Bestyrelseskurser</t>
  </si>
  <si>
    <t>Årsmøder</t>
  </si>
  <si>
    <t>Budgetkursus</t>
  </si>
  <si>
    <t>Skoleårets planlægning</t>
  </si>
  <si>
    <t>Sikkerhedskurser</t>
  </si>
  <si>
    <t>Lovpligtige afgifter Personale</t>
  </si>
  <si>
    <t>Undervisning</t>
  </si>
  <si>
    <t>SFO</t>
  </si>
  <si>
    <t>Heltidsskolefritidsordning</t>
  </si>
  <si>
    <t>Kostafdeling/Kantine</t>
  </si>
  <si>
    <t>Repræsentation</t>
  </si>
  <si>
    <t>Kontorartikler, porto og telefon</t>
  </si>
  <si>
    <t>Div. Korntorartikler</t>
  </si>
  <si>
    <t>Porto</t>
  </si>
  <si>
    <t>Telefon</t>
  </si>
  <si>
    <t>Kontingent til skoleforeninger</t>
  </si>
  <si>
    <t>Kontingent Dansk friskoleforening(Grundbeløb, elevkontingent op til elev nr. 220 samt kampagnebidrag)</t>
  </si>
  <si>
    <t>Rabat - Kontingent Dansk friskoleforening(fra elev nr. 221)</t>
  </si>
  <si>
    <t>Kontingent daginstitution</t>
  </si>
  <si>
    <t>Bidrag til Fordelingssekretariatet</t>
  </si>
  <si>
    <t>Anskaffelse</t>
  </si>
  <si>
    <t>Vedligeholdelse af inventar m.m</t>
  </si>
  <si>
    <t>Skoleadministrationssystem</t>
  </si>
  <si>
    <t>Digitalisering</t>
  </si>
  <si>
    <t>Hjemmeside</t>
  </si>
  <si>
    <t>Nets</t>
  </si>
  <si>
    <t>Tab, debitorer</t>
  </si>
  <si>
    <t>Afskrivning skolepenge</t>
    <phoneticPr fontId="55" type="noConversion"/>
  </si>
  <si>
    <t>Afskrivninger vedr. administration</t>
  </si>
  <si>
    <t>SUM, Afskrivninger administration itil hovedskema lin. 64</t>
  </si>
  <si>
    <t>Øvrige adm. Udgifter</t>
  </si>
  <si>
    <t>Uddannelse af administration</t>
  </si>
  <si>
    <t>Adm. I alt ovf. til daginstitution</t>
  </si>
  <si>
    <t>Heraf Daginstitutionens andel:</t>
  </si>
  <si>
    <t>Finansielle indtægter</t>
  </si>
  <si>
    <t>Bank</t>
  </si>
  <si>
    <t>Giro</t>
  </si>
  <si>
    <t>Realiserede kursgevinster</t>
  </si>
  <si>
    <t>Til daginst.fanen</t>
  </si>
  <si>
    <t>Prioritetsrenter</t>
  </si>
  <si>
    <t>Kreditforening</t>
  </si>
  <si>
    <t>Statslån</t>
  </si>
  <si>
    <t>Andre lån</t>
  </si>
  <si>
    <t>Pantebrev</t>
  </si>
  <si>
    <t>Kassekredit</t>
  </si>
  <si>
    <t>Renteudgifter</t>
  </si>
  <si>
    <t>Morarenter m.v.</t>
  </si>
  <si>
    <t>Morarenter</t>
  </si>
  <si>
    <t>Rykkergebyr</t>
  </si>
  <si>
    <t>Kurstab</t>
  </si>
  <si>
    <t>Urealiserede kurstab</t>
  </si>
  <si>
    <t>Renteudgifter til fanen daginst.</t>
  </si>
  <si>
    <t>Særlige indtægter</t>
  </si>
  <si>
    <t>Særlige udgifter</t>
  </si>
  <si>
    <t>Hovedstol</t>
  </si>
  <si>
    <t>Startdato</t>
  </si>
  <si>
    <t xml:space="preserve">
Løbe-
tid</t>
  </si>
  <si>
    <t xml:space="preserve">
Rente-
fod</t>
  </si>
  <si>
    <t>Ter-
miner
/år</t>
  </si>
  <si>
    <t>Ann.
Serie
Mix</t>
  </si>
  <si>
    <t>Primo 
restgæld</t>
  </si>
  <si>
    <t>Nykredit</t>
  </si>
  <si>
    <t>SUM, kreditfore.lån</t>
  </si>
  <si>
    <t xml:space="preserve">
Ann.</t>
  </si>
  <si>
    <t>SUM, statslån</t>
  </si>
  <si>
    <t>Friskolefonden</t>
  </si>
  <si>
    <t>Gældsbrev</t>
  </si>
  <si>
    <t>SUM, andre lån</t>
  </si>
  <si>
    <t>Nye lån</t>
  </si>
  <si>
    <t>SUM, nye lån</t>
  </si>
  <si>
    <t>TOTAL:</t>
  </si>
  <si>
    <t>Resultatopgørelse</t>
  </si>
  <si>
    <t>Regnskab</t>
  </si>
  <si>
    <t>BUDGET</t>
  </si>
  <si>
    <t>Årselever</t>
  </si>
  <si>
    <t>Elever SFO</t>
  </si>
  <si>
    <t>Statstilskud</t>
  </si>
  <si>
    <t>Tilskud fra fordelingsudvalg</t>
  </si>
  <si>
    <t>Skolepenge (Skole, SFO, Børnehave)</t>
  </si>
  <si>
    <t>Andre indtægter</t>
  </si>
  <si>
    <t xml:space="preserve">INDTÆGTER I ALT:  </t>
  </si>
  <si>
    <t>Løn, undervisning</t>
  </si>
  <si>
    <t>SFO+ evt. børnehave udgifter</t>
  </si>
  <si>
    <t xml:space="preserve">UNDERVISNING I ALT:   </t>
  </si>
  <si>
    <t xml:space="preserve">Løn, rengøring og pedel </t>
  </si>
  <si>
    <t>Andre omkostninger, ejendomsdrift</t>
  </si>
  <si>
    <t>Løn, Mad / Kantine - kostafdeling</t>
  </si>
  <si>
    <t>Andre udgifter Mad / Kantine - kostafdeling</t>
  </si>
  <si>
    <t xml:space="preserve">MAD / KANTINE - KOSTAFDELING  I ALT:  </t>
  </si>
  <si>
    <t xml:space="preserve">Løn administrativt personale </t>
  </si>
  <si>
    <t>Øvrige administrationsudgifter</t>
  </si>
  <si>
    <t xml:space="preserve">ADMINISTRATION M.V.  I ALT:   </t>
  </si>
  <si>
    <t>DRIFTSOMKOSTNINGER I ALT</t>
  </si>
  <si>
    <t>RESULTAT FØR Financielle poster:</t>
  </si>
  <si>
    <t>Renteindtægter</t>
  </si>
  <si>
    <t>Renteomkostninger m.v.</t>
  </si>
  <si>
    <t>FINANCIELLE POSTER I ALT</t>
  </si>
  <si>
    <t xml:space="preserve">RESULTAT FØR EKSTRAORD. </t>
  </si>
  <si>
    <t>Ekstraordinære udgifter</t>
  </si>
  <si>
    <t xml:space="preserve">EKSTRAORDINÆRE POSTER i alt :  </t>
  </si>
  <si>
    <t>Status</t>
  </si>
  <si>
    <t>33a</t>
  </si>
  <si>
    <t>Indtægter:</t>
  </si>
  <si>
    <t>pr. barn</t>
  </si>
  <si>
    <t>Kommunale tilskud</t>
  </si>
  <si>
    <t>Private tilskud</t>
  </si>
  <si>
    <t>Andet- Mad Vuggestue</t>
    <phoneticPr fontId="55" type="noConversion"/>
  </si>
  <si>
    <t>Andre indtægter - madordning</t>
    <phoneticPr fontId="55" type="noConversion"/>
  </si>
  <si>
    <t>Udgifter:</t>
  </si>
  <si>
    <t>Løn pædagoger incl pension</t>
  </si>
  <si>
    <t>Lønrefusioner</t>
  </si>
  <si>
    <t>Løn i alt:</t>
  </si>
  <si>
    <t>Daglige aktiviteter</t>
  </si>
  <si>
    <t>Forplejning</t>
  </si>
  <si>
    <t>Lokaler / Bygninger</t>
  </si>
  <si>
    <t>Øvrige udgifter i alt</t>
    <phoneticPr fontId="55" type="noConversion"/>
  </si>
  <si>
    <t>Udgifter i alt:</t>
  </si>
  <si>
    <t>Årets resultat:</t>
  </si>
  <si>
    <t>STATENS LØNTABEL GRUNDBELØB PR. 31. marts 2012</t>
  </si>
  <si>
    <t>skkode</t>
  </si>
  <si>
    <t>kommkode</t>
  </si>
  <si>
    <t>navn</t>
  </si>
  <si>
    <t>stedområde</t>
  </si>
  <si>
    <t>region</t>
  </si>
  <si>
    <t>Skalatrin</t>
  </si>
  <si>
    <t>II</t>
  </si>
  <si>
    <t>III</t>
  </si>
  <si>
    <t>IV</t>
  </si>
  <si>
    <t>V</t>
  </si>
  <si>
    <t>VI</t>
  </si>
  <si>
    <t>Pensionsg.løn</t>
  </si>
  <si>
    <t>Svanevej Privatskole</t>
  </si>
  <si>
    <t>Bordings Friskole</t>
  </si>
  <si>
    <t>Landsbyskolen</t>
  </si>
  <si>
    <t>Vanløse Privatskole</t>
  </si>
  <si>
    <t>DIA Privatskole</t>
  </si>
  <si>
    <t>Bjørn's Internationale Skole</t>
  </si>
  <si>
    <t>Kildeskolen</t>
  </si>
  <si>
    <t>Amager's International School</t>
  </si>
  <si>
    <t>Iqbal International School</t>
  </si>
  <si>
    <t>Jinnah International School</t>
  </si>
  <si>
    <t>Ahi International School</t>
  </si>
  <si>
    <t>Al Hikma Skolen</t>
  </si>
  <si>
    <t>HAY-Skolen</t>
  </si>
  <si>
    <t>Sjællands Privatskole</t>
  </si>
  <si>
    <t>Mariendal Friskole</t>
  </si>
  <si>
    <t>Al Huda Skolen</t>
  </si>
  <si>
    <t>Al Quds Skole</t>
  </si>
  <si>
    <t>Al-Hilal Skolen</t>
  </si>
  <si>
    <t>Steinerskolen i København</t>
  </si>
  <si>
    <t>Livets Skole</t>
  </si>
  <si>
    <t>Øresunds Internationale Skole</t>
  </si>
  <si>
    <t>Nord-vest Privatskole</t>
  </si>
  <si>
    <t>Iqra Privatskole</t>
  </si>
  <si>
    <t>Salix Skole</t>
  </si>
  <si>
    <t>Frederiksberg Friskole</t>
  </si>
  <si>
    <t>Michael Skolen</t>
  </si>
  <si>
    <t>Busses Skole</t>
  </si>
  <si>
    <t>Vidar Skolen, Rud. St. Sk. i Gentofte</t>
  </si>
  <si>
    <t>Atheneskolen</t>
  </si>
  <si>
    <t>Nærum Privatskole</t>
  </si>
  <si>
    <t>Rud. St. Sk. Kvistgård</t>
  </si>
  <si>
    <t>Al-Irchad Skolen</t>
  </si>
  <si>
    <t>KonTiki</t>
  </si>
  <si>
    <t>Herfølge Privatskole</t>
  </si>
  <si>
    <t>Osted Fri- og Efterskole</t>
  </si>
  <si>
    <t>Viby Friskole</t>
  </si>
  <si>
    <t>Roskilde Private Skole</t>
  </si>
  <si>
    <t>Kristofferskolen</t>
  </si>
  <si>
    <t>Freds Skolen</t>
  </si>
  <si>
    <t>Den Demokratiske Skole</t>
  </si>
  <si>
    <t>Sydkystens Privatskole</t>
  </si>
  <si>
    <t>Spjellerup Friskole</t>
  </si>
  <si>
    <t>Helsingør Privatskole</t>
  </si>
  <si>
    <t>Midtdjurs Friskole</t>
  </si>
  <si>
    <t>Feldballe Friskole</t>
  </si>
  <si>
    <t>Nr. Asmindrup Friskole</t>
  </si>
  <si>
    <t>Astrup Friskole og Børnehave</t>
  </si>
  <si>
    <t>Friskolen Skallerup</t>
  </si>
  <si>
    <t>Grænseegnens Friskole</t>
  </si>
  <si>
    <t>Ingstrup Trivselsskole</t>
  </si>
  <si>
    <t>Margrethelyst Friskole</t>
  </si>
  <si>
    <t>Klitmøller Friskole</t>
  </si>
  <si>
    <t>Roser Skolen</t>
  </si>
  <si>
    <t>Stepping Friskole</t>
  </si>
  <si>
    <t>Vejlernes Naturfriskole</t>
  </si>
  <si>
    <t>Vendsyssel Friskole</t>
  </si>
  <si>
    <t>HK1</t>
  </si>
  <si>
    <t>Randlevskolen</t>
  </si>
  <si>
    <t>HK2</t>
  </si>
  <si>
    <t>Langtved Friskole</t>
  </si>
  <si>
    <t>HK3</t>
  </si>
  <si>
    <t>Lørslev Friskole</t>
  </si>
  <si>
    <t>HK4</t>
  </si>
  <si>
    <t>Allindelille Friskole</t>
  </si>
  <si>
    <t>Slotsparkens Friskole</t>
  </si>
  <si>
    <t>Bedsted Friskole</t>
  </si>
  <si>
    <t>Friskolen Hald Ege</t>
  </si>
  <si>
    <t>Skovlund Friskole</t>
  </si>
  <si>
    <t>Bh1</t>
  </si>
  <si>
    <t>Svenstrup Friskole</t>
  </si>
  <si>
    <t>Bh2</t>
  </si>
  <si>
    <t>Jejsing Friskole</t>
  </si>
  <si>
    <t>Bh3</t>
  </si>
  <si>
    <t>Filskov Friskole og Børnehave</t>
  </si>
  <si>
    <t>Margrethe Reedtz Skolen</t>
  </si>
  <si>
    <t>Voldumegnens Friskole</t>
  </si>
  <si>
    <t>ikke reguleret-  ikke pensionsgivende</t>
  </si>
  <si>
    <t>Kværkeby Friskole</t>
  </si>
  <si>
    <t>Vestermose Natur og Idrætsfriskole</t>
  </si>
  <si>
    <t>Basistrin</t>
  </si>
  <si>
    <t>Hellum Friskole</t>
  </si>
  <si>
    <t>ROS Privatskole</t>
  </si>
  <si>
    <t>Ejsing Friskole</t>
  </si>
  <si>
    <t>Romalt Friskole</t>
  </si>
  <si>
    <t>Friskolen Vellev</t>
  </si>
  <si>
    <t>Skelbæk Friskole</t>
  </si>
  <si>
    <t>Jelling Friskole</t>
  </si>
  <si>
    <t>Hellested Friskole</t>
  </si>
  <si>
    <t>Kværs Idrætsfriskole</t>
  </si>
  <si>
    <t>Den Nye Friskole</t>
  </si>
  <si>
    <t>Vejle Privatskole</t>
  </si>
  <si>
    <t>Faarevejle Fri- og Efterskole</t>
  </si>
  <si>
    <t>Høve Friskole</t>
  </si>
  <si>
    <t>Vallekilde-Hørve Friskole</t>
  </si>
  <si>
    <t>Friskolen i Starreklinte</t>
  </si>
  <si>
    <t>NEJJA</t>
  </si>
  <si>
    <t>Lpension</t>
  </si>
  <si>
    <t>Vinde Helsinge Friskole/Vestsj. Idrætsef</t>
  </si>
  <si>
    <t>Friskolen &amp; Idrætsefterskolen Ubby</t>
  </si>
  <si>
    <t>E24</t>
  </si>
  <si>
    <t>Sæby-Hallenslev Friskole</t>
  </si>
  <si>
    <t>E25</t>
  </si>
  <si>
    <t>E43</t>
  </si>
  <si>
    <t>Tømmerup Fri- og Efterskole</t>
  </si>
  <si>
    <t>E27</t>
  </si>
  <si>
    <t>E44</t>
  </si>
  <si>
    <t>Kalundborg Friskole</t>
  </si>
  <si>
    <t>E30</t>
  </si>
  <si>
    <t>E45</t>
  </si>
  <si>
    <t>Forlev Friskole</t>
  </si>
  <si>
    <t>E31</t>
  </si>
  <si>
    <t>E46</t>
  </si>
  <si>
    <t>Helms Skole</t>
  </si>
  <si>
    <t>E32</t>
  </si>
  <si>
    <t>E47</t>
  </si>
  <si>
    <t>Ringsted Privatskole</t>
  </si>
  <si>
    <t>E33</t>
  </si>
  <si>
    <t>E48</t>
  </si>
  <si>
    <t>Ringsted Ny Friskole</t>
  </si>
  <si>
    <t>E35</t>
  </si>
  <si>
    <t>P42</t>
  </si>
  <si>
    <t>Lille Egede Friskole</t>
  </si>
  <si>
    <t>E36</t>
  </si>
  <si>
    <t>P43</t>
  </si>
  <si>
    <t>Landsgrav Friskole</t>
  </si>
  <si>
    <t>E37</t>
  </si>
  <si>
    <t>P44</t>
  </si>
  <si>
    <t>Trelleborg Friskole</t>
  </si>
  <si>
    <t>E38</t>
  </si>
  <si>
    <t>P45</t>
  </si>
  <si>
    <t>Frejaskolen, Rud.St.Sk. på Midtsjælland</t>
  </si>
  <si>
    <t>E40</t>
  </si>
  <si>
    <t>P46</t>
  </si>
  <si>
    <t>Friskolen Øster Egesborg</t>
  </si>
  <si>
    <t>P47</t>
  </si>
  <si>
    <t>Møn Friskole</t>
  </si>
  <si>
    <t>P24</t>
  </si>
  <si>
    <t>P48</t>
  </si>
  <si>
    <t>Friskolen af 2008</t>
  </si>
  <si>
    <t>P25</t>
  </si>
  <si>
    <t>P49</t>
  </si>
  <si>
    <t>Skovby Friskole</t>
  </si>
  <si>
    <t>P27</t>
  </si>
  <si>
    <t>Druestrup Friskole</t>
  </si>
  <si>
    <t>P30</t>
  </si>
  <si>
    <t>Stevns Friskole</t>
  </si>
  <si>
    <t>P31</t>
  </si>
  <si>
    <t>Rud. St. Sk. i Vordingborg</t>
  </si>
  <si>
    <t>P32</t>
  </si>
  <si>
    <t>Sværdborg Friskole</t>
  </si>
  <si>
    <t>P33</t>
  </si>
  <si>
    <t>Sydbornholms Privatskole</t>
  </si>
  <si>
    <t>P35</t>
  </si>
  <si>
    <t>Broby Fri- og Efterskole</t>
  </si>
  <si>
    <t>P36</t>
  </si>
  <si>
    <t>Ollerup Friskole</t>
  </si>
  <si>
    <t>P37</t>
  </si>
  <si>
    <t>Vester Skerninge Friskole</t>
  </si>
  <si>
    <t>P38</t>
  </si>
  <si>
    <t>Enghaveskolen - Faaborgegnens Friskole</t>
  </si>
  <si>
    <t>P40</t>
  </si>
  <si>
    <t>Haastrup Friskole</t>
  </si>
  <si>
    <t>Glamsbjerg Fri- og Efterskole</t>
  </si>
  <si>
    <t>Køng Idrætsfriskole</t>
  </si>
  <si>
    <t>Oure Friskole</t>
  </si>
  <si>
    <t>Friskolen i Jordløse</t>
  </si>
  <si>
    <t>Kertemindeegnens Friskole</t>
  </si>
  <si>
    <t>Middelfart Friskole</t>
  </si>
  <si>
    <t>Fænøsund Friskole</t>
  </si>
  <si>
    <t>Højby Friskole</t>
  </si>
  <si>
    <t>Odense Friskole</t>
  </si>
  <si>
    <t>Stige Friskole</t>
  </si>
  <si>
    <t>Ådalskolen, Fangel Friskole</t>
  </si>
  <si>
    <t>Rud. St. Sk. i Odense</t>
  </si>
  <si>
    <t>Al-Salahiyah Skolen</t>
  </si>
  <si>
    <t>Det Kgl. Teaters Balletskole i Odense</t>
  </si>
  <si>
    <t>Friskolen City Odense</t>
  </si>
  <si>
    <t>Mentiqa-Odense</t>
  </si>
  <si>
    <t>Al-Salam Skolen</t>
  </si>
  <si>
    <t>Hjemly Fri- og Idrætsefterskole</t>
  </si>
  <si>
    <t>Nordskovens Friskole</t>
  </si>
  <si>
    <t>Ringe Fri- og Efterskole</t>
  </si>
  <si>
    <t>Rudme Friskole</t>
  </si>
  <si>
    <t>Krarup Friskole, Reventlowskolen</t>
  </si>
  <si>
    <t>Kassebølle Friskole</t>
  </si>
  <si>
    <t>Gislev Friskole</t>
  </si>
  <si>
    <t>Ryslinge Friskole</t>
  </si>
  <si>
    <t>Trunderup Friskole</t>
  </si>
  <si>
    <t>Øster Åby Friskole</t>
  </si>
  <si>
    <t>Magleby Fri- og Efterskole</t>
  </si>
  <si>
    <t>Ærø Friskole</t>
  </si>
  <si>
    <t>Refsvindinge Friskole</t>
  </si>
  <si>
    <t>Svindinge Friskole</t>
  </si>
  <si>
    <t>Ferritslev Friskole</t>
  </si>
  <si>
    <t>Nr. Lyndelse Friskole</t>
  </si>
  <si>
    <t>Sdr. Nærå Friskole &amp; Midtfyns Efterskole</t>
  </si>
  <si>
    <t>Frøbjerg-Orte Friskole</t>
  </si>
  <si>
    <t>Midtals Friskole</t>
  </si>
  <si>
    <t>Aller Friskole</t>
  </si>
  <si>
    <t>Simmersted Friskole</t>
  </si>
  <si>
    <t>Fole Friskole</t>
  </si>
  <si>
    <t>Gråsten Friskole</t>
  </si>
  <si>
    <t>Søgård Friskole</t>
  </si>
  <si>
    <t>Løgumkloster Friskole</t>
  </si>
  <si>
    <t>Oksbøl Friskole</t>
  </si>
  <si>
    <t>Friskolen Østerlund</t>
  </si>
  <si>
    <t>Rødding Friskole</t>
  </si>
  <si>
    <t>Brøns Rejsby Friskole</t>
  </si>
  <si>
    <t>Eckersberg Børneunivers</t>
  </si>
  <si>
    <t>Tandslet Friskole</t>
  </si>
  <si>
    <t>Aabenraa Friskole</t>
  </si>
  <si>
    <t>Branderup Friskole</t>
  </si>
  <si>
    <t>Blåbjerg Friskole</t>
  </si>
  <si>
    <t>Kvong Friskole</t>
  </si>
  <si>
    <t>Friskolen i Bramming</t>
  </si>
  <si>
    <t>Gjerndrup Friskole</t>
  </si>
  <si>
    <t>Mejls-Orten-Tinghøj Friskole</t>
  </si>
  <si>
    <t>Vejen Friskole</t>
  </si>
  <si>
    <t>Tønning-Træden Friskole</t>
  </si>
  <si>
    <t>Bakkelandets Friskole</t>
  </si>
  <si>
    <t>Balle Friskole,Musik- &amp; Idrætsefterskole</t>
  </si>
  <si>
    <t>Fredericia Friskole</t>
  </si>
  <si>
    <t>Vestbirk Friskole</t>
  </si>
  <si>
    <t>Hedegård Friskole</t>
  </si>
  <si>
    <t>Karlskov Friskole</t>
  </si>
  <si>
    <t>As Friskole</t>
  </si>
  <si>
    <t>Kolding Friskole</t>
  </si>
  <si>
    <t>Friskolen i Thorlund</t>
  </si>
  <si>
    <t>Gludsted Friskole</t>
  </si>
  <si>
    <t>Klovborg Friskole</t>
  </si>
  <si>
    <t>Grejs Friskole</t>
  </si>
  <si>
    <t>Vejle Friskole</t>
  </si>
  <si>
    <t>Steiner Skolen i Vejle</t>
  </si>
  <si>
    <t>Uhre Friskole</t>
  </si>
  <si>
    <t>Sdr. Vium Friskole</t>
  </si>
  <si>
    <t>Lyne Friskole</t>
  </si>
  <si>
    <t>Hammerum Fri- og Efterskole</t>
  </si>
  <si>
    <t>Herning Friskole</t>
  </si>
  <si>
    <t>Parkskolen</t>
  </si>
  <si>
    <t>Børneskolen ved Familiehøjskolen</t>
  </si>
  <si>
    <t>Studsgård Friskole</t>
  </si>
  <si>
    <t>Holstebro Friskole</t>
  </si>
  <si>
    <t>Balletskolen</t>
  </si>
  <si>
    <t>Bonnet Friskole</t>
  </si>
  <si>
    <t>Bøvling Fri- &amp; Idrætsefterskole</t>
  </si>
  <si>
    <t>Fjaltring Friskole</t>
  </si>
  <si>
    <t>Udefriskolen</t>
  </si>
  <si>
    <t>Velling Friskole</t>
  </si>
  <si>
    <t>Ølstrup Friskole</t>
  </si>
  <si>
    <t>Hover-Torsted Friskole</t>
  </si>
  <si>
    <t>Struer Friskole</t>
  </si>
  <si>
    <t>Resen Friskole</t>
  </si>
  <si>
    <t>Thyholm Friskole</t>
  </si>
  <si>
    <t>Sønder Nissum Friskole</t>
  </si>
  <si>
    <t>Hjelm Hede Friskole</t>
  </si>
  <si>
    <t>Den fri Hestehaveskole</t>
  </si>
  <si>
    <t>Frijsendal Friskole</t>
  </si>
  <si>
    <t>Regnbueskolen</t>
  </si>
  <si>
    <t>Friskolen i Hinnerup</t>
  </si>
  <si>
    <t>Vindblæs Friskole</t>
  </si>
  <si>
    <t>Mellerup Fri- og Efterskole</t>
  </si>
  <si>
    <t>Gjerrild-Bønnerup Friskole</t>
  </si>
  <si>
    <t>Odder lille Friskole</t>
  </si>
  <si>
    <t>Fussingø-Egnens Friskole</t>
  </si>
  <si>
    <t>Samsø Friskole</t>
  </si>
  <si>
    <t>Rud. St. Sk. i Silkeborg</t>
  </si>
  <si>
    <t>Friskolen i Lemming</t>
  </si>
  <si>
    <t>Rud. St. Sk. Skanderborg</t>
  </si>
  <si>
    <t>Rud. St. Sk. i Århus</t>
  </si>
  <si>
    <t>Lykkeskolen</t>
  </si>
  <si>
    <t>Selam Friskole</t>
  </si>
  <si>
    <t>Den Moderne Kulturelle Skole</t>
  </si>
  <si>
    <t>Nilen Privatskole</t>
  </si>
  <si>
    <t>Grønbjerg Friskole</t>
  </si>
  <si>
    <t>Hoven Friskole</t>
  </si>
  <si>
    <t>Herborg Friskole</t>
  </si>
  <si>
    <t>Gudenådalens Friskole</t>
  </si>
  <si>
    <t>Sahl Friskole</t>
  </si>
  <si>
    <t>Mammen Friskole</t>
  </si>
  <si>
    <t>Hanstholm Friskole</t>
  </si>
  <si>
    <t>Bjergby Friskole</t>
  </si>
  <si>
    <t>Skallerup Friskole</t>
  </si>
  <si>
    <t>Øster Jølby Friskole</t>
  </si>
  <si>
    <t>Sydvestmors Friskole</t>
  </si>
  <si>
    <t>Ørding Friskole</t>
  </si>
  <si>
    <t>Sundby Friskole</t>
  </si>
  <si>
    <t>Lødderup Friskole</t>
  </si>
  <si>
    <t>Friskolen i Skive</t>
  </si>
  <si>
    <t>Rødding Friskole, Spøttrup</t>
  </si>
  <si>
    <t>Thise Friskole</t>
  </si>
  <si>
    <t>Sydthy Friskole</t>
  </si>
  <si>
    <t>Boddum-Ydby Friskole og Børnehave</t>
  </si>
  <si>
    <t>Hundborg Friskole</t>
  </si>
  <si>
    <t>Thorsted Friskole</t>
  </si>
  <si>
    <t>Thisted Friskole</t>
  </si>
  <si>
    <t>Sønderhå-Hørsted Friskole</t>
  </si>
  <si>
    <t>Vejrum-Viskum Friskole</t>
  </si>
  <si>
    <t>Langsø Friskole</t>
  </si>
  <si>
    <t>Bjerregrav Friskole</t>
  </si>
  <si>
    <t>Fjelsø Friskole</t>
  </si>
  <si>
    <t>Klim Friskole</t>
  </si>
  <si>
    <t>Hjørring Ny Steinerskole</t>
  </si>
  <si>
    <t>Hobro Friskole</t>
  </si>
  <si>
    <t>Vilsted Friskole</t>
  </si>
  <si>
    <t>Skørbæk-Ejdrup Friskole og Naturbørnehav</t>
  </si>
  <si>
    <t>Vokslev Friskole</t>
  </si>
  <si>
    <t>Egense Friskole</t>
  </si>
  <si>
    <t>Nr. Kongerslev-Komdrup Friskole</t>
  </si>
  <si>
    <t>Guldbæk Friskole</t>
  </si>
  <si>
    <t>Gregers Krabbe Friskolen</t>
  </si>
  <si>
    <t>Hvilsom Friskole og Fribørnehave</t>
  </si>
  <si>
    <t>Jerslev-Østervrå Friskole</t>
  </si>
  <si>
    <t>Privatskolen i Sæby</t>
  </si>
  <si>
    <t>Vedsted Friskole</t>
  </si>
  <si>
    <t>Aabybro Friskole</t>
  </si>
  <si>
    <t>Østskolen, Waldorfskolen i Aalborg</t>
  </si>
  <si>
    <t>Vaarst Friskole</t>
  </si>
  <si>
    <t>Lyngbjerggårdskolen</t>
  </si>
  <si>
    <t>Mentiqa Nordjylland</t>
  </si>
  <si>
    <t>Haubro Landsbyskole - Himmerl. Friskole</t>
  </si>
  <si>
    <t>Indtægter</t>
  </si>
  <si>
    <t>Udgifter</t>
  </si>
  <si>
    <t>Driftsresultat</t>
  </si>
  <si>
    <t>Likvider</t>
  </si>
  <si>
    <t>Elevtal</t>
  </si>
  <si>
    <t>Gå til Hovedskemaet</t>
  </si>
  <si>
    <t>1/3 af 17%</t>
  </si>
  <si>
    <t>2/3 af 17%</t>
  </si>
  <si>
    <t xml:space="preserve"> </t>
  </si>
  <si>
    <t>Pensionsg.</t>
  </si>
  <si>
    <t>løn</t>
  </si>
  <si>
    <t>Egetbidrag</t>
  </si>
  <si>
    <t>Arb.g.bidrag</t>
  </si>
  <si>
    <t>Tilbage til Hovedskemaet</t>
  </si>
  <si>
    <t>Forening</t>
  </si>
  <si>
    <t>Region</t>
  </si>
  <si>
    <t>DF</t>
  </si>
  <si>
    <t>DP</t>
  </si>
  <si>
    <t>FKF</t>
  </si>
  <si>
    <t>DDSV</t>
  </si>
  <si>
    <t>GYM</t>
  </si>
  <si>
    <t>Banklån</t>
  </si>
  <si>
    <t>Pæd. studerende</t>
  </si>
  <si>
    <t>Pæd. assistentelev</t>
  </si>
  <si>
    <t>Institutionen har ansat følgende:</t>
  </si>
  <si>
    <t>Afdelingsledere (vægt 0,85)</t>
  </si>
  <si>
    <t>Månedslønnede pædagogisk personale (vægt 1)</t>
  </si>
  <si>
    <t>Timelønnede</t>
  </si>
  <si>
    <t>Antal fuldtidsindskrevne børn i børnehaven</t>
  </si>
  <si>
    <t>Antal fuldtidsindskrevne børn i vuggestuen</t>
  </si>
  <si>
    <t xml:space="preserve">Støttefunktioner (ikke ansat i privatinstitutionen) </t>
  </si>
  <si>
    <t>Ansatte på barsel eller andet ulønnet orlov - oplys her den normering barslen tæller med. (bg*antal mdr. på barsel/12). Tastes i minus</t>
  </si>
  <si>
    <t>Budgetoverslag over daginstitutionens normering. Beregningen er udarbejdet efter udkast til vejledning om opgørelse af normeringer i privatinstitutioner og tager ikke højde for aldersintegrerede institutioner, men måler udelukkend på hhv. børnehave og vuggestuenormering. Udkastet er ikke godkendt, hvorfor kravet kan ændre sig!</t>
  </si>
  <si>
    <r>
      <t xml:space="preserve">SFO og Klub. </t>
    </r>
    <r>
      <rPr>
        <b/>
        <sz val="20"/>
        <color rgb="FFC00000"/>
        <rFont val="Courier"/>
        <family val="1"/>
      </rPr>
      <t>For overenskomstændringer se budgetbilag.</t>
    </r>
  </si>
  <si>
    <r>
      <t xml:space="preserve">Daginstitution. </t>
    </r>
    <r>
      <rPr>
        <b/>
        <sz val="20"/>
        <color rgb="FFC00000"/>
        <rFont val="Courier"/>
        <family val="1"/>
      </rPr>
      <t>For overenskomstændringer se budgetbilag.</t>
    </r>
  </si>
  <si>
    <r>
      <t xml:space="preserve">Heltidsskolefritidsordning. </t>
    </r>
    <r>
      <rPr>
        <b/>
        <sz val="20"/>
        <color rgb="FFC00000"/>
        <rFont val="Courier"/>
        <family val="1"/>
      </rPr>
      <t>For overenskomstændringer se budgetbilag.</t>
    </r>
  </si>
  <si>
    <r>
      <t xml:space="preserve">Pædagogisk personale i skolen. </t>
    </r>
    <r>
      <rPr>
        <b/>
        <sz val="20"/>
        <color rgb="FFC00000"/>
        <rFont val="Courier"/>
        <family val="1"/>
      </rPr>
      <t>(OBS: kan kun ansættes til praktisk støtte)</t>
    </r>
    <r>
      <rPr>
        <b/>
        <sz val="20"/>
        <rFont val="Courier"/>
        <family val="3"/>
      </rPr>
      <t xml:space="preserve">. </t>
    </r>
    <r>
      <rPr>
        <b/>
        <sz val="20"/>
        <color rgb="FFC00000"/>
        <rFont val="Courier"/>
        <family val="1"/>
      </rPr>
      <t>For overenskomstændringer se budgetbilag.</t>
    </r>
  </si>
  <si>
    <r>
      <t>Administrativ personale.</t>
    </r>
    <r>
      <rPr>
        <b/>
        <sz val="20"/>
        <color rgb="FFC00000"/>
        <rFont val="Courier"/>
        <family val="1"/>
      </rPr>
      <t xml:space="preserve"> For overenskomstændringer se budgetbilag.</t>
    </r>
  </si>
  <si>
    <r>
      <t xml:space="preserve">Pedel og Rengøring. </t>
    </r>
    <r>
      <rPr>
        <b/>
        <sz val="20"/>
        <color rgb="FFC00000"/>
        <rFont val="Courier"/>
        <family val="1"/>
      </rPr>
      <t>For overenskomstændringer se budgetbilag.</t>
    </r>
  </si>
  <si>
    <r>
      <t xml:space="preserve">Kostafdeling og kantine. </t>
    </r>
    <r>
      <rPr>
        <b/>
        <sz val="20"/>
        <color rgb="FFC00000"/>
        <rFont val="Courier"/>
        <family val="1"/>
      </rPr>
      <t>For overenskomstændringer se budgetbilag.</t>
    </r>
  </si>
  <si>
    <r>
      <rPr>
        <b/>
        <sz val="14"/>
        <color theme="1"/>
        <rFont val="Arial"/>
        <family val="2"/>
      </rPr>
      <t>Daginstitution:</t>
    </r>
    <r>
      <rPr>
        <sz val="12"/>
        <color theme="1"/>
        <rFont val="Arial"/>
        <family val="2"/>
      </rPr>
      <t xml:space="preserve"> I denne fane er der en beregning på institutionens normeringstal. Beregningerne er fra udkast til vejledning om opgørelse af normeringer i privatinstitutioner. Normeringen er endnu ikke vedtaget, og kan derfor ændres eller evt. udsættes. Beregningen tager ikke højde for en særlig beregning på integrerede daginstitutioners beregning, men regner udelukkende på hhv. børnehave og vuggestue. BEREGNINGEN ER KUN MEDTAGET FOR AT SKOLEN KAN DANNE SIG EN FORNEMMELSE AF HVORVIDT INSTITUTIONEN LEVER OP TIL UDKASTET TIL MINIMUMSNORMERINGER.</t>
    </r>
  </si>
  <si>
    <t>Min egen skole</t>
  </si>
  <si>
    <t>Busordning</t>
  </si>
  <si>
    <r>
      <t xml:space="preserve">Øverst leder
</t>
    </r>
    <r>
      <rPr>
        <b/>
        <sz val="6"/>
        <rFont val="Helvetica"/>
        <family val="2"/>
      </rPr>
      <t>(1. januar - 31. marts 2025)</t>
    </r>
  </si>
  <si>
    <r>
      <t xml:space="preserve">Øverst leder
</t>
    </r>
    <r>
      <rPr>
        <b/>
        <sz val="6"/>
        <rFont val="Helvetica"/>
        <family val="2"/>
      </rPr>
      <t>(1. april - 31. december 2025)</t>
    </r>
  </si>
  <si>
    <t>Øvrig leder</t>
  </si>
  <si>
    <t xml:space="preserve">Pædagog </t>
  </si>
  <si>
    <t>Timeløn ejendom 1</t>
  </si>
  <si>
    <t>Pædagogstuderende (ikke merit)</t>
  </si>
  <si>
    <t>Pædagogiske assistentelever (Ikke merit)</t>
  </si>
  <si>
    <t>Pædagogstuderende (vægt 0,43) Gælder ikke merit</t>
  </si>
  <si>
    <t>Pædagogiske assistentelelever (vægt 0,24) Gælder ikke merit</t>
  </si>
  <si>
    <t>Tillæg lin 25 - 37 i alt pr. måned
i aktuelt niveau</t>
  </si>
  <si>
    <t>Engangsvederlag og eller resultatløn. Ikke afhængig af BG. Årligt grundbeløb(2012 niveau). Hvis mere end en kolonne, skal engangsvederlaget oplyses i begge kolonner.</t>
  </si>
  <si>
    <t>Indmeldt over 35,0 timer pr. uge (vægtes med 1,0)</t>
  </si>
  <si>
    <t>Indmeldt over 25,0 timer og op til og med 35,0 timer pr. uge (vægtes med 0,75)</t>
  </si>
  <si>
    <t>Indmeldt til og med 25,0 timer pr. uge (vægtes med 0,5)</t>
  </si>
  <si>
    <t xml:space="preserve">Specialundervisningstilskud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</si>
</sst>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quot;kr&quot;_-;\-* #,##0.00\ &quot;kr&quot;_-;_-* &quot;-&quot;??\ &quot;kr&quot;_-;_-@_-"/>
    <numFmt numFmtId="165" formatCode="_-* #,##0.00\ _k_r_-;\-* #,##0.00\ _k_r_-;_-* &quot;-&quot;??\ _k_r_-;_-@_-"/>
    <numFmt numFmtId="166" formatCode="_-* #,##0_-;\-* #,##0_-;_-* \-_-;_-@_-"/>
    <numFmt numFmtId="167" formatCode="_-* #,##0.00_-;\-* #,##0.00_-;_-* \-??_-;_-@_-"/>
    <numFmt numFmtId="168" formatCode="&quot;kr.&quot;#,##0;[Red]&quot;-kr.&quot;#,##0"/>
    <numFmt numFmtId="169" formatCode="#,##0.0"/>
    <numFmt numFmtId="170" formatCode="#,##0.0000"/>
    <numFmt numFmtId="171" formatCode="#,##0.00&quot;kr.&quot;;\-#,##0.00&quot;kr.&quot;"/>
    <numFmt numFmtId="172" formatCode="0.0%"/>
    <numFmt numFmtId="173" formatCode="000\-000"/>
    <numFmt numFmtId="174" formatCode="mm/yy"/>
    <numFmt numFmtId="175" formatCode="d\.m\.yy"/>
    <numFmt numFmtId="176" formatCode="#,##0.000000"/>
    <numFmt numFmtId="177" formatCode="d\.\ mmm\.\ yyyy"/>
    <numFmt numFmtId="178" formatCode="_-* #,##0.00_k_r_._-;\-* #,##0.00_k_r_._-;_-* &quot;-&quot;??_k_r_._-;_-@_-"/>
    <numFmt numFmtId="179" formatCode="_(* #,##0_);_(* \(#,##0\);_(* &quot;-&quot;_);_(@_)"/>
    <numFmt numFmtId="180" formatCode="_-&quot;kr.&quot;* #,##0.00_-;\-&quot;kr.&quot;* #,##0.00_-;_-&quot;kr.&quot;* &quot;-&quot;??_-;_-@_-"/>
    <numFmt numFmtId="181" formatCode="_ &quot;kr&quot;\ * #,##0_ ;_ &quot;kr&quot;\ * \-#,##0_ ;_ &quot;kr&quot;\ * &quot;-&quot;??_ ;_ @_ "/>
    <numFmt numFmtId="182" formatCode="#,##0_ ;[Red]\-#,##0\ "/>
    <numFmt numFmtId="183" formatCode="0.000000"/>
  </numFmts>
  <fonts count="188">
    <font>
      <sz val="10"/>
      <name val="Arial"/>
    </font>
    <font>
      <sz val="12"/>
      <color theme="1"/>
      <name val="Calibri"/>
      <family val="2"/>
      <scheme val="minor"/>
    </font>
    <font>
      <b/>
      <sz val="10"/>
      <name val="Arial"/>
      <family val="2"/>
    </font>
    <font>
      <sz val="10"/>
      <name val="Arial"/>
      <family val="2"/>
    </font>
    <font>
      <sz val="12"/>
      <name val="Arial"/>
      <family val="2"/>
    </font>
    <font>
      <sz val="14"/>
      <name val="Arial"/>
      <family val="2"/>
    </font>
    <font>
      <sz val="9"/>
      <name val="Arial"/>
      <family val="2"/>
    </font>
    <font>
      <sz val="12"/>
      <name val="System"/>
      <family val="2"/>
    </font>
    <font>
      <sz val="10"/>
      <name val="Courier New"/>
      <family val="3"/>
    </font>
    <font>
      <u/>
      <sz val="10"/>
      <color indexed="20"/>
      <name val="Arial"/>
      <family val="2"/>
    </font>
    <font>
      <u/>
      <sz val="10"/>
      <color indexed="31"/>
      <name val="Arial"/>
      <family val="2"/>
    </font>
    <font>
      <sz val="10"/>
      <name val="Geneva"/>
      <family val="2"/>
    </font>
    <font>
      <sz val="56"/>
      <name val="Arial"/>
      <family val="2"/>
    </font>
    <font>
      <sz val="10"/>
      <color indexed="18"/>
      <name val="Arial"/>
      <family val="2"/>
    </font>
    <font>
      <b/>
      <sz val="10"/>
      <name val="Arial"/>
      <family val="2"/>
    </font>
    <font>
      <sz val="10"/>
      <color indexed="8"/>
      <name val="Arial"/>
      <family val="2"/>
    </font>
    <font>
      <sz val="10"/>
      <color indexed="16"/>
      <name val="Arial"/>
      <family val="2"/>
    </font>
    <font>
      <b/>
      <sz val="10"/>
      <color indexed="8"/>
      <name val="Arial"/>
      <family val="2"/>
    </font>
    <font>
      <sz val="10"/>
      <color indexed="28"/>
      <name val="Arial"/>
      <family val="2"/>
    </font>
    <font>
      <sz val="10"/>
      <color indexed="12"/>
      <name val="Arial"/>
      <family val="2"/>
    </font>
    <font>
      <sz val="10"/>
      <color indexed="52"/>
      <name val="Arial"/>
      <family val="2"/>
    </font>
    <font>
      <sz val="10"/>
      <color indexed="17"/>
      <name val="Arial"/>
      <family val="2"/>
    </font>
    <font>
      <b/>
      <sz val="16"/>
      <name val="Arial"/>
      <family val="2"/>
    </font>
    <font>
      <b/>
      <sz val="10"/>
      <color indexed="16"/>
      <name val="Arial"/>
      <family val="2"/>
    </font>
    <font>
      <b/>
      <sz val="10"/>
      <color indexed="18"/>
      <name val="Arial"/>
      <family val="2"/>
    </font>
    <font>
      <b/>
      <sz val="10"/>
      <color indexed="12"/>
      <name val="Arial"/>
      <family val="2"/>
    </font>
    <font>
      <b/>
      <sz val="9"/>
      <color indexed="31"/>
      <name val="Arial"/>
      <family val="2"/>
    </font>
    <font>
      <sz val="10"/>
      <color indexed="31"/>
      <name val="Arial"/>
      <family val="2"/>
    </font>
    <font>
      <u/>
      <sz val="10"/>
      <color indexed="12"/>
      <name val="Arial"/>
      <family val="2"/>
    </font>
    <font>
      <b/>
      <sz val="14"/>
      <name val="Arial"/>
      <family val="2"/>
    </font>
    <font>
      <sz val="11"/>
      <name val="Arial"/>
      <family val="2"/>
    </font>
    <font>
      <sz val="11"/>
      <color indexed="16"/>
      <name val="Arial"/>
      <family val="2"/>
    </font>
    <font>
      <sz val="11"/>
      <color indexed="18"/>
      <name val="Arial"/>
      <family val="2"/>
    </font>
    <font>
      <u/>
      <sz val="10"/>
      <color indexed="18"/>
      <name val="Arial"/>
      <family val="2"/>
    </font>
    <font>
      <sz val="10"/>
      <color indexed="58"/>
      <name val="Arial"/>
      <family val="2"/>
    </font>
    <font>
      <b/>
      <sz val="10"/>
      <color indexed="31"/>
      <name val="Arial"/>
      <family val="2"/>
    </font>
    <font>
      <b/>
      <sz val="10"/>
      <color indexed="58"/>
      <name val="Arial"/>
      <family val="2"/>
    </font>
    <font>
      <sz val="9"/>
      <color indexed="12"/>
      <name val="Arial"/>
      <family val="2"/>
    </font>
    <font>
      <b/>
      <sz val="12"/>
      <name val="Arial"/>
      <family val="2"/>
    </font>
    <font>
      <b/>
      <sz val="18"/>
      <name val="Arial"/>
      <family val="2"/>
    </font>
    <font>
      <b/>
      <sz val="12"/>
      <color indexed="18"/>
      <name val="Arial"/>
      <family val="2"/>
    </font>
    <font>
      <b/>
      <sz val="12"/>
      <color indexed="31"/>
      <name val="Arial"/>
      <family val="2"/>
    </font>
    <font>
      <b/>
      <sz val="12"/>
      <color indexed="16"/>
      <name val="Arial"/>
      <family val="2"/>
    </font>
    <font>
      <sz val="12"/>
      <color indexed="16"/>
      <name val="Arial"/>
      <family val="2"/>
    </font>
    <font>
      <sz val="12"/>
      <color indexed="52"/>
      <name val="Arial"/>
      <family val="2"/>
    </font>
    <font>
      <sz val="12"/>
      <color indexed="31"/>
      <name val="Arial"/>
      <family val="2"/>
    </font>
    <font>
      <sz val="10"/>
      <color indexed="22"/>
      <name val="Arial"/>
      <family val="2"/>
    </font>
    <font>
      <b/>
      <sz val="12"/>
      <color indexed="52"/>
      <name val="Arial"/>
      <family val="2"/>
    </font>
    <font>
      <sz val="9"/>
      <color indexed="31"/>
      <name val="Arial"/>
      <family val="2"/>
    </font>
    <font>
      <sz val="10"/>
      <color indexed="19"/>
      <name val="Arial"/>
      <family val="2"/>
    </font>
    <font>
      <sz val="10"/>
      <color indexed="25"/>
      <name val="Arial"/>
      <family val="2"/>
    </font>
    <font>
      <b/>
      <sz val="10"/>
      <color indexed="10"/>
      <name val="Arial"/>
      <family val="2"/>
    </font>
    <font>
      <b/>
      <sz val="10"/>
      <color indexed="28"/>
      <name val="Arial"/>
      <family val="2"/>
    </font>
    <font>
      <b/>
      <sz val="9"/>
      <name val="Arial"/>
      <family val="2"/>
    </font>
    <font>
      <i/>
      <sz val="10"/>
      <color indexed="18"/>
      <name val="Arial"/>
      <family val="2"/>
    </font>
    <font>
      <sz val="8"/>
      <name val="Arial"/>
      <family val="2"/>
    </font>
    <font>
      <u/>
      <sz val="11"/>
      <color indexed="31"/>
      <name val="Arial"/>
      <family val="2"/>
    </font>
    <font>
      <sz val="14"/>
      <color indexed="58"/>
      <name val="Arial"/>
      <family val="2"/>
    </font>
    <font>
      <sz val="10"/>
      <color indexed="10"/>
      <name val="Arial"/>
      <family val="2"/>
    </font>
    <font>
      <sz val="10"/>
      <name val="Arial"/>
      <family val="2"/>
    </font>
    <font>
      <sz val="36"/>
      <color theme="9" tint="-0.249977111117893"/>
      <name val="Arial"/>
      <family val="2"/>
    </font>
    <font>
      <u/>
      <sz val="10"/>
      <color theme="11"/>
      <name val="Arial"/>
      <family val="2"/>
    </font>
    <font>
      <b/>
      <sz val="16"/>
      <color rgb="FFFF0000"/>
      <name val="Arial"/>
      <family val="2"/>
    </font>
    <font>
      <b/>
      <sz val="16"/>
      <color theme="0"/>
      <name val="Arial"/>
      <family val="2"/>
    </font>
    <font>
      <b/>
      <sz val="12"/>
      <color theme="0"/>
      <name val="Arial"/>
      <family val="2"/>
    </font>
    <font>
      <sz val="11"/>
      <color theme="0"/>
      <name val="Arial"/>
      <family val="2"/>
    </font>
    <font>
      <sz val="10"/>
      <color theme="0"/>
      <name val="Arial"/>
      <family val="2"/>
    </font>
    <font>
      <b/>
      <sz val="13"/>
      <color theme="0"/>
      <name val="Arial"/>
      <family val="2"/>
    </font>
    <font>
      <b/>
      <sz val="10"/>
      <color theme="0"/>
      <name val="Arial"/>
      <family val="2"/>
    </font>
    <font>
      <b/>
      <sz val="11"/>
      <color theme="0"/>
      <name val="Arial"/>
      <family val="2"/>
    </font>
    <font>
      <sz val="12"/>
      <color theme="0"/>
      <name val="Arial"/>
      <family val="2"/>
    </font>
    <font>
      <i/>
      <sz val="10"/>
      <color theme="0"/>
      <name val="Arial"/>
      <family val="2"/>
    </font>
    <font>
      <b/>
      <u/>
      <sz val="10"/>
      <color rgb="FFFF0000"/>
      <name val="Arial"/>
      <family val="2"/>
    </font>
    <font>
      <b/>
      <u/>
      <sz val="9"/>
      <color rgb="FFFF0000"/>
      <name val="Arial"/>
      <family val="2"/>
    </font>
    <font>
      <sz val="10"/>
      <name val="Geneva"/>
      <family val="2"/>
    </font>
    <font>
      <sz val="10"/>
      <name val="Helv"/>
    </font>
    <font>
      <b/>
      <sz val="10"/>
      <name val="Helv"/>
    </font>
    <font>
      <b/>
      <sz val="10"/>
      <color indexed="12"/>
      <name val="Helv"/>
    </font>
    <font>
      <sz val="10"/>
      <color indexed="16"/>
      <name val="Helv"/>
    </font>
    <font>
      <sz val="10"/>
      <name val="Courier"/>
      <family val="1"/>
    </font>
    <font>
      <i/>
      <sz val="10"/>
      <color indexed="16"/>
      <name val="Helv"/>
    </font>
    <font>
      <sz val="12"/>
      <color indexed="16"/>
      <name val="Helv"/>
    </font>
    <font>
      <b/>
      <sz val="14"/>
      <name val="Helv"/>
    </font>
    <font>
      <sz val="12"/>
      <name val="Helv"/>
    </font>
    <font>
      <b/>
      <sz val="10"/>
      <color theme="0"/>
      <name val="Helv"/>
    </font>
    <font>
      <b/>
      <sz val="16"/>
      <name val="Helv"/>
    </font>
    <font>
      <sz val="10"/>
      <color theme="0"/>
      <name val="Courier"/>
      <family val="3"/>
    </font>
    <font>
      <sz val="10"/>
      <color theme="0"/>
      <name val="Helv"/>
    </font>
    <font>
      <b/>
      <sz val="12"/>
      <color theme="1"/>
      <name val="Arial"/>
      <family val="2"/>
    </font>
    <font>
      <b/>
      <sz val="10"/>
      <color theme="0"/>
      <name val="Helvetica"/>
      <family val="2"/>
    </font>
    <font>
      <sz val="11"/>
      <color theme="1"/>
      <name val="Calibri"/>
      <family val="2"/>
      <scheme val="minor"/>
    </font>
    <font>
      <b/>
      <sz val="12"/>
      <name val="Helv"/>
    </font>
    <font>
      <sz val="9"/>
      <name val="Helv"/>
    </font>
    <font>
      <b/>
      <sz val="11"/>
      <color rgb="FFFF0000"/>
      <name val="Courier"/>
      <family val="1"/>
    </font>
    <font>
      <i/>
      <sz val="10"/>
      <name val="Arial"/>
      <family val="2"/>
    </font>
    <font>
      <sz val="6"/>
      <color rgb="FFFF0000"/>
      <name val="Courier"/>
      <family val="1"/>
    </font>
    <font>
      <b/>
      <sz val="14"/>
      <color indexed="18"/>
      <name val="Arial"/>
      <family val="2"/>
    </font>
    <font>
      <sz val="10"/>
      <name val="Helvetica"/>
      <family val="2"/>
    </font>
    <font>
      <b/>
      <sz val="12"/>
      <name val="Helvetica"/>
      <family val="2"/>
    </font>
    <font>
      <sz val="12"/>
      <name val="Helvetica"/>
      <family val="2"/>
    </font>
    <font>
      <b/>
      <sz val="10"/>
      <color rgb="FFFF0000"/>
      <name val="Arial"/>
      <family val="2"/>
    </font>
    <font>
      <sz val="12"/>
      <color theme="1"/>
      <name val="Arial"/>
      <family val="2"/>
    </font>
    <font>
      <sz val="10"/>
      <color theme="1"/>
      <name val="Arial"/>
      <family val="2"/>
    </font>
    <font>
      <sz val="12"/>
      <color theme="1"/>
      <name val="Geneva"/>
      <family val="2"/>
    </font>
    <font>
      <b/>
      <sz val="10"/>
      <color theme="1"/>
      <name val="Arial"/>
      <family val="2"/>
    </font>
    <font>
      <sz val="10"/>
      <color theme="3"/>
      <name val="Arial"/>
      <family val="2"/>
    </font>
    <font>
      <sz val="10"/>
      <color theme="5" tint="-0.249977111117893"/>
      <name val="Arial"/>
      <family val="2"/>
    </font>
    <font>
      <sz val="14"/>
      <color theme="0"/>
      <name val="Arial"/>
      <family val="2"/>
    </font>
    <font>
      <sz val="36"/>
      <color theme="0"/>
      <name val="Arial"/>
      <family val="2"/>
    </font>
    <font>
      <b/>
      <sz val="10"/>
      <color rgb="FF3469F0"/>
      <name val="Arial"/>
      <family val="2"/>
    </font>
    <font>
      <b/>
      <sz val="10"/>
      <color theme="1"/>
      <name val="Helv"/>
    </font>
    <font>
      <sz val="10"/>
      <color theme="1"/>
      <name val="Helvetica"/>
      <family val="2"/>
    </font>
    <font>
      <sz val="10"/>
      <color rgb="FF0000D4"/>
      <name val="Arial"/>
      <family val="2"/>
    </font>
    <font>
      <sz val="16"/>
      <name val="Arial"/>
      <family val="2"/>
    </font>
    <font>
      <sz val="10"/>
      <color theme="1"/>
      <name val="Helv"/>
    </font>
    <font>
      <b/>
      <sz val="20"/>
      <name val="Arial"/>
      <family val="2"/>
    </font>
    <font>
      <sz val="10"/>
      <color rgb="FFFF0000"/>
      <name val="Arial"/>
      <family val="2"/>
    </font>
    <font>
      <sz val="9"/>
      <name val="Helvetica"/>
      <family val="2"/>
    </font>
    <font>
      <sz val="10"/>
      <color theme="1"/>
      <name val="Courier"/>
      <family val="3"/>
    </font>
    <font>
      <b/>
      <sz val="16"/>
      <color rgb="FFFF0000"/>
      <name val="Courier"/>
      <family val="1"/>
    </font>
    <font>
      <b/>
      <sz val="20"/>
      <name val="Courier"/>
      <family val="3"/>
    </font>
    <font>
      <sz val="14"/>
      <name val="Courier"/>
      <family val="1"/>
    </font>
    <font>
      <b/>
      <u/>
      <sz val="10"/>
      <color theme="0" tint="-0.14999847407452621"/>
      <name val="Arial"/>
      <family val="2"/>
    </font>
    <font>
      <sz val="10"/>
      <color theme="0" tint="-0.14999847407452621"/>
      <name val="Arial"/>
      <family val="2"/>
    </font>
    <font>
      <sz val="8"/>
      <color rgb="FFFF0000"/>
      <name val="Arial"/>
      <family val="2"/>
    </font>
    <font>
      <sz val="6"/>
      <name val="Arial"/>
      <family val="2"/>
    </font>
    <font>
      <sz val="7"/>
      <color theme="1"/>
      <name val="Arial"/>
      <family val="2"/>
    </font>
    <font>
      <sz val="7"/>
      <color rgb="FFFF0000"/>
      <name val="Arial"/>
      <family val="2"/>
    </font>
    <font>
      <sz val="6"/>
      <color rgb="FFFF0000"/>
      <name val="Arial"/>
      <family val="2"/>
    </font>
    <font>
      <sz val="6"/>
      <color theme="1"/>
      <name val="Arial"/>
      <family val="2"/>
    </font>
    <font>
      <sz val="10"/>
      <color theme="3" tint="-0.249977111117893"/>
      <name val="Arial"/>
      <family val="2"/>
    </font>
    <font>
      <sz val="12"/>
      <color indexed="58"/>
      <name val="Arial"/>
      <family val="2"/>
    </font>
    <font>
      <b/>
      <sz val="12"/>
      <color rgb="FFC00000"/>
      <name val="Arial"/>
      <family val="2"/>
    </font>
    <font>
      <sz val="12"/>
      <color theme="0" tint="-0.14999847407452621"/>
      <name val="Arial"/>
      <family val="2"/>
    </font>
    <font>
      <sz val="12"/>
      <color indexed="18"/>
      <name val="Arial"/>
      <family val="2"/>
    </font>
    <font>
      <sz val="12"/>
      <color indexed="17"/>
      <name val="Arial"/>
      <family val="2"/>
    </font>
    <font>
      <sz val="12"/>
      <color rgb="FF003300"/>
      <name val="Arial"/>
      <family val="2"/>
    </font>
    <font>
      <sz val="12"/>
      <color rgb="FF006411"/>
      <name val="Arial"/>
      <family val="2"/>
    </font>
    <font>
      <sz val="12"/>
      <color rgb="FFFF0000"/>
      <name val="Arial"/>
      <family val="2"/>
    </font>
    <font>
      <sz val="12"/>
      <color indexed="12"/>
      <name val="Arial"/>
      <family val="2"/>
    </font>
    <font>
      <sz val="12"/>
      <color rgb="FFC00000"/>
      <name val="Arial"/>
      <family val="2"/>
    </font>
    <font>
      <b/>
      <sz val="12"/>
      <color indexed="8"/>
      <name val="Arial"/>
      <family val="2"/>
    </font>
    <font>
      <b/>
      <sz val="12"/>
      <color indexed="17"/>
      <name val="Arial"/>
      <family val="2"/>
    </font>
    <font>
      <sz val="12"/>
      <color indexed="8"/>
      <name val="Arial"/>
      <family val="2"/>
    </font>
    <font>
      <sz val="10"/>
      <color theme="6" tint="-0.499984740745262"/>
      <name val="Arial"/>
      <family val="2"/>
    </font>
    <font>
      <sz val="10"/>
      <color rgb="FF000000"/>
      <name val="Tahoma"/>
      <family val="2"/>
    </font>
    <font>
      <b/>
      <sz val="10"/>
      <color rgb="FF000000"/>
      <name val="Tahoma"/>
      <family val="2"/>
    </font>
    <font>
      <b/>
      <sz val="10"/>
      <color rgb="FFFF0000"/>
      <name val="Courier"/>
      <family val="1"/>
    </font>
    <font>
      <b/>
      <sz val="12"/>
      <color rgb="FFFF0000"/>
      <name val="Courier"/>
      <family val="1"/>
    </font>
    <font>
      <b/>
      <sz val="12"/>
      <name val="Courier"/>
      <family val="1"/>
    </font>
    <font>
      <b/>
      <sz val="20"/>
      <name val="Courier"/>
      <family val="1"/>
    </font>
    <font>
      <b/>
      <sz val="10"/>
      <name val="Helvetica"/>
      <family val="2"/>
    </font>
    <font>
      <sz val="10"/>
      <color theme="0"/>
      <name val="Helvetica"/>
      <family val="2"/>
    </font>
    <font>
      <sz val="10"/>
      <color indexed="17"/>
      <name val="Helvetica"/>
      <family val="2"/>
    </font>
    <font>
      <sz val="18"/>
      <name val="Helvetica"/>
      <family val="2"/>
    </font>
    <font>
      <sz val="10"/>
      <color rgb="FFFF0000"/>
      <name val="Helvetica"/>
      <family val="2"/>
    </font>
    <font>
      <sz val="10"/>
      <color indexed="12"/>
      <name val="Helvetica"/>
      <family val="2"/>
    </font>
    <font>
      <sz val="16"/>
      <name val="Helvetica"/>
      <family val="2"/>
    </font>
    <font>
      <sz val="12"/>
      <color rgb="FFFF0000"/>
      <name val="Helvetica"/>
      <family val="2"/>
    </font>
    <font>
      <sz val="14"/>
      <color rgb="FFFF0000"/>
      <name val="Helvetica"/>
      <family val="2"/>
    </font>
    <font>
      <sz val="16"/>
      <color rgb="FFFF0000"/>
      <name val="Helvetica"/>
      <family val="2"/>
    </font>
    <font>
      <b/>
      <sz val="20"/>
      <color rgb="FFC00000"/>
      <name val="Courier"/>
      <family val="1"/>
    </font>
    <font>
      <sz val="14"/>
      <color rgb="FFC00000"/>
      <name val="Courier"/>
      <family val="1"/>
    </font>
    <font>
      <sz val="10"/>
      <color indexed="16"/>
      <name val="Helvetica"/>
      <family val="2"/>
    </font>
    <font>
      <sz val="8"/>
      <name val="Helvetica"/>
      <family val="2"/>
    </font>
    <font>
      <sz val="12"/>
      <color theme="0"/>
      <name val="Helvetica"/>
      <family val="2"/>
    </font>
    <font>
      <sz val="10"/>
      <color rgb="FFFFFFFF"/>
      <name val="Helvetica"/>
      <family val="2"/>
    </font>
    <font>
      <sz val="9"/>
      <color rgb="FFFF0000"/>
      <name val="Helvetica"/>
      <family val="2"/>
    </font>
    <font>
      <b/>
      <sz val="10"/>
      <color rgb="FFC00000"/>
      <name val="Arial"/>
      <family val="2"/>
    </font>
    <font>
      <sz val="12"/>
      <color rgb="FFFFFFFF"/>
      <name val="Arial"/>
      <family val="2"/>
    </font>
    <font>
      <sz val="10"/>
      <color rgb="FFC00000"/>
      <name val="Arial"/>
      <family val="2"/>
    </font>
    <font>
      <b/>
      <sz val="9"/>
      <color theme="0"/>
      <name val="Arial"/>
      <family val="2"/>
    </font>
    <font>
      <b/>
      <sz val="26"/>
      <name val="Arial"/>
      <family val="2"/>
    </font>
    <font>
      <sz val="8"/>
      <color theme="1"/>
      <name val="Arial"/>
      <family val="2"/>
    </font>
    <font>
      <b/>
      <sz val="10"/>
      <name val="Courier"/>
      <family val="1"/>
    </font>
    <font>
      <b/>
      <sz val="10"/>
      <color theme="1"/>
      <name val="Courier"/>
      <family val="1"/>
    </font>
    <font>
      <b/>
      <sz val="10"/>
      <name val="Courier"/>
      <family val="3"/>
    </font>
    <font>
      <sz val="10"/>
      <color rgb="FFFF0000"/>
      <name val="Helv"/>
    </font>
    <font>
      <i/>
      <sz val="12"/>
      <name val="Arial"/>
      <family val="2"/>
    </font>
    <font>
      <b/>
      <sz val="20"/>
      <color theme="0"/>
      <name val="Arial"/>
      <family val="2"/>
    </font>
    <font>
      <b/>
      <sz val="6"/>
      <name val="Helvetica"/>
      <family val="2"/>
    </font>
    <font>
      <sz val="8"/>
      <color rgb="FF000000"/>
      <name val="Arial"/>
      <family val="2"/>
    </font>
    <font>
      <b/>
      <sz val="14"/>
      <color theme="1"/>
      <name val="Arial"/>
      <family val="2"/>
    </font>
    <font>
      <b/>
      <sz val="16"/>
      <color theme="1"/>
      <name val="Arial"/>
      <family val="2"/>
    </font>
    <font>
      <sz val="10"/>
      <color rgb="FF000000"/>
      <name val="Arial"/>
      <family val="2"/>
    </font>
    <font>
      <sz val="11"/>
      <color rgb="FF000000"/>
      <name val="Arial"/>
      <family val="2"/>
    </font>
    <font>
      <b/>
      <sz val="20"/>
      <color theme="0"/>
      <name val="Courier"/>
      <family val="3"/>
    </font>
    <font>
      <sz val="10"/>
      <color theme="0"/>
      <name val="Courier"/>
      <family val="1"/>
    </font>
  </fonts>
  <fills count="86">
    <fill>
      <patternFill patternType="none"/>
    </fill>
    <fill>
      <patternFill patternType="gray125"/>
    </fill>
    <fill>
      <patternFill patternType="solid">
        <fgColor indexed="31"/>
        <bgColor indexed="22"/>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1"/>
        <bgColor indexed="22"/>
      </patternFill>
    </fill>
    <fill>
      <patternFill patternType="solid">
        <fgColor theme="1"/>
        <bgColor indexed="64"/>
      </patternFill>
    </fill>
    <fill>
      <patternFill patternType="solid">
        <fgColor theme="0" tint="-0.249977111117893"/>
        <bgColor indexed="64"/>
      </patternFill>
    </fill>
    <fill>
      <patternFill patternType="solid">
        <fgColor theme="1" tint="4.9989318521683403E-2"/>
        <bgColor indexed="22"/>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0" tint="-0.14999847407452621"/>
        <bgColor indexed="26"/>
      </patternFill>
    </fill>
    <fill>
      <patternFill patternType="solid">
        <fgColor theme="0" tint="-0.14999847407452621"/>
        <bgColor indexed="27"/>
      </patternFill>
    </fill>
    <fill>
      <patternFill patternType="solid">
        <fgColor theme="1"/>
        <bgColor indexed="26"/>
      </patternFill>
    </fill>
    <fill>
      <patternFill patternType="solid">
        <fgColor theme="1"/>
        <bgColor indexed="27"/>
      </patternFill>
    </fill>
    <fill>
      <patternFill patternType="solid">
        <fgColor theme="0" tint="-0.249977111117893"/>
        <bgColor indexed="27"/>
      </patternFill>
    </fill>
    <fill>
      <patternFill patternType="solid">
        <fgColor theme="0" tint="-0.249977111117893"/>
        <bgColor indexed="31"/>
      </patternFill>
    </fill>
    <fill>
      <patternFill patternType="solid">
        <fgColor theme="0" tint="-0.249977111117893"/>
        <bgColor indexed="26"/>
      </patternFill>
    </fill>
    <fill>
      <patternFill patternType="solid">
        <fgColor theme="1"/>
        <bgColor indexed="29"/>
      </patternFill>
    </fill>
    <fill>
      <patternFill patternType="solid">
        <fgColor theme="1"/>
        <bgColor indexed="31"/>
      </patternFill>
    </fill>
    <fill>
      <patternFill patternType="solid">
        <fgColor theme="0" tint="-0.14999847407452621"/>
        <bgColor indexed="58"/>
      </patternFill>
    </fill>
    <fill>
      <patternFill patternType="solid">
        <fgColor theme="0"/>
        <bgColor indexed="26"/>
      </patternFill>
    </fill>
    <fill>
      <patternFill patternType="solid">
        <fgColor theme="0" tint="-0.14999847407452621"/>
        <bgColor indexed="22"/>
      </patternFill>
    </fill>
    <fill>
      <patternFill patternType="solid">
        <fgColor theme="0" tint="-0.14999847407452621"/>
        <bgColor indexed="41"/>
      </patternFill>
    </fill>
    <fill>
      <patternFill patternType="solid">
        <fgColor theme="1"/>
        <bgColor indexed="58"/>
      </patternFill>
    </fill>
    <fill>
      <patternFill patternType="solid">
        <fgColor theme="0" tint="-0.34998626667073579"/>
        <bgColor indexed="64"/>
      </patternFill>
    </fill>
    <fill>
      <patternFill patternType="solid">
        <fgColor rgb="FFD9D9D9"/>
        <bgColor rgb="FF000000"/>
      </patternFill>
    </fill>
    <fill>
      <patternFill patternType="solid">
        <fgColor rgb="FF000000"/>
        <bgColor rgb="FF000000"/>
      </patternFill>
    </fill>
    <fill>
      <patternFill patternType="solid">
        <fgColor rgb="FFFFFF00"/>
        <bgColor indexed="64"/>
      </patternFill>
    </fill>
    <fill>
      <patternFill patternType="solid">
        <fgColor theme="0" tint="-0.14999847407452621"/>
        <bgColor indexed="24"/>
      </patternFill>
    </fill>
    <fill>
      <patternFill patternType="solid">
        <fgColor rgb="FFFFFF00"/>
        <bgColor indexed="31"/>
      </patternFill>
    </fill>
    <fill>
      <patternFill patternType="gray0625">
        <bgColor theme="0" tint="-0.14996795556505021"/>
      </patternFill>
    </fill>
    <fill>
      <patternFill patternType="gray0625">
        <fgColor theme="1"/>
        <bgColor theme="0" tint="-0.1498458815271462"/>
      </patternFill>
    </fill>
    <fill>
      <patternFill patternType="solid">
        <fgColor rgb="FFFFFF00"/>
        <bgColor theme="1"/>
      </patternFill>
    </fill>
    <fill>
      <patternFill patternType="solid">
        <fgColor theme="5" tint="0.59999389629810485"/>
        <bgColor indexed="64"/>
      </patternFill>
    </fill>
    <fill>
      <patternFill patternType="solid">
        <fgColor rgb="FFFFFF99"/>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BBE"/>
        <bgColor indexed="64"/>
      </patternFill>
    </fill>
    <fill>
      <patternFill patternType="mediumGray">
        <bgColor theme="0" tint="-0.14996795556505021"/>
      </patternFill>
    </fill>
    <fill>
      <patternFill patternType="mediumGray">
        <bgColor theme="0" tint="-0.14993743705557422"/>
      </patternFill>
    </fill>
    <fill>
      <patternFill patternType="darkGray">
        <bgColor theme="0" tint="-0.14996795556505021"/>
      </patternFill>
    </fill>
    <fill>
      <patternFill patternType="mediumGray">
        <bgColor theme="0" tint="-0.249977111117893"/>
      </patternFill>
    </fill>
    <fill>
      <patternFill patternType="mediumGray">
        <bgColor theme="0" tint="-0.24994659260841701"/>
      </patternFill>
    </fill>
    <fill>
      <patternFill patternType="solid">
        <fgColor theme="5" tint="0.39997558519241921"/>
        <bgColor indexed="64"/>
      </patternFill>
    </fill>
    <fill>
      <patternFill patternType="solid">
        <fgColor rgb="FFFFFF00"/>
        <bgColor rgb="FF000000"/>
      </patternFill>
    </fill>
    <fill>
      <patternFill patternType="solid">
        <fgColor theme="6" tint="0.79998168889431442"/>
        <bgColor indexed="26"/>
      </patternFill>
    </fill>
    <fill>
      <patternFill patternType="solid">
        <fgColor theme="6" tint="0.39997558519241921"/>
        <bgColor indexed="64"/>
      </patternFill>
    </fill>
    <fill>
      <patternFill patternType="solid">
        <fgColor theme="6" tint="0.39997558519241921"/>
        <bgColor indexed="26"/>
      </patternFill>
    </fill>
    <fill>
      <patternFill patternType="solid">
        <fgColor theme="6" tint="-0.249977111117893"/>
        <bgColor indexed="64"/>
      </patternFill>
    </fill>
    <fill>
      <patternFill patternType="solid">
        <fgColor theme="6" tint="-0.249977111117893"/>
        <bgColor indexed="26"/>
      </patternFill>
    </fill>
    <fill>
      <patternFill patternType="solid">
        <fgColor theme="0"/>
        <bgColor indexed="31"/>
      </patternFill>
    </fill>
    <fill>
      <patternFill patternType="solid">
        <fgColor theme="0" tint="-0.249977111117893"/>
        <bgColor indexed="22"/>
      </patternFill>
    </fill>
    <fill>
      <patternFill patternType="solid">
        <fgColor theme="0" tint="-0.34998626667073579"/>
        <bgColor theme="1"/>
      </patternFill>
    </fill>
    <fill>
      <patternFill patternType="solid">
        <fgColor rgb="FFFFFF00"/>
        <bgColor indexed="22"/>
      </patternFill>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tint="-0.14996795556505021"/>
        <bgColor indexed="64"/>
      </patternFill>
    </fill>
    <fill>
      <patternFill patternType="solid">
        <fgColor rgb="FFFFFF00"/>
        <bgColor indexed="26"/>
      </patternFill>
    </fill>
    <fill>
      <patternFill patternType="solid">
        <fgColor theme="3" tint="0.79998168889431442"/>
        <bgColor indexed="64"/>
      </patternFill>
    </fill>
    <fill>
      <patternFill patternType="solid">
        <fgColor rgb="FFC00000"/>
        <bgColor indexed="64"/>
      </patternFill>
    </fill>
    <fill>
      <patternFill patternType="solid">
        <fgColor theme="0"/>
        <bgColor indexed="22"/>
      </patternFill>
    </fill>
    <fill>
      <patternFill patternType="solid">
        <fgColor rgb="FFC00000"/>
        <bgColor rgb="FF000000"/>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theme="4" tint="-0.249977111117893"/>
        <bgColor indexed="64"/>
      </patternFill>
    </fill>
  </fills>
  <borders count="839">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hair">
        <color indexed="8"/>
      </right>
      <top/>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top style="hair">
        <color indexed="8"/>
      </top>
      <bottom style="hair">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style="hair">
        <color indexed="8"/>
      </top>
      <bottom style="thin">
        <color indexed="8"/>
      </bottom>
      <diagonal/>
    </border>
    <border>
      <left style="thin">
        <color auto="1"/>
      </left>
      <right/>
      <top/>
      <bottom/>
      <diagonal/>
    </border>
    <border>
      <left style="thin">
        <color indexed="8"/>
      </left>
      <right/>
      <top style="hair">
        <color indexed="8"/>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thin">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style="medium">
        <color theme="0"/>
      </left>
      <right style="hair">
        <color indexed="8"/>
      </right>
      <top style="medium">
        <color theme="0"/>
      </top>
      <bottom style="medium">
        <color indexed="8"/>
      </bottom>
      <diagonal/>
    </border>
    <border>
      <left style="hair">
        <color indexed="8"/>
      </left>
      <right style="hair">
        <color indexed="8"/>
      </right>
      <top style="medium">
        <color theme="0"/>
      </top>
      <bottom style="medium">
        <color indexed="8"/>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8"/>
      </left>
      <right style="thin">
        <color indexed="8"/>
      </right>
      <top style="medium">
        <color theme="0"/>
      </top>
      <bottom style="thin">
        <color indexed="8"/>
      </bottom>
      <diagonal/>
    </border>
    <border>
      <left style="medium">
        <color auto="1"/>
      </left>
      <right/>
      <top/>
      <bottom style="hair">
        <color indexed="8"/>
      </bottom>
      <diagonal/>
    </border>
    <border>
      <left style="hair">
        <color indexed="8"/>
      </left>
      <right style="hair">
        <color indexed="8"/>
      </right>
      <top style="hair">
        <color indexed="8"/>
      </top>
      <bottom style="medium">
        <color auto="1"/>
      </bottom>
      <diagonal/>
    </border>
    <border>
      <left style="hair">
        <color indexed="8"/>
      </left>
      <right style="medium">
        <color auto="1"/>
      </right>
      <top style="hair">
        <color indexed="8"/>
      </top>
      <bottom style="medium">
        <color auto="1"/>
      </bottom>
      <diagonal/>
    </border>
    <border>
      <left/>
      <right/>
      <top/>
      <bottom style="thin">
        <color auto="1"/>
      </bottom>
      <diagonal/>
    </border>
    <border>
      <left/>
      <right/>
      <top/>
      <bottom style="medium">
        <color auto="1"/>
      </bottom>
      <diagonal/>
    </border>
    <border>
      <left style="medium">
        <color auto="1"/>
      </left>
      <right/>
      <top style="hair">
        <color indexed="8"/>
      </top>
      <bottom/>
      <diagonal/>
    </border>
    <border>
      <left style="medium">
        <color auto="1"/>
      </left>
      <right style="medium">
        <color indexed="8"/>
      </right>
      <top/>
      <bottom style="hair">
        <color indexed="8"/>
      </bottom>
      <diagonal/>
    </border>
    <border>
      <left style="medium">
        <color auto="1"/>
      </left>
      <right style="medium">
        <color indexed="8"/>
      </right>
      <top style="hair">
        <color indexed="8"/>
      </top>
      <bottom style="hair">
        <color indexed="8"/>
      </bottom>
      <diagonal/>
    </border>
    <border>
      <left style="medium">
        <color auto="1"/>
      </left>
      <right style="medium">
        <color indexed="8"/>
      </right>
      <top style="hair">
        <color indexed="8"/>
      </top>
      <bottom style="medium">
        <color indexed="8"/>
      </bottom>
      <diagonal/>
    </border>
    <border>
      <left style="medium">
        <color auto="1"/>
      </left>
      <right style="medium">
        <color indexed="8"/>
      </right>
      <top style="hair">
        <color indexed="8"/>
      </top>
      <bottom/>
      <diagonal/>
    </border>
    <border>
      <left/>
      <right style="medium">
        <color auto="1"/>
      </right>
      <top/>
      <bottom/>
      <diagonal/>
    </border>
    <border>
      <left style="medium">
        <color auto="1"/>
      </left>
      <right/>
      <top/>
      <bottom/>
      <diagonal/>
    </border>
    <border>
      <left style="medium">
        <color auto="1"/>
      </left>
      <right style="hair">
        <color indexed="8"/>
      </right>
      <top style="hair">
        <color indexed="8"/>
      </top>
      <bottom/>
      <diagonal/>
    </border>
    <border>
      <left style="thin">
        <color indexed="8"/>
      </left>
      <right style="medium">
        <color indexed="8"/>
      </right>
      <top style="medium">
        <color rgb="FFFF0000"/>
      </top>
      <bottom style="thin">
        <color indexed="8"/>
      </bottom>
      <diagonal/>
    </border>
    <border>
      <left style="medium">
        <color indexed="8"/>
      </left>
      <right style="medium">
        <color indexed="8"/>
      </right>
      <top style="medium">
        <color rgb="FFFF0000"/>
      </top>
      <bottom style="thin">
        <color indexed="8"/>
      </bottom>
      <diagonal/>
    </border>
    <border>
      <left style="medium">
        <color auto="1"/>
      </left>
      <right style="thin">
        <color indexed="8"/>
      </right>
      <top style="medium">
        <color rgb="FFFF0000"/>
      </top>
      <bottom/>
      <diagonal/>
    </border>
    <border>
      <left style="medium">
        <color indexed="8"/>
      </left>
      <right style="medium">
        <color auto="1"/>
      </right>
      <top style="medium">
        <color rgb="FFFF0000"/>
      </top>
      <bottom style="thin">
        <color indexed="8"/>
      </bottom>
      <diagonal/>
    </border>
    <border>
      <left/>
      <right style="medium">
        <color indexed="8"/>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top/>
      <bottom/>
      <diagonal/>
    </border>
    <border>
      <left style="thin">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indexed="8"/>
      </bottom>
      <diagonal/>
    </border>
    <border>
      <left/>
      <right/>
      <top style="medium">
        <color rgb="FFFFFFFF"/>
      </top>
      <bottom/>
      <diagonal/>
    </border>
    <border>
      <left/>
      <right/>
      <top/>
      <bottom style="medium">
        <color rgb="FFFFFFFF"/>
      </bottom>
      <diagonal/>
    </border>
    <border>
      <left style="thin">
        <color indexed="8"/>
      </left>
      <right style="hair">
        <color indexed="8"/>
      </right>
      <top/>
      <bottom style="hair">
        <color indexed="8"/>
      </bottom>
      <diagonal/>
    </border>
    <border>
      <left style="thin">
        <color indexed="8"/>
      </left>
      <right/>
      <top/>
      <bottom style="hair">
        <color indexed="8"/>
      </bottom>
      <diagonal/>
    </border>
    <border>
      <left style="thin">
        <color auto="1"/>
      </left>
      <right style="thin">
        <color auto="1"/>
      </right>
      <top/>
      <bottom style="hair">
        <color indexed="8"/>
      </bottom>
      <diagonal/>
    </border>
    <border>
      <left/>
      <right style="hair">
        <color indexed="8"/>
      </right>
      <top style="hair">
        <color indexed="8"/>
      </top>
      <bottom style="hair">
        <color indexed="8"/>
      </bottom>
      <diagonal/>
    </border>
    <border>
      <left style="thin">
        <color auto="1"/>
      </left>
      <right style="thin">
        <color auto="1"/>
      </right>
      <top style="hair">
        <color auto="1"/>
      </top>
      <bottom/>
      <diagonal/>
    </border>
    <border>
      <left/>
      <right style="thin">
        <color auto="1"/>
      </right>
      <top style="hair">
        <color auto="1"/>
      </top>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style="thin">
        <color theme="0" tint="-4.9989318521683403E-2"/>
      </right>
      <top/>
      <bottom style="medium">
        <color theme="0"/>
      </bottom>
      <diagonal/>
    </border>
    <border>
      <left style="thin">
        <color theme="0" tint="-4.9989318521683403E-2"/>
      </left>
      <right/>
      <top style="thin">
        <color theme="0"/>
      </top>
      <bottom style="thin">
        <color theme="0"/>
      </bottom>
      <diagonal/>
    </border>
    <border>
      <left style="thin">
        <color theme="0" tint="-4.9989318521683403E-2"/>
      </left>
      <right/>
      <top/>
      <bottom style="medium">
        <color theme="0"/>
      </bottom>
      <diagonal/>
    </border>
    <border>
      <left style="medium">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hair">
        <color indexed="8"/>
      </right>
      <top style="hair">
        <color indexed="8"/>
      </top>
      <bottom style="medium">
        <color auto="1"/>
      </bottom>
      <diagonal/>
    </border>
    <border>
      <left/>
      <right style="thin">
        <color indexed="8"/>
      </right>
      <top/>
      <bottom style="thin">
        <color auto="1"/>
      </bottom>
      <diagonal/>
    </border>
    <border>
      <left/>
      <right style="hair">
        <color auto="1"/>
      </right>
      <top/>
      <bottom style="hair">
        <color auto="1"/>
      </bottom>
      <diagonal/>
    </border>
    <border>
      <left style="medium">
        <color auto="1"/>
      </left>
      <right/>
      <top style="hair">
        <color indexed="8"/>
      </top>
      <bottom style="hair">
        <color auto="1"/>
      </bottom>
      <diagonal/>
    </border>
    <border>
      <left/>
      <right style="hair">
        <color indexed="8"/>
      </right>
      <top/>
      <bottom style="hair">
        <color indexed="8"/>
      </bottom>
      <diagonal/>
    </border>
    <border>
      <left style="thin">
        <color theme="0" tint="-4.9989318521683403E-2"/>
      </left>
      <right style="medium">
        <color theme="0"/>
      </right>
      <top style="thin">
        <color theme="0"/>
      </top>
      <bottom style="thin">
        <color theme="0"/>
      </bottom>
      <diagonal/>
    </border>
    <border>
      <left/>
      <right style="medium">
        <color theme="0"/>
      </right>
      <top style="thin">
        <color theme="0"/>
      </top>
      <bottom style="thin">
        <color theme="0"/>
      </bottom>
      <diagonal/>
    </border>
    <border>
      <left style="medium">
        <color auto="1"/>
      </left>
      <right/>
      <top style="hair">
        <color auto="1"/>
      </top>
      <bottom style="hair">
        <color indexed="8"/>
      </bottom>
      <diagonal/>
    </border>
    <border>
      <left/>
      <right style="thin">
        <color indexed="8"/>
      </right>
      <top/>
      <bottom style="hair">
        <color indexed="8"/>
      </bottom>
      <diagonal/>
    </border>
    <border>
      <left/>
      <right style="thin">
        <color indexed="8"/>
      </right>
      <top style="thin">
        <color theme="1"/>
      </top>
      <bottom style="thin">
        <color theme="1"/>
      </bottom>
      <diagonal/>
    </border>
    <border>
      <left style="medium">
        <color theme="1"/>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auto="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diagonal/>
    </border>
    <border>
      <left style="thin">
        <color theme="1"/>
      </left>
      <right style="medium">
        <color auto="1"/>
      </right>
      <top style="thin">
        <color theme="1"/>
      </top>
      <bottom/>
      <diagonal/>
    </border>
    <border>
      <left style="medium">
        <color auto="1"/>
      </left>
      <right style="thin">
        <color theme="1"/>
      </right>
      <top/>
      <bottom style="thin">
        <color theme="1"/>
      </bottom>
      <diagonal/>
    </border>
    <border>
      <left style="thin">
        <color theme="1"/>
      </left>
      <right style="medium">
        <color auto="1"/>
      </right>
      <top/>
      <bottom style="thin">
        <color theme="1"/>
      </bottom>
      <diagonal/>
    </border>
    <border>
      <left style="thin">
        <color indexed="8"/>
      </left>
      <right style="medium">
        <color auto="1"/>
      </right>
      <top style="hair">
        <color indexed="8"/>
      </top>
      <bottom style="hair">
        <color indexed="8"/>
      </bottom>
      <diagonal/>
    </border>
    <border>
      <left style="thin">
        <color theme="1"/>
      </left>
      <right style="medium">
        <color auto="1"/>
      </right>
      <top/>
      <bottom/>
      <diagonal/>
    </border>
    <border>
      <left/>
      <right style="thin">
        <color theme="0" tint="-4.9989318521683403E-2"/>
      </right>
      <top style="thin">
        <color theme="0"/>
      </top>
      <bottom style="thin">
        <color theme="0"/>
      </bottom>
      <diagonal/>
    </border>
    <border>
      <left/>
      <right style="thin">
        <color theme="0" tint="-4.9989318521683403E-2"/>
      </right>
      <top/>
      <bottom style="medium">
        <color theme="0"/>
      </bottom>
      <diagonal/>
    </border>
    <border>
      <left style="hair">
        <color indexed="8"/>
      </left>
      <right style="thin">
        <color auto="1"/>
      </right>
      <top/>
      <bottom style="hair">
        <color indexed="8"/>
      </bottom>
      <diagonal/>
    </border>
    <border>
      <left style="medium">
        <color theme="0"/>
      </left>
      <right style="thin">
        <color auto="1"/>
      </right>
      <top style="thin">
        <color theme="0"/>
      </top>
      <bottom style="thin">
        <color theme="0"/>
      </bottom>
      <diagonal/>
    </border>
    <border>
      <left style="medium">
        <color theme="0"/>
      </left>
      <right style="thin">
        <color auto="1"/>
      </right>
      <top/>
      <bottom style="medium">
        <color theme="0"/>
      </bottom>
      <diagonal/>
    </border>
    <border>
      <left/>
      <right style="thin">
        <color auto="1"/>
      </right>
      <top style="medium">
        <color theme="0"/>
      </top>
      <bottom style="medium">
        <color theme="0"/>
      </bottom>
      <diagonal/>
    </border>
    <border>
      <left style="hair">
        <color auto="1"/>
      </left>
      <right/>
      <top style="hair">
        <color auto="1"/>
      </top>
      <bottom style="hair">
        <color auto="1"/>
      </bottom>
      <diagonal/>
    </border>
    <border>
      <left style="hair">
        <color auto="1"/>
      </left>
      <right/>
      <top/>
      <bottom style="hair">
        <color auto="1"/>
      </bottom>
      <diagonal/>
    </border>
    <border>
      <left/>
      <right/>
      <top style="thin">
        <color theme="1"/>
      </top>
      <bottom/>
      <diagonal/>
    </border>
    <border>
      <left/>
      <right/>
      <top style="thin">
        <color theme="1"/>
      </top>
      <bottom style="thin">
        <color theme="1"/>
      </bottom>
      <diagonal/>
    </border>
    <border>
      <left/>
      <right/>
      <top style="hair">
        <color indexed="8"/>
      </top>
      <bottom style="hair">
        <color indexed="8"/>
      </bottom>
      <diagonal/>
    </border>
    <border>
      <left/>
      <right/>
      <top style="hair">
        <color indexed="8"/>
      </top>
      <bottom/>
      <diagonal/>
    </border>
    <border>
      <left/>
      <right/>
      <top/>
      <bottom style="hair">
        <color indexed="8"/>
      </bottom>
      <diagonal/>
    </border>
    <border>
      <left/>
      <right/>
      <top style="hair">
        <color indexed="8"/>
      </top>
      <bottom style="thin">
        <color indexed="8"/>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style="hair">
        <color indexed="8"/>
      </right>
      <top/>
      <bottom/>
      <diagonal/>
    </border>
    <border>
      <left/>
      <right style="hair">
        <color indexed="8"/>
      </right>
      <top style="hair">
        <color indexed="8"/>
      </top>
      <bottom/>
      <diagonal/>
    </border>
    <border>
      <left/>
      <right style="hair">
        <color indexed="8"/>
      </right>
      <top style="hair">
        <color indexed="8"/>
      </top>
      <bottom style="thin">
        <color indexed="8"/>
      </bottom>
      <diagonal/>
    </border>
    <border>
      <left style="hair">
        <color auto="1"/>
      </left>
      <right style="hair">
        <color auto="1"/>
      </right>
      <top style="hair">
        <color auto="1"/>
      </top>
      <bottom/>
      <diagonal/>
    </border>
    <border>
      <left style="hair">
        <color indexed="8"/>
      </left>
      <right style="medium">
        <color indexed="64"/>
      </right>
      <top style="hair">
        <color indexed="8"/>
      </top>
      <bottom style="hair">
        <color indexed="8"/>
      </bottom>
      <diagonal/>
    </border>
    <border>
      <left style="thin">
        <color auto="1"/>
      </left>
      <right style="thin">
        <color auto="1"/>
      </right>
      <top style="medium">
        <color theme="1"/>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medium">
        <color theme="1"/>
      </top>
      <bottom style="thin">
        <color indexed="8"/>
      </bottom>
      <diagonal/>
    </border>
    <border>
      <left style="medium">
        <color indexed="64"/>
      </left>
      <right style="medium">
        <color indexed="8"/>
      </right>
      <top style="medium">
        <color theme="1"/>
      </top>
      <bottom style="thin">
        <color indexed="8"/>
      </bottom>
      <diagonal/>
    </border>
    <border>
      <left style="medium">
        <color theme="0"/>
      </left>
      <right style="thin">
        <color auto="1"/>
      </right>
      <top/>
      <bottom/>
      <diagonal/>
    </border>
    <border>
      <left style="medium">
        <color indexed="64"/>
      </left>
      <right style="thin">
        <color indexed="8"/>
      </right>
      <top/>
      <bottom/>
      <diagonal/>
    </border>
    <border>
      <left style="medium">
        <color indexed="64"/>
      </left>
      <right style="medium">
        <color indexed="8"/>
      </right>
      <top/>
      <bottom/>
      <diagonal/>
    </border>
    <border>
      <left style="medium">
        <color indexed="64"/>
      </left>
      <right style="medium">
        <color indexed="64"/>
      </right>
      <top/>
      <bottom/>
      <diagonal/>
    </border>
    <border>
      <left style="medium">
        <color theme="0"/>
      </left>
      <right style="medium">
        <color theme="0"/>
      </right>
      <top style="medium">
        <color theme="0"/>
      </top>
      <bottom style="medium">
        <color theme="0"/>
      </bottom>
      <diagonal/>
    </border>
    <border>
      <left style="hair">
        <color indexed="8"/>
      </left>
      <right/>
      <top/>
      <bottom style="medium">
        <color indexed="64"/>
      </bottom>
      <diagonal/>
    </border>
    <border>
      <left style="medium">
        <color indexed="64"/>
      </left>
      <right style="hair">
        <color indexed="8"/>
      </right>
      <top/>
      <bottom style="hair">
        <color indexed="8"/>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bottom/>
      <diagonal/>
    </border>
    <border>
      <left style="medium">
        <color indexed="64"/>
      </left>
      <right style="hair">
        <color indexed="8"/>
      </right>
      <top style="hair">
        <color indexed="8"/>
      </top>
      <bottom style="thin">
        <color indexed="8"/>
      </bottom>
      <diagonal/>
    </border>
    <border>
      <left/>
      <right/>
      <top style="thin">
        <color rgb="FF000000"/>
      </top>
      <bottom style="thin">
        <color rgb="FF000000"/>
      </bottom>
      <diagonal/>
    </border>
    <border>
      <left style="thin">
        <color indexed="8"/>
      </left>
      <right/>
      <top style="thin">
        <color theme="1"/>
      </top>
      <bottom style="thin">
        <color indexed="8"/>
      </bottom>
      <diagonal/>
    </border>
    <border>
      <left style="hair">
        <color indexed="8"/>
      </left>
      <right/>
      <top style="hair">
        <color indexed="8"/>
      </top>
      <bottom style="medium">
        <color indexed="8"/>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thin">
        <color auto="1"/>
      </right>
      <top/>
      <bottom style="hair">
        <color auto="1"/>
      </bottom>
      <diagonal/>
    </border>
    <border>
      <left style="medium">
        <color indexed="64"/>
      </left>
      <right style="thin">
        <color auto="1"/>
      </right>
      <top style="hair">
        <color auto="1"/>
      </top>
      <bottom style="medium">
        <color indexed="64"/>
      </bottom>
      <diagonal/>
    </border>
    <border>
      <left style="thin">
        <color auto="1"/>
      </left>
      <right/>
      <top style="hair">
        <color indexed="8"/>
      </top>
      <bottom style="hair">
        <color indexed="8"/>
      </bottom>
      <diagonal/>
    </border>
    <border>
      <left style="thin">
        <color auto="1"/>
      </left>
      <right/>
      <top style="hair">
        <color indexed="8"/>
      </top>
      <bottom style="hair">
        <color auto="1"/>
      </bottom>
      <diagonal/>
    </border>
    <border>
      <left style="thin">
        <color auto="1"/>
      </left>
      <right/>
      <top style="hair">
        <color auto="1"/>
      </top>
      <bottom style="hair">
        <color indexed="8"/>
      </bottom>
      <diagonal/>
    </border>
    <border>
      <left style="thin">
        <color auto="1"/>
      </left>
      <right/>
      <top style="hair">
        <color indexed="8"/>
      </top>
      <bottom style="thin">
        <color auto="1"/>
      </bottom>
      <diagonal/>
    </border>
    <border>
      <left/>
      <right style="hair">
        <color auto="1"/>
      </right>
      <top style="hair">
        <color indexed="8"/>
      </top>
      <bottom style="hair">
        <color auto="1"/>
      </bottom>
      <diagonal/>
    </border>
    <border>
      <left/>
      <right style="hair">
        <color auto="1"/>
      </right>
      <top style="hair">
        <color auto="1"/>
      </top>
      <bottom style="hair">
        <color indexed="8"/>
      </bottom>
      <diagonal/>
    </border>
    <border>
      <left/>
      <right style="hair">
        <color indexed="8"/>
      </right>
      <top style="hair">
        <color indexed="8"/>
      </top>
      <bottom style="thin">
        <color auto="1"/>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auto="1"/>
      </top>
      <bottom style="hair">
        <color indexed="8"/>
      </bottom>
      <diagonal/>
    </border>
    <border>
      <left style="thin">
        <color indexed="64"/>
      </left>
      <right style="thin">
        <color indexed="64"/>
      </right>
      <top style="hair">
        <color indexed="8"/>
      </top>
      <bottom style="thin">
        <color indexed="64"/>
      </bottom>
      <diagonal/>
    </border>
    <border>
      <left style="hair">
        <color auto="1"/>
      </left>
      <right/>
      <top style="hair">
        <color indexed="8"/>
      </top>
      <bottom style="hair">
        <color auto="1"/>
      </bottom>
      <diagonal/>
    </border>
    <border>
      <left style="hair">
        <color auto="1"/>
      </left>
      <right/>
      <top style="hair">
        <color auto="1"/>
      </top>
      <bottom style="hair">
        <color indexed="8"/>
      </bottom>
      <diagonal/>
    </border>
    <border>
      <left style="hair">
        <color indexed="8"/>
      </left>
      <right/>
      <top style="hair">
        <color indexed="8"/>
      </top>
      <bottom style="thin">
        <color auto="1"/>
      </bottom>
      <diagonal/>
    </border>
    <border>
      <left/>
      <right style="thin">
        <color indexed="8"/>
      </right>
      <top style="hair">
        <color indexed="8"/>
      </top>
      <bottom style="thin">
        <color auto="1"/>
      </bottom>
      <diagonal/>
    </border>
    <border>
      <left style="thin">
        <color indexed="64"/>
      </left>
      <right style="thin">
        <color indexed="64"/>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style="thin">
        <color indexed="8"/>
      </left>
      <right style="hair">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medium">
        <color auto="1"/>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style="medium">
        <color indexed="8"/>
      </right>
      <top/>
      <bottom/>
      <diagonal/>
    </border>
    <border>
      <left style="medium">
        <color indexed="8"/>
      </left>
      <right style="medium">
        <color auto="1"/>
      </right>
      <top/>
      <bottom/>
      <diagonal/>
    </border>
    <border>
      <left style="medium">
        <color indexed="64"/>
      </left>
      <right style="thin">
        <color auto="1"/>
      </right>
      <top/>
      <bottom style="medium">
        <color indexed="64"/>
      </bottom>
      <diagonal/>
    </border>
    <border>
      <left style="medium">
        <color auto="1"/>
      </left>
      <right/>
      <top style="hair">
        <color indexed="8"/>
      </top>
      <bottom style="hair">
        <color indexed="8"/>
      </bottom>
      <diagonal/>
    </border>
    <border>
      <left style="medium">
        <color indexed="64"/>
      </left>
      <right style="medium">
        <color indexed="8"/>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theme="1"/>
      </right>
      <top/>
      <bottom/>
      <diagonal/>
    </border>
    <border>
      <left style="hair">
        <color indexed="8"/>
      </left>
      <right style="medium">
        <color indexed="8"/>
      </right>
      <top style="hair">
        <color indexed="8"/>
      </top>
      <bottom style="hair">
        <color indexed="8"/>
      </bottom>
      <diagonal/>
    </border>
    <border>
      <left style="thin">
        <color indexed="64"/>
      </left>
      <right style="medium">
        <color indexed="64"/>
      </right>
      <top style="thin">
        <color indexed="64"/>
      </top>
      <bottom style="medium">
        <color indexed="64"/>
      </bottom>
      <diagonal/>
    </border>
    <border>
      <left style="medium">
        <color auto="1"/>
      </left>
      <right style="thin">
        <color indexed="8"/>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hair">
        <color auto="1"/>
      </bottom>
      <diagonal/>
    </border>
    <border>
      <left/>
      <right/>
      <top style="medium">
        <color auto="1"/>
      </top>
      <bottom style="thin">
        <color auto="1"/>
      </bottom>
      <diagonal/>
    </border>
    <border>
      <left/>
      <right style="medium">
        <color indexed="64"/>
      </right>
      <top style="medium">
        <color indexed="64"/>
      </top>
      <bottom style="thin">
        <color auto="1"/>
      </bottom>
      <diagonal/>
    </border>
    <border>
      <left style="medium">
        <color indexed="8"/>
      </left>
      <right style="medium">
        <color indexed="8"/>
      </right>
      <top/>
      <bottom style="medium">
        <color indexed="64"/>
      </bottom>
      <diagonal/>
    </border>
    <border>
      <left style="medium">
        <color indexed="64"/>
      </left>
      <right style="medium">
        <color indexed="8"/>
      </right>
      <top/>
      <bottom style="thin">
        <color indexed="8"/>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medium">
        <color auto="1"/>
      </left>
      <right/>
      <top style="thin">
        <color indexed="8"/>
      </top>
      <bottom/>
      <diagonal/>
    </border>
    <border>
      <left style="medium">
        <color indexed="8"/>
      </left>
      <right/>
      <top/>
      <bottom style="medium">
        <color indexed="64"/>
      </bottom>
      <diagonal/>
    </border>
    <border>
      <left/>
      <right style="thin">
        <color indexed="64"/>
      </right>
      <top style="medium">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indexed="64"/>
      </left>
      <right/>
      <top style="thin">
        <color auto="1"/>
      </top>
      <bottom/>
      <diagonal/>
    </border>
    <border>
      <left style="hair">
        <color indexed="8"/>
      </left>
      <right style="hair">
        <color indexed="8"/>
      </right>
      <top/>
      <bottom style="medium">
        <color indexed="8"/>
      </bottom>
      <diagonal/>
    </border>
    <border>
      <left/>
      <right/>
      <top/>
      <bottom style="medium">
        <color indexed="64"/>
      </bottom>
      <diagonal/>
    </border>
    <border>
      <left style="hair">
        <color indexed="8"/>
      </left>
      <right style="hair">
        <color indexed="8"/>
      </right>
      <top/>
      <bottom style="medium">
        <color auto="1"/>
      </bottom>
      <diagonal/>
    </border>
    <border>
      <left/>
      <right style="thin">
        <color auto="1"/>
      </right>
      <top style="thin">
        <color auto="1"/>
      </top>
      <bottom style="medium">
        <color indexed="64"/>
      </bottom>
      <diagonal/>
    </border>
    <border>
      <left style="thin">
        <color auto="1"/>
      </left>
      <right/>
      <top style="medium">
        <color auto="1"/>
      </top>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right style="thin">
        <color auto="1"/>
      </right>
      <top/>
      <bottom style="medium">
        <color indexed="64"/>
      </bottom>
      <diagonal/>
    </border>
    <border>
      <left style="thin">
        <color auto="1"/>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8"/>
      </left>
      <right/>
      <top/>
      <bottom style="medium">
        <color indexed="64"/>
      </bottom>
      <diagonal/>
    </border>
    <border>
      <left style="thin">
        <color auto="1"/>
      </left>
      <right style="thin">
        <color auto="1"/>
      </right>
      <top/>
      <bottom style="medium">
        <color indexed="64"/>
      </bottom>
      <diagonal/>
    </border>
    <border>
      <left/>
      <right style="medium">
        <color indexed="8"/>
      </right>
      <top/>
      <bottom style="medium">
        <color indexed="64"/>
      </bottom>
      <diagonal/>
    </border>
    <border>
      <left style="medium">
        <color indexed="64"/>
      </left>
      <right/>
      <top/>
      <bottom style="medium">
        <color indexed="8"/>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indexed="8"/>
      </left>
      <right style="medium">
        <color auto="1"/>
      </right>
      <top style="thin">
        <color indexed="8"/>
      </top>
      <bottom/>
      <diagonal/>
    </border>
    <border>
      <left style="medium">
        <color indexed="64"/>
      </left>
      <right style="medium">
        <color indexed="64"/>
      </right>
      <top style="thin">
        <color auto="1"/>
      </top>
      <bottom style="thin">
        <color auto="1"/>
      </bottom>
      <diagonal/>
    </border>
    <border>
      <left style="hair">
        <color auto="1"/>
      </left>
      <right style="hair">
        <color auto="1"/>
      </right>
      <top style="medium">
        <color auto="1"/>
      </top>
      <bottom style="hair">
        <color auto="1"/>
      </bottom>
      <diagonal/>
    </border>
    <border>
      <left style="medium">
        <color auto="1"/>
      </left>
      <right/>
      <top style="medium">
        <color auto="1"/>
      </top>
      <bottom style="medium">
        <color auto="1"/>
      </bottom>
      <diagonal/>
    </border>
    <border>
      <left style="thin">
        <color theme="1"/>
      </left>
      <right style="medium">
        <color auto="1"/>
      </right>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style="thin">
        <color auto="1"/>
      </bottom>
      <diagonal/>
    </border>
    <border>
      <left style="thin">
        <color indexed="8"/>
      </left>
      <right style="thin">
        <color indexed="8"/>
      </right>
      <top/>
      <bottom style="medium">
        <color indexed="64"/>
      </bottom>
      <diagonal/>
    </border>
    <border>
      <left style="medium">
        <color indexed="8"/>
      </left>
      <right style="medium">
        <color indexed="8"/>
      </right>
      <top/>
      <bottom style="medium">
        <color indexed="8"/>
      </bottom>
      <diagonal/>
    </border>
    <border>
      <left style="hair">
        <color indexed="8"/>
      </left>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auto="1"/>
      </top>
      <bottom/>
      <diagonal/>
    </border>
    <border>
      <left style="medium">
        <color indexed="8"/>
      </left>
      <right/>
      <top style="medium">
        <color auto="1"/>
      </top>
      <bottom/>
      <diagonal/>
    </border>
    <border>
      <left style="medium">
        <color indexed="8"/>
      </left>
      <right style="medium">
        <color indexed="8"/>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auto="1"/>
      </top>
      <bottom style="thin">
        <color auto="1"/>
      </bottom>
      <diagonal/>
    </border>
    <border>
      <left style="thin">
        <color auto="1"/>
      </left>
      <right style="medium">
        <color indexed="64"/>
      </right>
      <top style="medium">
        <color indexed="64"/>
      </top>
      <bottom style="thin">
        <color indexed="8"/>
      </bottom>
      <diagonal/>
    </border>
    <border>
      <left/>
      <right style="thin">
        <color auto="1"/>
      </right>
      <top style="medium">
        <color indexed="64"/>
      </top>
      <bottom style="thin">
        <color indexed="8"/>
      </bottom>
      <diagonal/>
    </border>
    <border>
      <left style="thin">
        <color auto="1"/>
      </left>
      <right style="medium">
        <color indexed="64"/>
      </right>
      <top style="thin">
        <color indexed="8"/>
      </top>
      <bottom style="thin">
        <color indexed="8"/>
      </bottom>
      <diagonal/>
    </border>
    <border>
      <left/>
      <right style="thin">
        <color auto="1"/>
      </right>
      <top style="thin">
        <color indexed="8"/>
      </top>
      <bottom style="thin">
        <color indexed="8"/>
      </bottom>
      <diagonal/>
    </border>
    <border>
      <left style="thin">
        <color auto="1"/>
      </left>
      <right style="medium">
        <color indexed="64"/>
      </right>
      <top style="thin">
        <color indexed="8"/>
      </top>
      <bottom style="medium">
        <color indexed="64"/>
      </bottom>
      <diagonal/>
    </border>
    <border>
      <left/>
      <right style="thin">
        <color auto="1"/>
      </right>
      <top style="thin">
        <color indexed="8"/>
      </top>
      <bottom style="medium">
        <color indexed="64"/>
      </bottom>
      <diagonal/>
    </border>
    <border>
      <left style="thin">
        <color auto="1"/>
      </left>
      <right style="thin">
        <color auto="1"/>
      </right>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style="thin">
        <color indexed="8"/>
      </top>
      <bottom/>
      <diagonal/>
    </border>
    <border>
      <left style="medium">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medium">
        <color auto="1"/>
      </right>
      <top style="thin">
        <color indexed="8"/>
      </top>
      <bottom style="hair">
        <color indexed="8"/>
      </bottom>
      <diagonal/>
    </border>
    <border>
      <left/>
      <right/>
      <top style="medium">
        <color auto="1"/>
      </top>
      <bottom style="thin">
        <color auto="1"/>
      </bottom>
      <diagonal/>
    </border>
    <border>
      <left/>
      <right style="medium">
        <color indexed="8"/>
      </right>
      <top style="medium">
        <color auto="1"/>
      </top>
      <bottom/>
      <diagonal/>
    </border>
    <border>
      <left style="medium">
        <color indexed="8"/>
      </left>
      <right style="thin">
        <color auto="1"/>
      </right>
      <top/>
      <bottom style="thin">
        <color auto="1"/>
      </bottom>
      <diagonal/>
    </border>
    <border>
      <left style="medium">
        <color indexed="8"/>
      </left>
      <right style="medium">
        <color indexed="8"/>
      </right>
      <top style="medium">
        <color auto="1"/>
      </top>
      <bottom style="thin">
        <color indexed="8"/>
      </bottom>
      <diagonal/>
    </border>
    <border>
      <left style="medium">
        <color indexed="8"/>
      </left>
      <right/>
      <top style="medium">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style="thin">
        <color indexed="8"/>
      </bottom>
      <diagonal/>
    </border>
    <border>
      <left style="medium">
        <color auto="1"/>
      </left>
      <right style="medium">
        <color auto="1"/>
      </right>
      <top style="thin">
        <color auto="1"/>
      </top>
      <bottom/>
      <diagonal/>
    </border>
    <border>
      <left style="medium">
        <color indexed="8"/>
      </left>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8"/>
      </right>
      <top style="thin">
        <color indexed="8"/>
      </top>
      <bottom style="thin">
        <color indexed="64"/>
      </bottom>
      <diagonal/>
    </border>
    <border>
      <left style="medium">
        <color auto="1"/>
      </left>
      <right style="medium">
        <color auto="1"/>
      </right>
      <top style="thin">
        <color auto="1"/>
      </top>
      <bottom style="medium">
        <color auto="1"/>
      </bottom>
      <diagonal/>
    </border>
    <border>
      <left style="medium">
        <color indexed="8"/>
      </left>
      <right style="medium">
        <color indexed="8"/>
      </right>
      <top style="thin">
        <color auto="1"/>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theme="1"/>
      </bottom>
      <diagonal/>
    </border>
    <border>
      <left style="medium">
        <color auto="1"/>
      </left>
      <right/>
      <top/>
      <bottom style="medium">
        <color auto="1"/>
      </bottom>
      <diagonal/>
    </border>
    <border>
      <left style="medium">
        <color auto="1"/>
      </left>
      <right style="medium">
        <color auto="1"/>
      </right>
      <top style="thin">
        <color indexed="8"/>
      </top>
      <bottom style="thin">
        <color indexed="8"/>
      </bottom>
      <diagonal/>
    </border>
    <border>
      <left style="medium">
        <color auto="1"/>
      </left>
      <right style="medium">
        <color auto="1"/>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auto="1"/>
      </bottom>
      <diagonal/>
    </border>
    <border>
      <left style="medium">
        <color auto="1"/>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style="medium">
        <color indexed="8"/>
      </right>
      <top style="medium">
        <color indexed="8"/>
      </top>
      <bottom style="hair">
        <color indexed="8"/>
      </bottom>
      <diagonal/>
    </border>
    <border>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bottom style="thin">
        <color indexed="8"/>
      </bottom>
      <diagonal/>
    </border>
    <border>
      <left style="medium">
        <color indexed="8"/>
      </left>
      <right style="medium">
        <color indexed="8"/>
      </right>
      <top style="medium">
        <color indexed="8"/>
      </top>
      <bottom/>
      <diagonal/>
    </border>
    <border>
      <left style="medium">
        <color auto="1"/>
      </left>
      <right style="medium">
        <color indexed="8"/>
      </right>
      <top style="medium">
        <color indexed="8"/>
      </top>
      <bottom/>
      <diagonal/>
    </border>
    <border>
      <left style="medium">
        <color auto="1"/>
      </left>
      <right/>
      <top/>
      <bottom style="medium">
        <color auto="1"/>
      </bottom>
      <diagonal/>
    </border>
    <border>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medium">
        <color indexed="8"/>
      </bottom>
      <diagonal/>
    </border>
    <border>
      <left style="medium">
        <color auto="1"/>
      </left>
      <right style="medium">
        <color indexed="8"/>
      </right>
      <top/>
      <bottom style="medium">
        <color indexed="8"/>
      </bottom>
      <diagonal/>
    </border>
    <border>
      <left style="medium">
        <color auto="1"/>
      </left>
      <right style="medium">
        <color indexed="8"/>
      </right>
      <top style="medium">
        <color indexed="8"/>
      </top>
      <bottom style="medium">
        <color auto="1"/>
      </bottom>
      <diagonal/>
    </border>
    <border>
      <left style="medium">
        <color indexed="8"/>
      </left>
      <right style="medium">
        <color indexed="8"/>
      </right>
      <top style="medium">
        <color indexed="8"/>
      </top>
      <bottom style="medium">
        <color auto="1"/>
      </bottom>
      <diagonal/>
    </border>
    <border>
      <left style="medium">
        <color auto="1"/>
      </left>
      <right/>
      <top/>
      <bottom style="medium">
        <color indexed="8"/>
      </bottom>
      <diagonal/>
    </border>
    <border>
      <left/>
      <right/>
      <top/>
      <bottom style="medium">
        <color indexed="8"/>
      </bottom>
      <diagonal/>
    </border>
    <border>
      <left style="medium">
        <color auto="1"/>
      </left>
      <right style="medium">
        <color auto="1"/>
      </right>
      <top style="medium">
        <color auto="1"/>
      </top>
      <bottom style="thin">
        <color indexed="8"/>
      </bottom>
      <diagonal/>
    </border>
    <border>
      <left/>
      <right style="medium">
        <color indexed="8"/>
      </right>
      <top style="medium">
        <color indexed="8"/>
      </top>
      <bottom style="thin">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indexed="8"/>
      </top>
      <bottom style="medium">
        <color auto="1"/>
      </bottom>
      <diagonal/>
    </border>
    <border>
      <left/>
      <right style="medium">
        <color indexed="8"/>
      </right>
      <top style="thin">
        <color auto="1"/>
      </top>
      <bottom style="medium">
        <color indexed="8"/>
      </bottom>
      <diagonal/>
    </border>
    <border>
      <left/>
      <right/>
      <top style="medium">
        <color indexed="8"/>
      </top>
      <bottom style="medium">
        <color indexed="8"/>
      </bottom>
      <diagonal/>
    </border>
    <border>
      <left style="medium">
        <color auto="1"/>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auto="1"/>
      </left>
      <right style="medium">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17"/>
      </left>
      <right style="medium">
        <color indexed="8"/>
      </right>
      <top style="medium">
        <color indexed="17"/>
      </top>
      <bottom style="medium">
        <color indexed="17"/>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auto="1"/>
      </bottom>
      <diagonal/>
    </border>
    <border>
      <left/>
      <right/>
      <top style="thin">
        <color indexed="64"/>
      </top>
      <bottom style="thin">
        <color indexed="64"/>
      </bottom>
      <diagonal/>
    </border>
    <border>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auto="1"/>
      </top>
      <bottom/>
      <diagonal/>
    </border>
    <border>
      <left style="thin">
        <color indexed="8"/>
      </left>
      <right style="thin">
        <color auto="1"/>
      </right>
      <top style="thin">
        <color auto="1"/>
      </top>
      <bottom style="thin">
        <color indexed="8"/>
      </bottom>
      <diagonal/>
    </border>
    <border>
      <left style="thin">
        <color auto="1"/>
      </left>
      <right/>
      <top/>
      <bottom style="thin">
        <color auto="1"/>
      </bottom>
      <diagonal/>
    </border>
    <border>
      <left style="thin">
        <color indexed="8"/>
      </left>
      <right style="thin">
        <color auto="1"/>
      </right>
      <top style="thin">
        <color indexed="8"/>
      </top>
      <bottom style="thin">
        <color auto="1"/>
      </bottom>
      <diagonal/>
    </border>
    <border>
      <left/>
      <right style="thin">
        <color indexed="8"/>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medium">
        <color indexed="8"/>
      </right>
      <top style="thin">
        <color indexed="8"/>
      </top>
      <bottom style="thin">
        <color auto="1"/>
      </bottom>
      <diagonal/>
    </border>
    <border>
      <left style="thin">
        <color auto="1"/>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8"/>
      </left>
      <right/>
      <top/>
      <bottom/>
      <diagonal/>
    </border>
    <border>
      <left style="medium">
        <color indexed="64"/>
      </left>
      <right/>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auto="1"/>
      </left>
      <right/>
      <top style="thin">
        <color indexed="8"/>
      </top>
      <bottom style="hair">
        <color indexed="8"/>
      </bottom>
      <diagonal/>
    </border>
    <border>
      <left style="medium">
        <color auto="1"/>
      </left>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auto="1"/>
      </right>
      <top/>
      <bottom style="medium">
        <color auto="1"/>
      </bottom>
      <diagonal/>
    </border>
    <border>
      <left style="thin">
        <color auto="1"/>
      </left>
      <right style="thin">
        <color indexed="8"/>
      </right>
      <top style="thin">
        <color auto="1"/>
      </top>
      <bottom/>
      <diagonal/>
    </border>
    <border>
      <left style="medium">
        <color auto="1"/>
      </left>
      <right/>
      <top style="medium">
        <color indexed="64"/>
      </top>
      <bottom style="medium">
        <color auto="1"/>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auto="1"/>
      </left>
      <right style="medium">
        <color indexed="8"/>
      </right>
      <top style="medium">
        <color indexed="8"/>
      </top>
      <bottom/>
      <diagonal/>
    </border>
    <border>
      <left/>
      <right style="medium">
        <color indexed="8"/>
      </right>
      <top/>
      <bottom style="medium">
        <color indexed="64"/>
      </bottom>
      <diagonal/>
    </border>
    <border>
      <left style="medium">
        <color indexed="8"/>
      </left>
      <right style="medium">
        <color indexed="8"/>
      </right>
      <top style="medium">
        <color indexed="8"/>
      </top>
      <bottom style="medium">
        <color auto="1"/>
      </bottom>
      <diagonal/>
    </border>
    <border>
      <left style="medium">
        <color indexed="8"/>
      </left>
      <right/>
      <top style="medium">
        <color indexed="8"/>
      </top>
      <bottom style="medium">
        <color auto="1"/>
      </bottom>
      <diagonal/>
    </border>
    <border>
      <left style="medium">
        <color auto="1"/>
      </left>
      <right style="medium">
        <color indexed="8"/>
      </right>
      <top style="medium">
        <color indexed="8"/>
      </top>
      <bottom style="medium">
        <color auto="1"/>
      </bottom>
      <diagonal/>
    </border>
    <border>
      <left/>
      <right/>
      <top style="medium">
        <color indexed="64"/>
      </top>
      <bottom style="medium">
        <color auto="1"/>
      </bottom>
      <diagonal/>
    </border>
    <border>
      <left style="medium">
        <color auto="1"/>
      </left>
      <right style="thin">
        <color indexed="8"/>
      </right>
      <top/>
      <bottom style="thin">
        <color indexed="8"/>
      </bottom>
      <diagonal/>
    </border>
    <border>
      <left style="thin">
        <color indexed="8"/>
      </left>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auto="1"/>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auto="1"/>
      </left>
      <right style="thin">
        <color indexed="8"/>
      </right>
      <top style="medium">
        <color indexed="64"/>
      </top>
      <bottom style="medium">
        <color indexed="64"/>
      </bottom>
      <diagonal/>
    </border>
    <border>
      <left style="thin">
        <color indexed="8"/>
      </left>
      <right style="medium">
        <color auto="1"/>
      </right>
      <top style="medium">
        <color indexed="64"/>
      </top>
      <bottom style="medium">
        <color indexed="64"/>
      </bottom>
      <diagonal/>
    </border>
    <border>
      <left/>
      <right style="medium">
        <color indexed="8"/>
      </right>
      <top style="medium">
        <color indexed="8"/>
      </top>
      <bottom style="medium">
        <color indexed="8"/>
      </bottom>
      <diagonal/>
    </border>
    <border>
      <left style="thin">
        <color indexed="8"/>
      </left>
      <right style="thin">
        <color indexed="8"/>
      </right>
      <top style="medium">
        <color auto="1"/>
      </top>
      <bottom/>
      <diagonal/>
    </border>
    <border>
      <left style="thin">
        <color indexed="8"/>
      </left>
      <right/>
      <top style="medium">
        <color auto="1"/>
      </top>
      <bottom/>
      <diagonal/>
    </border>
    <border>
      <left style="thin">
        <color auto="1"/>
      </left>
      <right style="thin">
        <color indexed="8"/>
      </right>
      <top style="medium">
        <color auto="1"/>
      </top>
      <bottom/>
      <diagonal/>
    </border>
    <border>
      <left style="thin">
        <color indexed="8"/>
      </left>
      <right style="medium">
        <color auto="1"/>
      </right>
      <top style="medium">
        <color auto="1"/>
      </top>
      <bottom/>
      <diagonal/>
    </border>
    <border>
      <left style="medium">
        <color auto="1"/>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8"/>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medium">
        <color auto="1"/>
      </left>
      <right/>
      <top style="medium">
        <color indexed="8"/>
      </top>
      <bottom/>
      <diagonal/>
    </border>
    <border>
      <left style="hair">
        <color indexed="8"/>
      </left>
      <right style="hair">
        <color indexed="8"/>
      </right>
      <top style="thin">
        <color indexed="8"/>
      </top>
      <bottom/>
      <diagonal/>
    </border>
    <border>
      <left style="medium">
        <color auto="1"/>
      </left>
      <right/>
      <top style="medium">
        <color indexed="8"/>
      </top>
      <bottom style="medium">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medium">
        <color auto="1"/>
      </left>
      <right style="thin">
        <color auto="1"/>
      </right>
      <top/>
      <bottom/>
      <diagonal/>
    </border>
    <border>
      <left style="thin">
        <color indexed="64"/>
      </left>
      <right style="thin">
        <color indexed="64"/>
      </right>
      <top style="thin">
        <color indexed="64"/>
      </top>
      <bottom style="medium">
        <color indexed="64"/>
      </bottom>
      <diagonal/>
    </border>
    <border>
      <left/>
      <right/>
      <top style="thin">
        <color indexed="8"/>
      </top>
      <bottom style="medium">
        <color theme="0"/>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medium">
        <color auto="1"/>
      </right>
      <top style="thin">
        <color auto="1"/>
      </top>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indexed="64"/>
      </left>
      <right/>
      <top/>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style="thin">
        <color auto="1"/>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medium">
        <color indexed="8"/>
      </left>
      <right style="hair">
        <color indexed="8"/>
      </right>
      <top style="thin">
        <color indexed="8"/>
      </top>
      <bottom style="medium">
        <color indexed="8"/>
      </bottom>
      <diagonal/>
    </border>
    <border>
      <left style="hair">
        <color indexed="8"/>
      </left>
      <right style="thin">
        <color auto="1"/>
      </right>
      <top style="thin">
        <color indexed="8"/>
      </top>
      <bottom style="medium">
        <color indexed="8"/>
      </bottom>
      <diagonal/>
    </border>
    <border>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8"/>
      </top>
      <bottom style="medium">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medium">
        <color auto="1"/>
      </bottom>
      <diagonal/>
    </border>
    <border>
      <left style="thin">
        <color indexed="64"/>
      </left>
      <right style="hair">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style="thin">
        <color indexed="8"/>
      </left>
      <right style="thin">
        <color indexed="8"/>
      </right>
      <top/>
      <bottom style="thin">
        <color indexed="8"/>
      </bottom>
      <diagonal/>
    </border>
    <border>
      <left style="thin">
        <color auto="1"/>
      </left>
      <right/>
      <top/>
      <bottom style="thin">
        <color indexed="8"/>
      </bottom>
      <diagonal/>
    </border>
    <border>
      <left style="medium">
        <color indexed="64"/>
      </left>
      <right style="hair">
        <color indexed="8"/>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style="thin">
        <color indexed="8"/>
      </bottom>
      <diagonal/>
    </border>
    <border>
      <left style="thin">
        <color indexed="8"/>
      </left>
      <right/>
      <top style="thin">
        <color indexed="8"/>
      </top>
      <bottom style="thin">
        <color auto="1"/>
      </bottom>
      <diagonal/>
    </border>
    <border>
      <left style="thin">
        <color auto="1"/>
      </left>
      <right/>
      <top style="thin">
        <color indexed="8"/>
      </top>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medium">
        <color indexed="64"/>
      </left>
      <right style="medium">
        <color indexed="64"/>
      </right>
      <top style="thin">
        <color indexed="64"/>
      </top>
      <bottom style="thin">
        <color indexed="64"/>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medium">
        <color indexed="64"/>
      </top>
      <bottom/>
      <diagonal/>
    </border>
    <border>
      <left style="hair">
        <color indexed="8"/>
      </left>
      <right/>
      <top style="thin">
        <color indexed="8"/>
      </top>
      <bottom style="hair">
        <color indexed="8"/>
      </bottom>
      <diagonal/>
    </border>
    <border>
      <left style="medium">
        <color indexed="64"/>
      </left>
      <right style="hair">
        <color indexed="8"/>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thin">
        <color indexed="8"/>
      </bottom>
      <diagonal/>
    </border>
    <border>
      <left style="thin">
        <color auto="1"/>
      </left>
      <right/>
      <top style="thin">
        <color indexed="8"/>
      </top>
      <bottom style="thin">
        <color indexed="8"/>
      </bottom>
      <diagonal/>
    </border>
    <border>
      <left style="medium">
        <color indexed="64"/>
      </left>
      <right style="hair">
        <color indexed="8"/>
      </right>
      <top style="medium">
        <color auto="1"/>
      </top>
      <bottom style="thin">
        <color auto="1"/>
      </bottom>
      <diagonal/>
    </border>
    <border>
      <left style="hair">
        <color indexed="8"/>
      </left>
      <right/>
      <top style="medium">
        <color auto="1"/>
      </top>
      <bottom style="thin">
        <color auto="1"/>
      </bottom>
      <diagonal/>
    </border>
    <border>
      <left style="hair">
        <color indexed="8"/>
      </left>
      <right style="hair">
        <color indexed="8"/>
      </right>
      <top style="medium">
        <color auto="1"/>
      </top>
      <bottom style="thin">
        <color auto="1"/>
      </bottom>
      <diagonal/>
    </border>
    <border>
      <left style="medium">
        <color indexed="64"/>
      </left>
      <right/>
      <top style="thin">
        <color indexed="8"/>
      </top>
      <bottom style="medium">
        <color auto="1"/>
      </bottom>
      <diagonal/>
    </border>
    <border>
      <left/>
      <right/>
      <top style="thin">
        <color indexed="8"/>
      </top>
      <bottom style="medium">
        <color auto="1"/>
      </bottom>
      <diagonal/>
    </border>
    <border>
      <left style="thin">
        <color indexed="8"/>
      </left>
      <right/>
      <top style="thin">
        <color indexed="8"/>
      </top>
      <bottom style="medium">
        <color auto="1"/>
      </bottom>
      <diagonal/>
    </border>
    <border>
      <left style="thin">
        <color indexed="8"/>
      </left>
      <right/>
      <top style="thin">
        <color indexed="8"/>
      </top>
      <bottom/>
      <diagonal/>
    </border>
    <border>
      <left style="medium">
        <color indexed="64"/>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medium">
        <color indexed="8"/>
      </top>
      <bottom style="thin">
        <color auto="1"/>
      </bottom>
      <diagonal/>
    </border>
    <border>
      <left style="thin">
        <color auto="1"/>
      </left>
      <right/>
      <top style="medium">
        <color indexed="8"/>
      </top>
      <bottom/>
      <diagonal/>
    </border>
    <border>
      <left style="hair">
        <color indexed="8"/>
      </left>
      <right style="thin">
        <color indexed="8"/>
      </right>
      <top style="thin">
        <color indexed="8"/>
      </top>
      <bottom style="thin">
        <color indexed="8"/>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8"/>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medium">
        <color auto="1"/>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thin">
        <color auto="1"/>
      </left>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8"/>
      </bottom>
      <diagonal/>
    </border>
    <border>
      <left/>
      <right/>
      <top/>
      <bottom style="thin">
        <color indexed="8"/>
      </bottom>
      <diagonal/>
    </border>
    <border>
      <left style="medium">
        <color auto="1"/>
      </left>
      <right/>
      <top/>
      <bottom style="thin">
        <color indexed="8"/>
      </bottom>
      <diagonal/>
    </border>
    <border>
      <left/>
      <right style="medium">
        <color indexed="64"/>
      </right>
      <top/>
      <bottom style="thin">
        <color indexed="8"/>
      </bottom>
      <diagonal/>
    </border>
    <border>
      <left style="medium">
        <color auto="1"/>
      </left>
      <right/>
      <top/>
      <bottom style="thin">
        <color auto="1"/>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right style="medium">
        <color auto="1"/>
      </right>
      <top style="thin">
        <color indexed="64"/>
      </top>
      <bottom/>
      <diagonal/>
    </border>
    <border>
      <left style="medium">
        <color indexed="64"/>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indexed="8"/>
      </left>
      <right style="medium">
        <color auto="1"/>
      </right>
      <top/>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thin">
        <color indexed="8"/>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indexed="64"/>
      </top>
      <bottom style="medium">
        <color auto="1"/>
      </bottom>
      <diagonal/>
    </border>
    <border>
      <left/>
      <right/>
      <top style="thin">
        <color auto="1"/>
      </top>
      <bottom style="medium">
        <color indexed="64"/>
      </bottom>
      <diagonal/>
    </border>
    <border>
      <left style="medium">
        <color auto="1"/>
      </left>
      <right/>
      <top style="medium">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17"/>
      </bottom>
      <diagonal/>
    </border>
    <border>
      <left/>
      <right style="thin">
        <color indexed="17"/>
      </right>
      <top style="thin">
        <color indexed="8"/>
      </top>
      <bottom style="thin">
        <color indexed="8"/>
      </bottom>
      <diagonal/>
    </border>
    <border>
      <left style="thin">
        <color indexed="17"/>
      </left>
      <right/>
      <top style="thin">
        <color indexed="17"/>
      </top>
      <bottom style="thin">
        <color indexed="17"/>
      </bottom>
      <diagonal/>
    </border>
    <border>
      <left/>
      <right style="thin">
        <color theme="1"/>
      </right>
      <top style="medium">
        <color indexed="64"/>
      </top>
      <bottom style="thin">
        <color auto="1"/>
      </bottom>
      <diagonal/>
    </border>
    <border>
      <left style="thin">
        <color theme="1"/>
      </left>
      <right/>
      <top style="medium">
        <color indexed="64"/>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theme="1"/>
      </left>
      <right/>
      <top style="medium">
        <color indexed="64"/>
      </top>
      <bottom style="thin">
        <color theme="1"/>
      </bottom>
      <diagonal/>
    </border>
    <border>
      <left/>
      <right style="thin">
        <color indexed="64"/>
      </right>
      <top style="thin">
        <color indexed="64"/>
      </top>
      <bottom style="thin">
        <color indexed="64"/>
      </bottom>
      <diagonal/>
    </border>
    <border>
      <left/>
      <right style="thin">
        <color indexed="8"/>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medium">
        <color auto="1"/>
      </top>
      <bottom style="thin">
        <color auto="1"/>
      </bottom>
      <diagonal/>
    </border>
    <border>
      <left/>
      <right/>
      <top style="thin">
        <color indexed="8"/>
      </top>
      <bottom/>
      <diagonal/>
    </border>
    <border>
      <left/>
      <right/>
      <top style="thin">
        <color indexed="8"/>
      </top>
      <bottom style="thin">
        <color auto="1"/>
      </bottom>
      <diagonal/>
    </border>
    <border>
      <left/>
      <right style="thin">
        <color indexed="8"/>
      </right>
      <top style="thin">
        <color indexed="8"/>
      </top>
      <bottom style="thin">
        <color auto="1"/>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medium">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style="medium">
        <color indexed="64"/>
      </bottom>
      <diagonal/>
    </border>
    <border>
      <left style="thin">
        <color indexed="8"/>
      </left>
      <right style="thin">
        <color indexed="8"/>
      </right>
      <top style="medium">
        <color indexed="64"/>
      </top>
      <bottom style="thin">
        <color indexed="16"/>
      </bottom>
      <diagonal/>
    </border>
    <border>
      <left/>
      <right style="thin">
        <color indexed="16"/>
      </right>
      <top style="thin">
        <color indexed="16"/>
      </top>
      <bottom/>
      <diagonal/>
    </border>
    <border>
      <left style="thin">
        <color indexed="16"/>
      </left>
      <right/>
      <top/>
      <bottom/>
      <diagonal/>
    </border>
    <border>
      <left/>
      <right style="thin">
        <color indexed="8"/>
      </right>
      <top/>
      <bottom style="medium">
        <color auto="1"/>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indexed="64"/>
      </left>
      <right/>
      <top style="thin">
        <color indexed="8"/>
      </top>
      <bottom/>
      <diagonal/>
    </border>
    <border>
      <left/>
      <right/>
      <top style="thin">
        <color indexed="8"/>
      </top>
      <bottom/>
      <diagonal/>
    </border>
    <border>
      <left style="thin">
        <color indexed="8"/>
      </left>
      <right/>
      <top style="thin">
        <color indexed="8"/>
      </top>
      <bottom/>
      <diagonal/>
    </border>
    <border>
      <left style="thin">
        <color auto="1"/>
      </left>
      <right style="medium">
        <color indexed="64"/>
      </right>
      <top style="thin">
        <color auto="1"/>
      </top>
      <bottom style="thin">
        <color auto="1"/>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style="thin">
        <color auto="1"/>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medium">
        <color auto="1"/>
      </right>
      <top style="medium">
        <color indexed="8"/>
      </top>
      <bottom style="medium">
        <color indexed="64"/>
      </bottom>
      <diagonal/>
    </border>
    <border>
      <left style="medium">
        <color indexed="64"/>
      </left>
      <right/>
      <top style="medium">
        <color indexed="64"/>
      </top>
      <bottom style="thin">
        <color indexed="8"/>
      </bottom>
      <diagonal/>
    </border>
    <border>
      <left style="thin">
        <color indexed="8"/>
      </left>
      <right/>
      <top style="medium">
        <color auto="1"/>
      </top>
      <bottom style="thin">
        <color indexed="8"/>
      </bottom>
      <diagonal/>
    </border>
    <border>
      <left style="medium">
        <color indexed="64"/>
      </left>
      <right style="medium">
        <color indexed="64"/>
      </right>
      <top style="medium">
        <color indexed="64"/>
      </top>
      <bottom style="thin">
        <color auto="1"/>
      </bottom>
      <diagonal/>
    </border>
    <border>
      <left style="thin">
        <color indexed="8"/>
      </left>
      <right style="medium">
        <color auto="1"/>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auto="1"/>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hair">
        <color indexed="8"/>
      </right>
      <top style="medium">
        <color indexed="64"/>
      </top>
      <bottom/>
      <diagonal/>
    </border>
    <border>
      <left style="hair">
        <color indexed="8"/>
      </left>
      <right/>
      <top style="medium">
        <color auto="1"/>
      </top>
      <bottom/>
      <diagonal/>
    </border>
    <border>
      <left style="hair">
        <color indexed="8"/>
      </left>
      <right style="hair">
        <color indexed="8"/>
      </right>
      <top style="medium">
        <color indexed="64"/>
      </top>
      <bottom/>
      <diagonal/>
    </border>
    <border>
      <left style="medium">
        <color indexed="64"/>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indexed="8"/>
      </left>
      <right style="hair">
        <color indexed="8"/>
      </right>
      <top style="medium">
        <color auto="1"/>
      </top>
      <bottom style="medium">
        <color auto="1"/>
      </bottom>
      <diagonal/>
    </border>
    <border>
      <left style="thin">
        <color indexed="8"/>
      </left>
      <right style="medium">
        <color auto="1"/>
      </right>
      <top style="medium">
        <color indexed="8"/>
      </top>
      <bottom style="medium">
        <color indexed="64"/>
      </bottom>
      <diagonal/>
    </border>
    <border>
      <left style="medium">
        <color auto="1"/>
      </left>
      <right style="thin">
        <color theme="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medium">
        <color indexed="64"/>
      </left>
      <right/>
      <top style="medium">
        <color indexed="64"/>
      </top>
      <bottom style="thin">
        <color indexed="8"/>
      </bottom>
      <diagonal/>
    </border>
    <border>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medium">
        <color indexed="64"/>
      </left>
      <right/>
      <top style="medium">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thin">
        <color indexed="8"/>
      </right>
      <top style="medium">
        <color indexed="64"/>
      </top>
      <bottom style="thin">
        <color indexed="8"/>
      </bottom>
      <diagonal/>
    </border>
    <border>
      <left style="medium">
        <color indexed="64"/>
      </left>
      <right style="medium">
        <color indexed="64"/>
      </right>
      <top style="medium">
        <color indexed="64"/>
      </top>
      <bottom style="thin">
        <color auto="1"/>
      </bottom>
      <diagonal/>
    </border>
    <border>
      <left style="thin">
        <color indexed="8"/>
      </left>
      <right style="thin">
        <color indexed="8"/>
      </right>
      <top style="medium">
        <color indexed="8"/>
      </top>
      <bottom style="medium">
        <color indexed="64"/>
      </bottom>
      <diagonal/>
    </border>
    <border>
      <left style="thin">
        <color indexed="8"/>
      </left>
      <right/>
      <top style="medium">
        <color auto="1"/>
      </top>
      <bottom style="thin">
        <color indexed="8"/>
      </bottom>
      <diagonal/>
    </border>
    <border>
      <left style="medium">
        <color indexed="8"/>
      </left>
      <right style="thin">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medium">
        <color indexed="8"/>
      </right>
      <top style="thin">
        <color indexed="8"/>
      </top>
      <bottom style="hair">
        <color indexed="8"/>
      </bottom>
      <diagonal/>
    </border>
    <border>
      <left style="medium">
        <color indexed="8"/>
      </left>
      <right/>
      <top style="thin">
        <color indexed="8"/>
      </top>
      <bottom style="medium">
        <color indexed="8"/>
      </bottom>
      <diagonal/>
    </border>
    <border>
      <left style="hair">
        <color indexed="8"/>
      </left>
      <right/>
      <top style="thin">
        <color indexed="8"/>
      </top>
      <bottom style="medium">
        <color indexed="8"/>
      </bottom>
      <diagonal/>
    </border>
    <border>
      <left style="medium">
        <color indexed="8"/>
      </left>
      <right/>
      <top style="thin">
        <color indexed="8"/>
      </top>
      <bottom/>
      <diagonal/>
    </border>
    <border>
      <left style="hair">
        <color indexed="8"/>
      </left>
      <right/>
      <top style="thin">
        <color indexed="8"/>
      </top>
      <bottom/>
      <diagonal/>
    </border>
    <border>
      <left style="medium">
        <color indexed="8"/>
      </left>
      <right/>
      <top style="medium">
        <color indexed="8"/>
      </top>
      <bottom style="medium">
        <color indexed="8"/>
      </bottom>
      <diagonal/>
    </border>
    <border>
      <left style="medium">
        <color indexed="8"/>
      </left>
      <right style="hair">
        <color theme="0" tint="-4.9989318521683403E-2"/>
      </right>
      <top style="thin">
        <color indexed="8"/>
      </top>
      <bottom style="medium">
        <color theme="0" tint="-4.9989318521683403E-2"/>
      </bottom>
      <diagonal/>
    </border>
    <border>
      <left style="hair">
        <color theme="0" tint="-4.9989318521683403E-2"/>
      </left>
      <right style="hair">
        <color theme="0" tint="-4.9989318521683403E-2"/>
      </right>
      <top style="thin">
        <color indexed="8"/>
      </top>
      <bottom style="medium">
        <color theme="0" tint="-4.9989318521683403E-2"/>
      </bottom>
      <diagonal/>
    </border>
    <border>
      <left style="hair">
        <color theme="0" tint="-4.9989318521683403E-2"/>
      </left>
      <right/>
      <top style="medium">
        <color indexed="8"/>
      </top>
      <bottom style="medium">
        <color theme="0" tint="-4.9989318521683403E-2"/>
      </bottom>
      <diagonal/>
    </border>
    <border>
      <left style="thin">
        <color auto="1"/>
      </left>
      <right style="medium">
        <color auto="1"/>
      </right>
      <top style="thin">
        <color auto="1"/>
      </top>
      <bottom style="medium">
        <color auto="1"/>
      </bottom>
      <diagonal/>
    </border>
    <border>
      <left/>
      <right/>
      <top style="medium">
        <color indexed="8"/>
      </top>
      <bottom/>
      <diagonal/>
    </border>
    <border>
      <left style="thin">
        <color indexed="8"/>
      </left>
      <right/>
      <top style="medium">
        <color indexed="8"/>
      </top>
      <bottom style="thin">
        <color theme="0" tint="-4.9989318521683403E-2"/>
      </bottom>
      <diagonal/>
    </border>
    <border>
      <left/>
      <right/>
      <top style="medium">
        <color indexed="8"/>
      </top>
      <bottom style="thin">
        <color theme="0" tint="-4.9989318521683403E-2"/>
      </bottom>
      <diagonal/>
    </border>
    <border>
      <left/>
      <right style="thin">
        <color indexed="8"/>
      </right>
      <top style="medium">
        <color indexed="8"/>
      </top>
      <bottom style="thin">
        <color theme="0" tint="-4.9989318521683403E-2"/>
      </bottom>
      <diagonal/>
    </border>
    <border>
      <left style="medium">
        <color indexed="8"/>
      </left>
      <right style="medium">
        <color indexed="8"/>
      </right>
      <top style="medium">
        <color indexed="8"/>
      </top>
      <bottom style="thin">
        <color theme="0" tint="-4.9989318521683403E-2"/>
      </bottom>
      <diagonal/>
    </border>
    <border>
      <left/>
      <right style="medium">
        <color indexed="8"/>
      </right>
      <top style="medium">
        <color indexed="8"/>
      </top>
      <bottom style="thin">
        <color theme="0" tint="-4.9989318521683403E-2"/>
      </bottom>
      <diagonal/>
    </border>
    <border>
      <left style="thin">
        <color indexed="8"/>
      </left>
      <right style="medium">
        <color indexed="8"/>
      </right>
      <top/>
      <bottom/>
      <diagonal/>
    </border>
    <border>
      <left/>
      <right style="medium">
        <color indexed="8"/>
      </right>
      <top style="thin">
        <color indexed="8"/>
      </top>
      <bottom style="medium">
        <color rgb="FFFF0000"/>
      </bottom>
      <diagonal/>
    </border>
    <border>
      <left style="medium">
        <color indexed="8"/>
      </left>
      <right style="medium">
        <color indexed="8"/>
      </right>
      <top style="thin">
        <color indexed="8"/>
      </top>
      <bottom style="medium">
        <color rgb="FFFF0000"/>
      </bottom>
      <diagonal/>
    </border>
    <border>
      <left style="medium">
        <color indexed="8"/>
      </left>
      <right style="medium">
        <color auto="1"/>
      </right>
      <top style="thin">
        <color indexed="8"/>
      </top>
      <bottom style="medium">
        <color rgb="FFFF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hair">
        <color indexed="8"/>
      </right>
      <top style="thin">
        <color indexed="8"/>
      </top>
      <bottom style="hair">
        <color indexed="8"/>
      </bottom>
      <diagonal/>
    </border>
    <border>
      <left style="thin">
        <color indexed="10"/>
      </left>
      <right style="thin">
        <color indexed="10"/>
      </right>
      <top style="thin">
        <color indexed="10"/>
      </top>
      <bottom style="thin">
        <color indexed="10"/>
      </bottom>
      <diagonal/>
    </border>
    <border>
      <left/>
      <right/>
      <top style="medium">
        <color indexed="64"/>
      </top>
      <bottom style="medium">
        <color auto="1"/>
      </bottom>
      <diagonal/>
    </border>
    <border>
      <left style="thin">
        <color indexed="64"/>
      </left>
      <right/>
      <top style="thin">
        <color indexed="64"/>
      </top>
      <bottom style="medium">
        <color indexed="64"/>
      </bottom>
      <diagonal/>
    </border>
    <border>
      <left style="thin">
        <color auto="1"/>
      </left>
      <right/>
      <top style="medium">
        <color indexed="64"/>
      </top>
      <bottom style="thin">
        <color auto="1"/>
      </bottom>
      <diagonal/>
    </border>
    <border>
      <left/>
      <right style="thin">
        <color auto="1"/>
      </right>
      <top style="thin">
        <color auto="1"/>
      </top>
      <bottom/>
      <diagonal/>
    </border>
    <border>
      <left style="medium">
        <color indexed="64"/>
      </left>
      <right style="thin">
        <color auto="1"/>
      </right>
      <top style="medium">
        <color auto="1"/>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theme="1"/>
      </left>
      <right style="medium">
        <color theme="1"/>
      </right>
      <top style="medium">
        <color theme="1"/>
      </top>
      <bottom style="medium">
        <color theme="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indexed="64"/>
      </right>
      <top style="thin">
        <color auto="1"/>
      </top>
      <bottom/>
      <diagonal/>
    </border>
    <border>
      <left/>
      <right/>
      <top/>
      <bottom style="medium">
        <color theme="1"/>
      </bottom>
      <diagonal/>
    </border>
    <border>
      <left style="thin">
        <color auto="1"/>
      </left>
      <right/>
      <top style="thin">
        <color auto="1"/>
      </top>
      <bottom style="thin">
        <color auto="1"/>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auto="1"/>
      </right>
      <top style="thin">
        <color auto="1"/>
      </top>
      <bottom style="thin">
        <color auto="1"/>
      </bottom>
      <diagonal/>
    </border>
    <border>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auto="1"/>
      </right>
      <top/>
      <bottom/>
      <diagonal/>
    </border>
    <border>
      <left style="thin">
        <color auto="1"/>
      </left>
      <right style="medium">
        <color theme="1"/>
      </right>
      <top/>
      <bottom/>
      <diagonal/>
    </border>
    <border>
      <left style="medium">
        <color theme="1"/>
      </left>
      <right style="thin">
        <color auto="1"/>
      </right>
      <top style="thin">
        <color auto="1"/>
      </top>
      <bottom style="medium">
        <color indexed="64"/>
      </bottom>
      <diagonal/>
    </border>
    <border>
      <left style="thin">
        <color auto="1"/>
      </left>
      <right style="medium">
        <color theme="1"/>
      </right>
      <top style="thin">
        <color auto="1"/>
      </top>
      <bottom style="medium">
        <color auto="1"/>
      </bottom>
      <diagonal/>
    </border>
    <border>
      <left style="medium">
        <color theme="1"/>
      </left>
      <right style="thin">
        <color indexed="64"/>
      </right>
      <top style="medium">
        <color auto="1"/>
      </top>
      <bottom/>
      <diagonal/>
    </border>
    <border>
      <left/>
      <right style="medium">
        <color theme="1"/>
      </right>
      <top style="medium">
        <color auto="1"/>
      </top>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right style="medium">
        <color theme="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indexed="64"/>
      </right>
      <top style="medium">
        <color auto="1"/>
      </top>
      <bottom style="thin">
        <color auto="1"/>
      </bottom>
      <diagonal/>
    </border>
    <border>
      <left/>
      <right style="thin">
        <color auto="1"/>
      </right>
      <top style="thin">
        <color indexed="64"/>
      </top>
      <bottom style="medium">
        <color indexed="64"/>
      </bottom>
      <diagonal/>
    </border>
    <border>
      <left style="medium">
        <color theme="1"/>
      </left>
      <right style="thin">
        <color auto="1"/>
      </right>
      <top style="thin">
        <color auto="1"/>
      </top>
      <bottom/>
      <diagonal/>
    </border>
    <border>
      <left style="thin">
        <color auto="1"/>
      </left>
      <right style="medium">
        <color theme="1"/>
      </right>
      <top style="thin">
        <color auto="1"/>
      </top>
      <bottom/>
      <diagonal/>
    </border>
    <border>
      <left style="medium">
        <color indexed="64"/>
      </left>
      <right style="thin">
        <color indexed="64"/>
      </right>
      <top/>
      <bottom/>
      <diagonal/>
    </border>
    <border>
      <left style="medium">
        <color indexed="64"/>
      </left>
      <right style="thin">
        <color indexed="64"/>
      </right>
      <top style="medium">
        <color auto="1"/>
      </top>
      <bottom style="thin">
        <color auto="1"/>
      </bottom>
      <diagonal/>
    </border>
    <border>
      <left style="medium">
        <color indexed="64"/>
      </left>
      <right style="thin">
        <color indexed="64"/>
      </right>
      <top style="thin">
        <color auto="1"/>
      </top>
      <bottom style="medium">
        <color theme="0"/>
      </bottom>
      <diagonal/>
    </border>
    <border>
      <left style="thin">
        <color indexed="64"/>
      </left>
      <right style="thin">
        <color auto="1"/>
      </right>
      <top style="thin">
        <color auto="1"/>
      </top>
      <bottom style="medium">
        <color theme="0"/>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medium">
        <color indexed="8"/>
      </top>
      <bottom style="thin">
        <color indexed="8"/>
      </bottom>
      <diagonal/>
    </border>
    <border>
      <left style="hair">
        <color indexed="8"/>
      </left>
      <right style="hair">
        <color indexed="8"/>
      </right>
      <top style="thin">
        <color indexed="8"/>
      </top>
      <bottom style="medium">
        <color indexed="8"/>
      </bottom>
      <diagonal/>
    </border>
    <border>
      <left style="thin">
        <color auto="1"/>
      </left>
      <right style="thin">
        <color auto="1"/>
      </right>
      <top style="medium">
        <color indexed="64"/>
      </top>
      <bottom style="thin">
        <color auto="1"/>
      </bottom>
      <diagonal/>
    </border>
    <border>
      <left style="medium">
        <color auto="1"/>
      </left>
      <right/>
      <top style="thin">
        <color auto="1"/>
      </top>
      <bottom style="medium">
        <color theme="0"/>
      </bottom>
      <diagonal/>
    </border>
    <border>
      <left style="thin">
        <color auto="1"/>
      </left>
      <right/>
      <top style="thin">
        <color auto="1"/>
      </top>
      <bottom style="medium">
        <color theme="0"/>
      </bottom>
      <diagonal/>
    </border>
    <border>
      <left style="thin">
        <color auto="1"/>
      </left>
      <right style="medium">
        <color auto="1"/>
      </right>
      <top style="thin">
        <color auto="1"/>
      </top>
      <bottom style="medium">
        <color theme="0"/>
      </bottom>
      <diagonal/>
    </border>
    <border>
      <left style="medium">
        <color auto="1"/>
      </left>
      <right style="thin">
        <color auto="1"/>
      </right>
      <top/>
      <bottom style="thin">
        <color auto="1"/>
      </bottom>
      <diagonal/>
    </border>
    <border>
      <left style="medium">
        <color auto="1"/>
      </left>
      <right style="thin">
        <color auto="1"/>
      </right>
      <top style="thin">
        <color indexed="64"/>
      </top>
      <bottom style="medium">
        <color indexed="64"/>
      </bottom>
      <diagonal/>
    </border>
  </borders>
  <cellStyleXfs count="201">
    <xf numFmtId="0" fontId="0" fillId="0" borderId="0"/>
    <xf numFmtId="4" fontId="59" fillId="0" borderId="0" applyFill="0" applyBorder="0" applyAlignment="0" applyProtection="0"/>
    <xf numFmtId="38" fontId="59" fillId="0" borderId="0" applyFill="0" applyBorder="0" applyAlignment="0" applyProtection="0"/>
    <xf numFmtId="40" fontId="59" fillId="0" borderId="0" applyFill="0" applyBorder="0" applyAlignment="0" applyProtection="0"/>
    <xf numFmtId="166" fontId="59"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Protection="0">
      <alignment horizontal="center"/>
    </xf>
    <xf numFmtId="167" fontId="59" fillId="0" borderId="0" applyFill="0" applyBorder="0" applyAlignment="0" applyProtection="0"/>
    <xf numFmtId="3" fontId="8" fillId="0" borderId="0" applyFill="0" applyBorder="0" applyAlignment="0"/>
    <xf numFmtId="3" fontId="8" fillId="0" borderId="0" applyFill="0" applyBorder="0" applyAlignment="0" applyProtection="0"/>
    <xf numFmtId="168" fontId="59"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3" fontId="59" fillId="0" borderId="0" applyFill="0" applyBorder="0" applyAlignment="0" applyProtection="0"/>
    <xf numFmtId="169" fontId="59" fillId="0" borderId="0" applyFill="0" applyBorder="0" applyAlignment="0" applyProtection="0"/>
    <xf numFmtId="4" fontId="59" fillId="0" borderId="0" applyFill="0" applyBorder="0" applyAlignment="0" applyProtection="0"/>
    <xf numFmtId="170" fontId="59" fillId="0" borderId="0" applyFill="0" applyBorder="0" applyAlignment="0" applyProtection="0"/>
    <xf numFmtId="171" fontId="59" fillId="0" borderId="0" applyFill="0" applyBorder="0" applyAlignment="0" applyProtection="0"/>
    <xf numFmtId="0" fontId="11" fillId="0" borderId="0"/>
    <xf numFmtId="0" fontId="59" fillId="0" borderId="0"/>
    <xf numFmtId="0" fontId="11" fillId="0" borderId="0"/>
    <xf numFmtId="9" fontId="59" fillId="0" borderId="0" applyFill="0" applyBorder="0" applyAlignment="0" applyProtection="0"/>
    <xf numFmtId="172" fontId="59" fillId="0" borderId="0" applyFill="0" applyBorder="0" applyAlignment="0" applyProtection="0"/>
    <xf numFmtId="10" fontId="59" fillId="0" borderId="0" applyFill="0" applyBorder="0" applyAlignment="0" applyProtection="0"/>
    <xf numFmtId="9" fontId="59" fillId="0" borderId="0" applyFill="0" applyBorder="0" applyAlignment="0" applyProtection="0"/>
    <xf numFmtId="173" fontId="59" fillId="0" borderId="0" applyFill="0" applyBorder="0" applyProtection="0">
      <alignment horizontal="center"/>
    </xf>
    <xf numFmtId="0" fontId="59" fillId="2"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4" fillId="0" borderId="0"/>
    <xf numFmtId="0" fontId="75" fillId="0" borderId="0"/>
    <xf numFmtId="178" fontId="75" fillId="0" borderId="0" applyFont="0" applyFill="0" applyBorder="0" applyAlignment="0" applyProtection="0"/>
    <xf numFmtId="9" fontId="74" fillId="0" borderId="0" applyFont="0" applyFill="0" applyBorder="0" applyAlignment="0" applyProtection="0"/>
    <xf numFmtId="3" fontId="75" fillId="0" borderId="0" applyFont="0" applyFill="0" applyBorder="0" applyAlignment="0" applyProtection="0"/>
    <xf numFmtId="179" fontId="83" fillId="0" borderId="0" applyFont="0" applyFill="0" applyBorder="0" applyAlignment="0" applyProtection="0"/>
    <xf numFmtId="180" fontId="83"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0" fillId="0" borderId="0"/>
    <xf numFmtId="0" fontId="4"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3" fontId="3" fillId="0" borderId="0" applyFill="0" applyBorder="0" applyAlignment="0" applyProtection="0"/>
    <xf numFmtId="9" fontId="3" fillId="0" borderId="0" applyFill="0" applyBorder="0" applyAlignment="0" applyProtection="0"/>
    <xf numFmtId="4" fontId="3" fillId="0" borderId="0" applyFill="0" applyBorder="0" applyAlignment="0" applyProtection="0"/>
    <xf numFmtId="9" fontId="3" fillId="0" borderId="0" applyFill="0" applyBorder="0" applyAlignment="0" applyProtection="0"/>
    <xf numFmtId="4" fontId="3" fillId="0" borderId="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5"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8" fontId="97"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64" fontId="3"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cellStyleXfs>
  <cellXfs count="3273">
    <xf numFmtId="0" fontId="0" fillId="0" borderId="0" xfId="0"/>
    <xf numFmtId="0" fontId="13" fillId="0" borderId="0" xfId="0" applyFont="1"/>
    <xf numFmtId="0" fontId="0" fillId="0" borderId="0" xfId="0" applyAlignment="1">
      <alignment horizontal="center"/>
    </xf>
    <xf numFmtId="0" fontId="14" fillId="0" borderId="0" xfId="0" applyFont="1"/>
    <xf numFmtId="0" fontId="22" fillId="0" borderId="0" xfId="0" applyFont="1" applyAlignment="1">
      <alignment horizontal="center"/>
    </xf>
    <xf numFmtId="3" fontId="0" fillId="0" borderId="0" xfId="15" applyFont="1" applyFill="1" applyBorder="1" applyAlignment="1" applyProtection="1"/>
    <xf numFmtId="0" fontId="19" fillId="0" borderId="0" xfId="0" applyFont="1"/>
    <xf numFmtId="0" fontId="10" fillId="0" borderId="0" xfId="14" applyNumberFormat="1" applyFill="1" applyBorder="1" applyAlignment="1" applyProtection="1">
      <alignment horizontal="left"/>
    </xf>
    <xf numFmtId="0" fontId="25" fillId="0" borderId="0" xfId="0" applyFont="1"/>
    <xf numFmtId="0" fontId="30" fillId="0" borderId="0" xfId="0" applyFont="1"/>
    <xf numFmtId="0" fontId="20" fillId="0" borderId="0" xfId="0" applyFont="1"/>
    <xf numFmtId="4" fontId="0" fillId="0" borderId="0" xfId="17" applyFont="1" applyFill="1" applyBorder="1" applyAlignment="1" applyProtection="1"/>
    <xf numFmtId="0" fontId="0" fillId="0" borderId="0" xfId="21" applyFont="1"/>
    <xf numFmtId="3" fontId="0" fillId="0" borderId="0" xfId="21" applyNumberFormat="1" applyFont="1"/>
    <xf numFmtId="3" fontId="14" fillId="0" borderId="0" xfId="15" applyFont="1" applyFill="1" applyBorder="1" applyAlignment="1" applyProtection="1"/>
    <xf numFmtId="3" fontId="0" fillId="0" borderId="0" xfId="15" applyFont="1" applyFill="1" applyBorder="1" applyAlignment="1" applyProtection="1">
      <alignment horizontal="right"/>
    </xf>
    <xf numFmtId="9" fontId="21" fillId="0" borderId="0" xfId="26" applyFont="1" applyFill="1" applyBorder="1" applyAlignment="1" applyProtection="1">
      <alignment horizontal="right"/>
    </xf>
    <xf numFmtId="3" fontId="50" fillId="0" borderId="0" xfId="15" applyFont="1" applyFill="1" applyBorder="1" applyAlignment="1" applyProtection="1"/>
    <xf numFmtId="0" fontId="33" fillId="0" borderId="0" xfId="14" applyNumberFormat="1" applyFont="1" applyFill="1" applyBorder="1" applyAlignment="1" applyProtection="1">
      <alignment horizontal="left" vertical="center"/>
    </xf>
    <xf numFmtId="3" fontId="35" fillId="0" borderId="0" xfId="15" applyFont="1" applyFill="1" applyBorder="1" applyAlignment="1" applyProtection="1"/>
    <xf numFmtId="0" fontId="33" fillId="0" borderId="0" xfId="14" applyNumberFormat="1" applyFont="1" applyFill="1" applyBorder="1" applyAlignment="1" applyProtection="1">
      <alignment horizontal="left"/>
    </xf>
    <xf numFmtId="3" fontId="14" fillId="0" borderId="0" xfId="15" applyFont="1" applyFill="1" applyBorder="1" applyAlignment="1" applyProtection="1">
      <alignment horizontal="center"/>
    </xf>
    <xf numFmtId="3" fontId="0" fillId="0" borderId="0" xfId="15" applyFont="1" applyFill="1" applyBorder="1" applyAlignment="1" applyProtection="1">
      <alignment horizontal="center" vertical="top" wrapText="1"/>
    </xf>
    <xf numFmtId="3" fontId="13" fillId="0" borderId="0" xfId="15" applyFont="1" applyFill="1" applyBorder="1" applyAlignment="1" applyProtection="1"/>
    <xf numFmtId="0" fontId="27" fillId="0" borderId="0" xfId="0" applyFont="1"/>
    <xf numFmtId="3" fontId="19" fillId="0" borderId="0" xfId="15" applyFont="1" applyFill="1" applyBorder="1" applyAlignment="1" applyProtection="1"/>
    <xf numFmtId="0" fontId="28" fillId="0" borderId="0" xfId="14" applyNumberFormat="1" applyFont="1" applyFill="1" applyBorder="1" applyAlignment="1" applyProtection="1">
      <alignment horizontal="left"/>
    </xf>
    <xf numFmtId="0" fontId="30" fillId="0" borderId="0" xfId="0" applyFont="1" applyAlignment="1">
      <alignment horizontal="center"/>
    </xf>
    <xf numFmtId="3" fontId="30" fillId="0" borderId="0" xfId="0" applyNumberFormat="1" applyFont="1"/>
    <xf numFmtId="0" fontId="32" fillId="0" borderId="0" xfId="0" applyFont="1"/>
    <xf numFmtId="0" fontId="56" fillId="0" borderId="0" xfId="14" applyNumberFormat="1" applyFont="1" applyFill="1" applyBorder="1" applyAlignment="1" applyProtection="1">
      <alignment horizontal="left"/>
    </xf>
    <xf numFmtId="0" fontId="22" fillId="0" borderId="0" xfId="0" applyFont="1"/>
    <xf numFmtId="0" fontId="35" fillId="0" borderId="0" xfId="0" applyFont="1"/>
    <xf numFmtId="175" fontId="0" fillId="0" borderId="0" xfId="0" applyNumberFormat="1"/>
    <xf numFmtId="0" fontId="0" fillId="0" borderId="0" xfId="0" applyAlignment="1">
      <alignment horizontal="center" vertical="top" wrapText="1"/>
    </xf>
    <xf numFmtId="175" fontId="19" fillId="0" borderId="0" xfId="0" applyNumberFormat="1" applyFont="1"/>
    <xf numFmtId="3" fontId="0" fillId="0" borderId="10" xfId="15" applyFont="1" applyFill="1" applyBorder="1" applyAlignment="1" applyProtection="1">
      <alignment horizontal="center"/>
    </xf>
    <xf numFmtId="0" fontId="58" fillId="0" borderId="0" xfId="0" applyFont="1"/>
    <xf numFmtId="3" fontId="0" fillId="0" borderId="1" xfId="15" applyFont="1" applyFill="1" applyBorder="1" applyAlignment="1" applyProtection="1">
      <alignment horizontal="center"/>
    </xf>
    <xf numFmtId="0" fontId="3" fillId="0" borderId="0" xfId="0" applyFont="1"/>
    <xf numFmtId="3" fontId="0" fillId="6" borderId="0" xfId="15" applyFont="1" applyFill="1" applyBorder="1" applyAlignment="1" applyProtection="1"/>
    <xf numFmtId="4" fontId="0" fillId="6" borderId="0" xfId="15" applyNumberFormat="1" applyFont="1" applyFill="1" applyBorder="1" applyAlignment="1" applyProtection="1"/>
    <xf numFmtId="3" fontId="0" fillId="0" borderId="0" xfId="15" quotePrefix="1" applyFont="1" applyFill="1" applyBorder="1" applyAlignment="1" applyProtection="1"/>
    <xf numFmtId="0" fontId="0" fillId="7" borderId="0" xfId="0" applyFill="1"/>
    <xf numFmtId="3" fontId="0" fillId="10" borderId="0" xfId="15" applyFont="1" applyFill="1" applyBorder="1" applyAlignment="1" applyProtection="1">
      <alignment horizontal="right"/>
    </xf>
    <xf numFmtId="3" fontId="48" fillId="10" borderId="0" xfId="15" applyFont="1" applyFill="1" applyBorder="1" applyAlignment="1" applyProtection="1"/>
    <xf numFmtId="3" fontId="0" fillId="10" borderId="0" xfId="15" applyFont="1" applyFill="1" applyBorder="1" applyAlignment="1" applyProtection="1"/>
    <xf numFmtId="3" fontId="27" fillId="10" borderId="0" xfId="15" applyFont="1" applyFill="1" applyBorder="1" applyAlignment="1" applyProtection="1"/>
    <xf numFmtId="3" fontId="16" fillId="10" borderId="0" xfId="15" applyFont="1" applyFill="1" applyBorder="1" applyAlignment="1" applyProtection="1">
      <alignment horizontal="right"/>
    </xf>
    <xf numFmtId="3" fontId="0" fillId="14" borderId="0" xfId="15" applyFont="1" applyFill="1" applyBorder="1" applyAlignment="1" applyProtection="1"/>
    <xf numFmtId="3" fontId="16" fillId="14" borderId="0" xfId="15" applyFont="1" applyFill="1" applyBorder="1" applyAlignment="1" applyProtection="1">
      <alignment horizontal="right"/>
    </xf>
    <xf numFmtId="3" fontId="20" fillId="14" borderId="0" xfId="15" applyFont="1" applyFill="1" applyBorder="1" applyAlignment="1" applyProtection="1"/>
    <xf numFmtId="3" fontId="27" fillId="14" borderId="0" xfId="15" applyFont="1" applyFill="1" applyBorder="1" applyAlignment="1" applyProtection="1"/>
    <xf numFmtId="3" fontId="16" fillId="10" borderId="0" xfId="15" applyFont="1" applyFill="1" applyBorder="1" applyAlignment="1" applyProtection="1"/>
    <xf numFmtId="3" fontId="20" fillId="10" borderId="0" xfId="15" applyFont="1" applyFill="1" applyBorder="1" applyAlignment="1" applyProtection="1"/>
    <xf numFmtId="3" fontId="13" fillId="11" borderId="9" xfId="1" applyNumberFormat="1" applyFont="1" applyFill="1" applyBorder="1" applyAlignment="1" applyProtection="1"/>
    <xf numFmtId="3" fontId="13" fillId="11" borderId="5" xfId="1" applyNumberFormat="1" applyFont="1" applyFill="1" applyBorder="1" applyAlignment="1" applyProtection="1"/>
    <xf numFmtId="0" fontId="24" fillId="20" borderId="0" xfId="0" applyFont="1" applyFill="1" applyAlignment="1">
      <alignment horizontal="center" wrapText="1"/>
    </xf>
    <xf numFmtId="0" fontId="37" fillId="11" borderId="0" xfId="0" applyFont="1" applyFill="1" applyAlignment="1">
      <alignment horizontal="center"/>
    </xf>
    <xf numFmtId="0" fontId="6" fillId="11" borderId="0" xfId="0" applyFont="1" applyFill="1" applyAlignment="1">
      <alignment horizontal="center"/>
    </xf>
    <xf numFmtId="0" fontId="73" fillId="19" borderId="0" xfId="0" applyFont="1" applyFill="1" applyAlignment="1">
      <alignment horizontal="center"/>
    </xf>
    <xf numFmtId="0" fontId="72" fillId="10" borderId="0" xfId="14" applyFont="1" applyFill="1" applyBorder="1" applyAlignment="1">
      <alignment horizontal="center"/>
    </xf>
    <xf numFmtId="1" fontId="3" fillId="18" borderId="0" xfId="15" applyNumberFormat="1" applyFont="1" applyFill="1" applyBorder="1" applyAlignment="1" applyProtection="1">
      <alignment horizontal="center" vertical="top" wrapText="1"/>
    </xf>
    <xf numFmtId="0" fontId="75" fillId="0" borderId="0" xfId="45"/>
    <xf numFmtId="0" fontId="75" fillId="0" borderId="0" xfId="45" applyAlignment="1">
      <alignment wrapText="1"/>
    </xf>
    <xf numFmtId="177" fontId="75" fillId="0" borderId="0" xfId="45" applyNumberFormat="1" applyAlignment="1">
      <alignment horizontal="left"/>
    </xf>
    <xf numFmtId="0" fontId="75" fillId="0" borderId="0" xfId="45" applyAlignment="1">
      <alignment horizontal="center"/>
    </xf>
    <xf numFmtId="0" fontId="78" fillId="0" borderId="0" xfId="45" applyFont="1"/>
    <xf numFmtId="0" fontId="79" fillId="0" borderId="0" xfId="45" applyFont="1"/>
    <xf numFmtId="0" fontId="75" fillId="0" borderId="0" xfId="44" applyFont="1" applyAlignment="1">
      <alignment horizontal="center"/>
    </xf>
    <xf numFmtId="0" fontId="78" fillId="0" borderId="0" xfId="44" applyFont="1"/>
    <xf numFmtId="0" fontId="79" fillId="0" borderId="0" xfId="44" applyFont="1"/>
    <xf numFmtId="0" fontId="81" fillId="0" borderId="0" xfId="44" applyFont="1"/>
    <xf numFmtId="0" fontId="79" fillId="0" borderId="0" xfId="45" applyFont="1" applyAlignment="1">
      <alignment horizontal="left"/>
    </xf>
    <xf numFmtId="4" fontId="79" fillId="0" borderId="0" xfId="45" applyNumberFormat="1" applyFont="1"/>
    <xf numFmtId="4" fontId="77" fillId="0" borderId="0" xfId="45" applyNumberFormat="1" applyFont="1" applyAlignment="1">
      <alignment horizontal="left"/>
    </xf>
    <xf numFmtId="0" fontId="75" fillId="7" borderId="0" xfId="45" applyFill="1"/>
    <xf numFmtId="4" fontId="84" fillId="10" borderId="0" xfId="46" applyNumberFormat="1" applyFont="1" applyFill="1" applyBorder="1" applyAlignment="1"/>
    <xf numFmtId="3" fontId="66" fillId="10" borderId="36" xfId="0" applyNumberFormat="1" applyFont="1" applyFill="1" applyBorder="1"/>
    <xf numFmtId="3" fontId="66" fillId="10" borderId="32" xfId="0" applyNumberFormat="1" applyFont="1" applyFill="1" applyBorder="1"/>
    <xf numFmtId="3" fontId="66" fillId="10" borderId="43" xfId="0" applyNumberFormat="1" applyFont="1" applyFill="1" applyBorder="1"/>
    <xf numFmtId="0" fontId="22" fillId="4" borderId="32" xfId="0" applyFont="1" applyFill="1" applyBorder="1" applyAlignment="1">
      <alignment horizontal="left"/>
    </xf>
    <xf numFmtId="0" fontId="0" fillId="0" borderId="47" xfId="0" applyBorder="1"/>
    <xf numFmtId="0" fontId="3" fillId="0" borderId="47" xfId="0" applyFont="1" applyBorder="1" applyAlignment="1">
      <alignment horizontal="center"/>
    </xf>
    <xf numFmtId="0" fontId="13" fillId="0" borderId="47" xfId="0" applyFont="1" applyBorder="1" applyAlignment="1">
      <alignment horizontal="center"/>
    </xf>
    <xf numFmtId="0" fontId="72" fillId="20" borderId="0" xfId="14" applyNumberFormat="1" applyFont="1" applyFill="1" applyBorder="1" applyAlignment="1" applyProtection="1">
      <alignment horizontal="center"/>
    </xf>
    <xf numFmtId="3" fontId="0" fillId="7" borderId="0" xfId="0" applyNumberFormat="1" applyFill="1"/>
    <xf numFmtId="3" fontId="13" fillId="7" borderId="0" xfId="0" applyNumberFormat="1" applyFont="1" applyFill="1"/>
    <xf numFmtId="3" fontId="16" fillId="7" borderId="0" xfId="0" applyNumberFormat="1" applyFont="1" applyFill="1"/>
    <xf numFmtId="0" fontId="2" fillId="7" borderId="0" xfId="0" applyFont="1" applyFill="1"/>
    <xf numFmtId="3" fontId="20" fillId="7" borderId="0" xfId="0" applyNumberFormat="1" applyFont="1" applyFill="1"/>
    <xf numFmtId="3" fontId="24" fillId="7" borderId="0" xfId="0" applyNumberFormat="1" applyFont="1" applyFill="1"/>
    <xf numFmtId="0" fontId="64" fillId="10" borderId="0" xfId="0" applyFont="1" applyFill="1"/>
    <xf numFmtId="3" fontId="70" fillId="10" borderId="0" xfId="0" applyNumberFormat="1" applyFont="1" applyFill="1"/>
    <xf numFmtId="0" fontId="70" fillId="10" borderId="0" xfId="0" applyFont="1" applyFill="1"/>
    <xf numFmtId="3" fontId="64" fillId="10" borderId="0" xfId="0" applyNumberFormat="1" applyFont="1" applyFill="1"/>
    <xf numFmtId="3" fontId="66" fillId="10" borderId="0" xfId="0" applyNumberFormat="1" applyFont="1" applyFill="1"/>
    <xf numFmtId="0" fontId="29" fillId="0" borderId="0" xfId="0" applyFont="1"/>
    <xf numFmtId="0" fontId="0" fillId="0" borderId="48" xfId="21" applyFont="1" applyBorder="1"/>
    <xf numFmtId="0" fontId="0" fillId="0" borderId="48" xfId="0" applyBorder="1"/>
    <xf numFmtId="3" fontId="0" fillId="0" borderId="48" xfId="15" applyFont="1" applyFill="1" applyBorder="1" applyAlignment="1" applyProtection="1"/>
    <xf numFmtId="0" fontId="75" fillId="0" borderId="48" xfId="45" applyBorder="1"/>
    <xf numFmtId="0" fontId="30" fillId="0" borderId="48" xfId="0" applyFont="1" applyBorder="1"/>
    <xf numFmtId="0" fontId="66" fillId="10" borderId="0" xfId="0" applyFont="1" applyFill="1"/>
    <xf numFmtId="0" fontId="68" fillId="10" borderId="0" xfId="0" applyFont="1" applyFill="1"/>
    <xf numFmtId="3" fontId="0" fillId="7" borderId="0" xfId="2" applyNumberFormat="1" applyFont="1" applyFill="1" applyBorder="1" applyAlignment="1" applyProtection="1"/>
    <xf numFmtId="0" fontId="0" fillId="7" borderId="44" xfId="0" applyFill="1" applyBorder="1"/>
    <xf numFmtId="0" fontId="0" fillId="7" borderId="49" xfId="0" applyFill="1" applyBorder="1"/>
    <xf numFmtId="0" fontId="0" fillId="7" borderId="50" xfId="0" applyFill="1" applyBorder="1"/>
    <xf numFmtId="0" fontId="0" fillId="7" borderId="51" xfId="0" applyFill="1" applyBorder="1"/>
    <xf numFmtId="0" fontId="0" fillId="7" borderId="51" xfId="0" applyFill="1" applyBorder="1" applyAlignment="1">
      <alignment vertical="center"/>
    </xf>
    <xf numFmtId="0" fontId="0" fillId="7" borderId="52" xfId="0" applyFill="1" applyBorder="1"/>
    <xf numFmtId="0" fontId="0" fillId="7" borderId="53" xfId="0" applyFill="1" applyBorder="1"/>
    <xf numFmtId="3" fontId="0" fillId="7" borderId="52" xfId="15" applyFont="1" applyFill="1" applyBorder="1" applyAlignment="1" applyProtection="1"/>
    <xf numFmtId="0" fontId="0" fillId="11" borderId="55" xfId="0" applyFill="1" applyBorder="1" applyAlignment="1">
      <alignment horizontal="center"/>
    </xf>
    <xf numFmtId="3" fontId="16" fillId="7" borderId="0" xfId="2" applyNumberFormat="1" applyFont="1" applyFill="1" applyBorder="1" applyAlignment="1" applyProtection="1"/>
    <xf numFmtId="0" fontId="0" fillId="16" borderId="57" xfId="0" applyFill="1" applyBorder="1" applyAlignment="1">
      <alignment vertical="top" wrapText="1"/>
    </xf>
    <xf numFmtId="1" fontId="0" fillId="16" borderId="58" xfId="15" applyNumberFormat="1" applyFont="1" applyFill="1" applyBorder="1" applyAlignment="1" applyProtection="1">
      <alignment horizontal="center" vertical="top" wrapText="1"/>
    </xf>
    <xf numFmtId="3" fontId="16" fillId="7" borderId="0" xfId="15" applyFont="1" applyFill="1" applyBorder="1" applyAlignment="1" applyProtection="1">
      <protection locked="0"/>
    </xf>
    <xf numFmtId="3" fontId="26" fillId="0" borderId="0" xfId="15" applyFont="1" applyFill="1" applyBorder="1" applyAlignment="1" applyProtection="1"/>
    <xf numFmtId="3" fontId="68" fillId="10" borderId="0" xfId="15" applyFont="1" applyFill="1" applyBorder="1" applyAlignment="1" applyProtection="1"/>
    <xf numFmtId="3" fontId="23" fillId="7" borderId="0" xfId="15" applyFont="1" applyFill="1" applyBorder="1" applyAlignment="1" applyProtection="1"/>
    <xf numFmtId="3" fontId="68" fillId="10" borderId="0" xfId="15" applyFont="1" applyFill="1" applyBorder="1" applyAlignment="1" applyProtection="1">
      <protection locked="0"/>
    </xf>
    <xf numFmtId="0" fontId="0" fillId="7" borderId="0" xfId="0" applyFill="1" applyAlignment="1">
      <alignment vertical="center"/>
    </xf>
    <xf numFmtId="1" fontId="16" fillId="3" borderId="54" xfId="15" applyNumberFormat="1" applyFont="1" applyFill="1" applyBorder="1" applyAlignment="1" applyProtection="1">
      <alignment horizontal="center" vertical="top" wrapText="1"/>
    </xf>
    <xf numFmtId="0" fontId="6" fillId="16" borderId="59" xfId="0" applyFont="1" applyFill="1" applyBorder="1" applyAlignment="1">
      <alignment horizontal="center" vertical="top" wrapText="1"/>
    </xf>
    <xf numFmtId="1" fontId="0" fillId="16" borderId="60" xfId="15" applyNumberFormat="1" applyFont="1" applyFill="1" applyBorder="1" applyAlignment="1" applyProtection="1">
      <alignment horizontal="center" vertical="top" wrapText="1"/>
    </xf>
    <xf numFmtId="3" fontId="16" fillId="7" borderId="54" xfId="0" applyNumberFormat="1" applyFont="1" applyFill="1" applyBorder="1"/>
    <xf numFmtId="3" fontId="16" fillId="7" borderId="54" xfId="2" applyNumberFormat="1" applyFont="1" applyFill="1" applyBorder="1" applyAlignment="1" applyProtection="1"/>
    <xf numFmtId="0" fontId="66" fillId="10" borderId="61" xfId="0" applyFont="1" applyFill="1" applyBorder="1"/>
    <xf numFmtId="3" fontId="16" fillId="7" borderId="54" xfId="15" applyFont="1" applyFill="1" applyBorder="1" applyAlignment="1" applyProtection="1">
      <protection locked="0"/>
    </xf>
    <xf numFmtId="3" fontId="68" fillId="10" borderId="54" xfId="15" applyFont="1" applyFill="1" applyBorder="1" applyAlignment="1" applyProtection="1"/>
    <xf numFmtId="3" fontId="23" fillId="7" borderId="54" xfId="15" applyFont="1" applyFill="1" applyBorder="1" applyAlignment="1" applyProtection="1"/>
    <xf numFmtId="3" fontId="68" fillId="10" borderId="54" xfId="15" applyFont="1" applyFill="1" applyBorder="1" applyAlignment="1" applyProtection="1">
      <protection locked="0"/>
    </xf>
    <xf numFmtId="0" fontId="0" fillId="0" borderId="55" xfId="0" applyBorder="1" applyAlignment="1">
      <alignment horizontal="center"/>
    </xf>
    <xf numFmtId="3" fontId="27" fillId="0" borderId="54" xfId="15" applyFont="1" applyFill="1" applyBorder="1" applyAlignment="1" applyProtection="1"/>
    <xf numFmtId="3" fontId="66" fillId="10" borderId="54" xfId="0" applyNumberFormat="1" applyFont="1" applyFill="1" applyBorder="1"/>
    <xf numFmtId="0" fontId="0" fillId="7" borderId="55" xfId="0" applyFill="1" applyBorder="1"/>
    <xf numFmtId="0" fontId="0" fillId="0" borderId="55" xfId="0" applyBorder="1"/>
    <xf numFmtId="0" fontId="0" fillId="0" borderId="54" xfId="0" applyBorder="1"/>
    <xf numFmtId="0" fontId="38" fillId="0" borderId="55" xfId="0" applyFont="1" applyBorder="1"/>
    <xf numFmtId="0" fontId="38" fillId="0" borderId="0" xfId="0" applyFont="1"/>
    <xf numFmtId="3" fontId="54" fillId="28" borderId="54" xfId="0" applyNumberFormat="1" applyFont="1" applyFill="1" applyBorder="1"/>
    <xf numFmtId="0" fontId="54" fillId="28" borderId="54" xfId="0" applyFont="1" applyFill="1" applyBorder="1"/>
    <xf numFmtId="0" fontId="64" fillId="10" borderId="55" xfId="0" applyFont="1" applyFill="1" applyBorder="1"/>
    <xf numFmtId="3" fontId="64" fillId="10" borderId="54" xfId="0" applyNumberFormat="1" applyFont="1" applyFill="1" applyBorder="1"/>
    <xf numFmtId="0" fontId="0" fillId="7" borderId="54" xfId="0" applyFill="1" applyBorder="1"/>
    <xf numFmtId="0" fontId="13" fillId="7" borderId="54" xfId="0" applyFont="1" applyFill="1" applyBorder="1"/>
    <xf numFmtId="0" fontId="4" fillId="0" borderId="0" xfId="59"/>
    <xf numFmtId="0" fontId="83" fillId="0" borderId="19" xfId="58" applyFont="1" applyBorder="1" applyAlignment="1">
      <alignment horizontal="center"/>
    </xf>
    <xf numFmtId="0" fontId="83" fillId="0" borderId="62" xfId="58" applyFont="1" applyBorder="1" applyAlignment="1">
      <alignment horizontal="left"/>
    </xf>
    <xf numFmtId="0" fontId="83" fillId="0" borderId="63" xfId="58" applyFont="1" applyBorder="1" applyAlignment="1">
      <alignment horizontal="left"/>
    </xf>
    <xf numFmtId="0" fontId="75" fillId="0" borderId="63" xfId="58" applyFont="1" applyBorder="1" applyAlignment="1">
      <alignment horizontal="left"/>
    </xf>
    <xf numFmtId="0" fontId="83" fillId="0" borderId="64" xfId="58" applyFont="1" applyBorder="1" applyAlignment="1">
      <alignment horizontal="left"/>
    </xf>
    <xf numFmtId="0" fontId="83" fillId="0" borderId="21" xfId="58" applyFont="1" applyBorder="1" applyAlignment="1">
      <alignment horizontal="center"/>
    </xf>
    <xf numFmtId="3" fontId="91" fillId="0" borderId="65" xfId="48" applyFont="1" applyBorder="1" applyAlignment="1">
      <alignment horizontal="center"/>
    </xf>
    <xf numFmtId="3" fontId="91" fillId="0" borderId="66" xfId="48" applyFont="1" applyBorder="1" applyAlignment="1">
      <alignment horizontal="center"/>
    </xf>
    <xf numFmtId="0" fontId="83" fillId="0" borderId="67" xfId="58" applyFont="1" applyBorder="1" applyAlignment="1">
      <alignment horizontal="center"/>
    </xf>
    <xf numFmtId="3" fontId="83" fillId="0" borderId="67" xfId="48" applyFont="1" applyBorder="1" applyAlignment="1">
      <alignment horizontal="center"/>
    </xf>
    <xf numFmtId="3" fontId="83" fillId="0" borderId="22" xfId="48" applyFont="1" applyBorder="1" applyAlignment="1">
      <alignment horizontal="center"/>
    </xf>
    <xf numFmtId="4" fontId="92" fillId="0" borderId="26" xfId="48" applyNumberFormat="1" applyFont="1" applyBorder="1" applyAlignment="1">
      <alignment horizontal="center"/>
    </xf>
    <xf numFmtId="0" fontId="83" fillId="0" borderId="65" xfId="58" applyFont="1" applyBorder="1" applyAlignment="1">
      <alignment horizontal="center"/>
    </xf>
    <xf numFmtId="0" fontId="4" fillId="0" borderId="67" xfId="59" applyBorder="1" applyAlignment="1">
      <alignment horizontal="center"/>
    </xf>
    <xf numFmtId="3" fontId="4" fillId="0" borderId="67" xfId="48" applyFont="1" applyBorder="1" applyAlignment="1">
      <alignment horizontal="center"/>
    </xf>
    <xf numFmtId="3" fontId="4" fillId="0" borderId="64" xfId="48" applyFont="1" applyBorder="1" applyAlignment="1">
      <alignment horizontal="center"/>
    </xf>
    <xf numFmtId="3" fontId="4" fillId="0" borderId="22" xfId="48" applyFont="1" applyBorder="1" applyAlignment="1">
      <alignment horizontal="center"/>
    </xf>
    <xf numFmtId="3" fontId="4" fillId="0" borderId="27" xfId="48" applyFont="1" applyBorder="1" applyAlignment="1">
      <alignment horizontal="center"/>
    </xf>
    <xf numFmtId="0" fontId="4" fillId="0" borderId="65" xfId="59" applyBorder="1" applyAlignment="1">
      <alignment horizontal="center"/>
    </xf>
    <xf numFmtId="3" fontId="4" fillId="0" borderId="65" xfId="48" applyFont="1" applyBorder="1" applyAlignment="1">
      <alignment horizontal="center"/>
    </xf>
    <xf numFmtId="3" fontId="4" fillId="0" borderId="29" xfId="48" applyFont="1" applyBorder="1" applyAlignment="1">
      <alignment horizontal="center"/>
    </xf>
    <xf numFmtId="0" fontId="83" fillId="0" borderId="0" xfId="58" applyFont="1"/>
    <xf numFmtId="0" fontId="82" fillId="0" borderId="0" xfId="58" applyFont="1"/>
    <xf numFmtId="0" fontId="83" fillId="0" borderId="23" xfId="58" applyFont="1" applyBorder="1" applyAlignment="1">
      <alignment horizontal="left"/>
    </xf>
    <xf numFmtId="0" fontId="83" fillId="0" borderId="0" xfId="58" applyFont="1" applyAlignment="1">
      <alignment horizontal="center"/>
    </xf>
    <xf numFmtId="3" fontId="91" fillId="0" borderId="28" xfId="48" applyFont="1" applyBorder="1" applyAlignment="1">
      <alignment horizontal="center"/>
    </xf>
    <xf numFmtId="0" fontId="83" fillId="0" borderId="68" xfId="58" applyFont="1" applyBorder="1" applyAlignment="1">
      <alignment horizontal="center"/>
    </xf>
    <xf numFmtId="3" fontId="83" fillId="0" borderId="64" xfId="48" applyFont="1" applyBorder="1" applyAlignment="1">
      <alignment horizontal="center"/>
    </xf>
    <xf numFmtId="3" fontId="83" fillId="0" borderId="23" xfId="48" applyFont="1" applyBorder="1" applyAlignment="1">
      <alignment horizontal="center"/>
    </xf>
    <xf numFmtId="3" fontId="83" fillId="0" borderId="26" xfId="48" applyFont="1" applyBorder="1" applyAlignment="1">
      <alignment horizontal="center"/>
    </xf>
    <xf numFmtId="3" fontId="83" fillId="0" borderId="65" xfId="48" applyFont="1" applyBorder="1" applyAlignment="1">
      <alignment horizontal="center"/>
    </xf>
    <xf numFmtId="3" fontId="83" fillId="0" borderId="66" xfId="48" applyFont="1" applyBorder="1" applyAlignment="1">
      <alignment horizontal="center"/>
    </xf>
    <xf numFmtId="3" fontId="83" fillId="0" borderId="28" xfId="48" applyFont="1" applyBorder="1" applyAlignment="1">
      <alignment horizontal="center"/>
    </xf>
    <xf numFmtId="3" fontId="0" fillId="0" borderId="0" xfId="72" applyFont="1" applyFill="1" applyBorder="1" applyAlignment="1" applyProtection="1"/>
    <xf numFmtId="0" fontId="38" fillId="0" borderId="0" xfId="0" applyFont="1" applyAlignment="1">
      <alignment horizontal="left"/>
    </xf>
    <xf numFmtId="0" fontId="0" fillId="0" borderId="0" xfId="0" applyAlignment="1">
      <alignment vertical="top" wrapText="1"/>
    </xf>
    <xf numFmtId="4" fontId="20" fillId="0" borderId="0" xfId="10" applyNumberFormat="1" applyFont="1" applyFill="1" applyBorder="1" applyAlignment="1"/>
    <xf numFmtId="0" fontId="0" fillId="0" borderId="63" xfId="0" applyBorder="1" applyAlignment="1">
      <alignment horizontal="left"/>
    </xf>
    <xf numFmtId="4" fontId="34" fillId="0" borderId="63" xfId="74" applyFont="1" applyFill="1" applyBorder="1" applyAlignment="1" applyProtection="1">
      <alignment horizontal="left"/>
    </xf>
    <xf numFmtId="3" fontId="66" fillId="10" borderId="42" xfId="0" applyNumberFormat="1" applyFont="1" applyFill="1" applyBorder="1"/>
    <xf numFmtId="0" fontId="2" fillId="0" borderId="0" xfId="0" applyFont="1" applyAlignment="1">
      <alignment horizontal="center" wrapText="1"/>
    </xf>
    <xf numFmtId="0" fontId="0" fillId="0" borderId="0" xfId="0" applyAlignment="1">
      <alignment horizontal="left"/>
    </xf>
    <xf numFmtId="0" fontId="5" fillId="0" borderId="0" xfId="0" applyFont="1"/>
    <xf numFmtId="0" fontId="94" fillId="0" borderId="0" xfId="0" quotePrefix="1" applyFont="1"/>
    <xf numFmtId="0" fontId="2" fillId="0" borderId="0" xfId="0" applyFont="1"/>
    <xf numFmtId="0" fontId="66" fillId="0" borderId="0" xfId="0" applyFont="1"/>
    <xf numFmtId="0" fontId="94" fillId="7" borderId="70" xfId="0" applyFont="1" applyFill="1" applyBorder="1"/>
    <xf numFmtId="0" fontId="94" fillId="7" borderId="71" xfId="0" applyFont="1" applyFill="1" applyBorder="1"/>
    <xf numFmtId="2" fontId="4" fillId="0" borderId="0" xfId="59" applyNumberFormat="1"/>
    <xf numFmtId="0" fontId="98" fillId="0" borderId="0" xfId="44" applyFont="1"/>
    <xf numFmtId="0" fontId="99" fillId="0" borderId="0" xfId="44" applyFont="1"/>
    <xf numFmtId="0" fontId="38" fillId="0" borderId="0" xfId="59" applyFont="1"/>
    <xf numFmtId="3" fontId="66" fillId="10" borderId="37" xfId="0" applyNumberFormat="1" applyFont="1" applyFill="1" applyBorder="1"/>
    <xf numFmtId="3" fontId="86" fillId="10" borderId="35" xfId="45" applyNumberFormat="1" applyFont="1" applyFill="1" applyBorder="1" applyAlignment="1">
      <alignment horizontal="left"/>
    </xf>
    <xf numFmtId="3" fontId="86" fillId="10" borderId="41" xfId="45" applyNumberFormat="1" applyFont="1" applyFill="1" applyBorder="1" applyAlignment="1">
      <alignment horizontal="left"/>
    </xf>
    <xf numFmtId="0" fontId="6" fillId="0" borderId="0" xfId="0" applyFont="1"/>
    <xf numFmtId="3" fontId="0" fillId="7" borderId="0" xfId="15" applyFont="1" applyFill="1" applyBorder="1" applyAlignment="1" applyProtection="1"/>
    <xf numFmtId="3" fontId="2" fillId="7" borderId="0" xfId="15" applyFont="1" applyFill="1" applyBorder="1" applyAlignment="1" applyProtection="1">
      <alignment horizontal="left"/>
    </xf>
    <xf numFmtId="3" fontId="27" fillId="7" borderId="0" xfId="15" applyFont="1" applyFill="1" applyBorder="1" applyAlignment="1" applyProtection="1"/>
    <xf numFmtId="3" fontId="20" fillId="7" borderId="0" xfId="15" applyFont="1" applyFill="1" applyBorder="1" applyAlignment="1" applyProtection="1"/>
    <xf numFmtId="3" fontId="6" fillId="7" borderId="0" xfId="7" applyNumberFormat="1" applyFill="1" applyBorder="1" applyAlignment="1" applyProtection="1"/>
    <xf numFmtId="3" fontId="48" fillId="7" borderId="0" xfId="15" applyFont="1" applyFill="1" applyBorder="1" applyAlignment="1" applyProtection="1"/>
    <xf numFmtId="3" fontId="16" fillId="7" borderId="0" xfId="15" applyFont="1" applyFill="1" applyBorder="1" applyAlignment="1" applyProtection="1">
      <alignment horizontal="right"/>
    </xf>
    <xf numFmtId="3" fontId="34" fillId="33" borderId="1" xfId="0" applyNumberFormat="1" applyFont="1" applyFill="1" applyBorder="1" applyProtection="1">
      <protection locked="0"/>
    </xf>
    <xf numFmtId="3" fontId="21" fillId="33" borderId="10" xfId="11" applyFont="1" applyFill="1" applyBorder="1" applyAlignment="1" applyProtection="1">
      <protection locked="0"/>
    </xf>
    <xf numFmtId="0" fontId="34" fillId="33" borderId="1" xfId="0" applyFont="1" applyFill="1" applyBorder="1" applyProtection="1">
      <protection locked="0"/>
    </xf>
    <xf numFmtId="3" fontId="34" fillId="33" borderId="1" xfId="1" applyNumberFormat="1" applyFont="1" applyFill="1" applyBorder="1" applyAlignment="1" applyProtection="1">
      <protection locked="0"/>
    </xf>
    <xf numFmtId="3" fontId="34" fillId="33" borderId="11" xfId="1" applyNumberFormat="1" applyFont="1" applyFill="1" applyBorder="1" applyAlignment="1" applyProtection="1">
      <protection locked="0"/>
    </xf>
    <xf numFmtId="0" fontId="34" fillId="33" borderId="13" xfId="0" applyFont="1" applyFill="1" applyBorder="1" applyProtection="1">
      <protection locked="0"/>
    </xf>
    <xf numFmtId="175" fontId="34" fillId="33" borderId="1" xfId="0" applyNumberFormat="1" applyFont="1" applyFill="1" applyBorder="1" applyProtection="1">
      <protection locked="0"/>
    </xf>
    <xf numFmtId="10" fontId="34" fillId="33" borderId="1" xfId="0" applyNumberFormat="1" applyFont="1" applyFill="1" applyBorder="1" applyProtection="1">
      <protection locked="0"/>
    </xf>
    <xf numFmtId="0" fontId="34" fillId="33" borderId="1" xfId="0" applyFont="1" applyFill="1" applyBorder="1" applyAlignment="1" applyProtection="1">
      <alignment horizontal="center"/>
      <protection locked="0"/>
    </xf>
    <xf numFmtId="3" fontId="34" fillId="33" borderId="1" xfId="1" applyNumberFormat="1" applyFont="1" applyFill="1" applyBorder="1" applyAlignment="1" applyProtection="1">
      <alignment horizontal="right"/>
      <protection locked="0"/>
    </xf>
    <xf numFmtId="9" fontId="34" fillId="33" borderId="1" xfId="0" applyNumberFormat="1" applyFont="1" applyFill="1" applyBorder="1" applyProtection="1">
      <protection locked="0"/>
    </xf>
    <xf numFmtId="3" fontId="34" fillId="33" borderId="2" xfId="1" applyNumberFormat="1" applyFont="1" applyFill="1" applyBorder="1" applyAlignment="1" applyProtection="1">
      <alignment horizontal="right"/>
      <protection locked="0"/>
    </xf>
    <xf numFmtId="0" fontId="34" fillId="33" borderId="1" xfId="0" applyFont="1" applyFill="1" applyBorder="1" applyAlignment="1" applyProtection="1">
      <alignment horizontal="center" wrapText="1"/>
      <protection locked="0"/>
    </xf>
    <xf numFmtId="3" fontId="34" fillId="33" borderId="1" xfId="1" applyNumberFormat="1" applyFont="1" applyFill="1" applyBorder="1" applyAlignment="1" applyProtection="1">
      <alignment horizontal="center"/>
      <protection locked="0"/>
    </xf>
    <xf numFmtId="3" fontId="34" fillId="33" borderId="11" xfId="1" applyNumberFormat="1" applyFont="1" applyFill="1" applyBorder="1" applyAlignment="1" applyProtection="1">
      <alignment horizontal="center"/>
      <protection locked="0"/>
    </xf>
    <xf numFmtId="3" fontId="35" fillId="7" borderId="0" xfId="15" applyFont="1" applyFill="1" applyBorder="1" applyAlignment="1" applyProtection="1"/>
    <xf numFmtId="0" fontId="73" fillId="20" borderId="0" xfId="0" applyFont="1" applyFill="1" applyAlignment="1">
      <alignment horizontal="center"/>
    </xf>
    <xf numFmtId="0" fontId="62" fillId="0" borderId="0" xfId="21" applyFont="1"/>
    <xf numFmtId="0" fontId="39" fillId="0" borderId="0" xfId="21" applyFont="1" applyAlignment="1">
      <alignment horizontal="center"/>
    </xf>
    <xf numFmtId="3" fontId="0" fillId="7" borderId="0" xfId="0" applyNumberFormat="1" applyFill="1" applyAlignment="1">
      <alignment horizontal="center"/>
    </xf>
    <xf numFmtId="0" fontId="0" fillId="7" borderId="0" xfId="21" applyFont="1" applyFill="1"/>
    <xf numFmtId="0" fontId="30" fillId="7" borderId="0" xfId="21" applyFont="1" applyFill="1" applyAlignment="1">
      <alignment horizontal="right"/>
    </xf>
    <xf numFmtId="0" fontId="30" fillId="7" borderId="0" xfId="21" applyFont="1" applyFill="1"/>
    <xf numFmtId="4" fontId="41" fillId="7" borderId="0" xfId="21" applyNumberFormat="1" applyFont="1" applyFill="1"/>
    <xf numFmtId="0" fontId="0" fillId="7" borderId="0" xfId="21" applyFont="1" applyFill="1" applyAlignment="1">
      <alignment horizontal="right"/>
    </xf>
    <xf numFmtId="3" fontId="20" fillId="7" borderId="0" xfId="21" applyNumberFormat="1" applyFont="1" applyFill="1"/>
    <xf numFmtId="0" fontId="13" fillId="7" borderId="0" xfId="21" applyFont="1" applyFill="1"/>
    <xf numFmtId="0" fontId="27" fillId="7" borderId="0" xfId="21" applyFont="1" applyFill="1"/>
    <xf numFmtId="4" fontId="30" fillId="17" borderId="0" xfId="0" applyNumberFormat="1" applyFont="1" applyFill="1"/>
    <xf numFmtId="0" fontId="0" fillId="17" borderId="0" xfId="0" applyFill="1"/>
    <xf numFmtId="0" fontId="0" fillId="17" borderId="0" xfId="21" applyFont="1" applyFill="1"/>
    <xf numFmtId="3" fontId="43" fillId="17" borderId="0" xfId="0" applyNumberFormat="1" applyFont="1" applyFill="1"/>
    <xf numFmtId="0" fontId="16" fillId="7" borderId="0" xfId="21" applyFont="1" applyFill="1" applyAlignment="1">
      <alignment horizontal="center"/>
    </xf>
    <xf numFmtId="3" fontId="40" fillId="7" borderId="0" xfId="21" applyNumberFormat="1" applyFont="1" applyFill="1"/>
    <xf numFmtId="0" fontId="0" fillId="7" borderId="61" xfId="21" applyFont="1" applyFill="1" applyBorder="1"/>
    <xf numFmtId="0" fontId="4" fillId="7" borderId="0" xfId="21" applyFont="1" applyFill="1"/>
    <xf numFmtId="3" fontId="44" fillId="7" borderId="0" xfId="21" applyNumberFormat="1" applyFont="1" applyFill="1"/>
    <xf numFmtId="0" fontId="30" fillId="7" borderId="0" xfId="0" applyFont="1" applyFill="1" applyAlignment="1">
      <alignment horizontal="right"/>
    </xf>
    <xf numFmtId="0" fontId="0" fillId="16" borderId="0" xfId="21" applyFont="1" applyFill="1"/>
    <xf numFmtId="0" fontId="66" fillId="9" borderId="0" xfId="21" applyFont="1" applyFill="1"/>
    <xf numFmtId="0" fontId="4" fillId="7" borderId="0" xfId="21" applyFont="1" applyFill="1" applyAlignment="1">
      <alignment horizontal="right"/>
    </xf>
    <xf numFmtId="0" fontId="45" fillId="7" borderId="0" xfId="21" applyFont="1" applyFill="1"/>
    <xf numFmtId="2" fontId="0" fillId="7" borderId="0" xfId="21" applyNumberFormat="1" applyFont="1" applyFill="1"/>
    <xf numFmtId="3" fontId="31" fillId="7" borderId="0" xfId="21" applyNumberFormat="1" applyFont="1" applyFill="1"/>
    <xf numFmtId="0" fontId="30" fillId="7" borderId="8" xfId="21" applyFont="1" applyFill="1" applyBorder="1" applyAlignment="1">
      <alignment horizontal="center" vertical="center"/>
    </xf>
    <xf numFmtId="0" fontId="0" fillId="27" borderId="0" xfId="21" applyFont="1" applyFill="1"/>
    <xf numFmtId="3" fontId="49" fillId="7" borderId="0" xfId="15" applyFont="1" applyFill="1" applyBorder="1" applyAlignment="1" applyProtection="1"/>
    <xf numFmtId="3" fontId="0" fillId="7" borderId="0" xfId="21" applyNumberFormat="1" applyFont="1" applyFill="1"/>
    <xf numFmtId="3" fontId="13" fillId="7" borderId="0" xfId="21" applyNumberFormat="1" applyFont="1" applyFill="1"/>
    <xf numFmtId="3" fontId="16" fillId="7" borderId="0" xfId="21" applyNumberFormat="1" applyFont="1" applyFill="1"/>
    <xf numFmtId="3" fontId="16" fillId="14" borderId="0" xfId="21" applyNumberFormat="1" applyFont="1" applyFill="1"/>
    <xf numFmtId="3" fontId="27" fillId="14" borderId="0" xfId="21" applyNumberFormat="1" applyFont="1" applyFill="1"/>
    <xf numFmtId="3" fontId="0" fillId="14" borderId="0" xfId="21" applyNumberFormat="1" applyFont="1" applyFill="1"/>
    <xf numFmtId="0" fontId="71" fillId="10" borderId="0" xfId="21" applyFont="1" applyFill="1"/>
    <xf numFmtId="3" fontId="71" fillId="10" borderId="0" xfId="21" applyNumberFormat="1" applyFont="1" applyFill="1"/>
    <xf numFmtId="0" fontId="27" fillId="0" borderId="0" xfId="21" applyFont="1"/>
    <xf numFmtId="3" fontId="27" fillId="0" borderId="0" xfId="21" applyNumberFormat="1" applyFont="1"/>
    <xf numFmtId="0" fontId="0" fillId="12" borderId="0" xfId="21" applyFont="1" applyFill="1"/>
    <xf numFmtId="0" fontId="30" fillId="34" borderId="8" xfId="21" applyFont="1" applyFill="1" applyBorder="1" applyAlignment="1">
      <alignment horizontal="center" vertical="center"/>
    </xf>
    <xf numFmtId="0" fontId="47" fillId="7" borderId="0" xfId="21" applyFont="1" applyFill="1"/>
    <xf numFmtId="0" fontId="42" fillId="7" borderId="0" xfId="21" applyFont="1" applyFill="1" applyAlignment="1">
      <alignment horizontal="right"/>
    </xf>
    <xf numFmtId="3" fontId="27" fillId="10" borderId="0" xfId="21" applyNumberFormat="1" applyFont="1" applyFill="1"/>
    <xf numFmtId="3" fontId="0" fillId="10" borderId="0" xfId="21" applyNumberFormat="1" applyFont="1" applyFill="1"/>
    <xf numFmtId="0" fontId="0" fillId="10" borderId="0" xfId="21" applyFont="1" applyFill="1"/>
    <xf numFmtId="3" fontId="41" fillId="10" borderId="0" xfId="21" applyNumberFormat="1" applyFont="1" applyFill="1"/>
    <xf numFmtId="3" fontId="13" fillId="11" borderId="5" xfId="0" applyNumberFormat="1" applyFont="1" applyFill="1" applyBorder="1"/>
    <xf numFmtId="3" fontId="13" fillId="11" borderId="20" xfId="0" applyNumberFormat="1" applyFont="1" applyFill="1" applyBorder="1"/>
    <xf numFmtId="2" fontId="68" fillId="10" borderId="0" xfId="0" applyNumberFormat="1" applyFont="1" applyFill="1"/>
    <xf numFmtId="174" fontId="34" fillId="33" borderId="1" xfId="0" applyNumberFormat="1" applyFont="1" applyFill="1" applyBorder="1" applyAlignment="1" applyProtection="1">
      <alignment horizontal="center"/>
      <protection locked="0"/>
    </xf>
    <xf numFmtId="9" fontId="34" fillId="33" borderId="1" xfId="23" applyFont="1" applyFill="1" applyBorder="1" applyAlignment="1" applyProtection="1">
      <alignment horizontal="center"/>
      <protection locked="0"/>
    </xf>
    <xf numFmtId="0" fontId="57" fillId="33" borderId="1" xfId="0" applyFont="1" applyFill="1" applyBorder="1" applyAlignment="1" applyProtection="1">
      <alignment horizontal="center"/>
      <protection locked="0"/>
    </xf>
    <xf numFmtId="0" fontId="0" fillId="33" borderId="0" xfId="0" applyFill="1" applyProtection="1">
      <protection locked="0"/>
    </xf>
    <xf numFmtId="181" fontId="90" fillId="0" borderId="0" xfId="174" applyNumberFormat="1" applyFont="1" applyFill="1" applyProtection="1"/>
    <xf numFmtId="1" fontId="90" fillId="0" borderId="0" xfId="26" applyNumberFormat="1" applyFont="1" applyFill="1" applyProtection="1"/>
    <xf numFmtId="0" fontId="0" fillId="0" borderId="23" xfId="0" applyBorder="1"/>
    <xf numFmtId="0" fontId="0" fillId="0" borderId="23" xfId="0" applyBorder="1" applyAlignment="1">
      <alignment vertical="top" wrapText="1"/>
    </xf>
    <xf numFmtId="0" fontId="101" fillId="33" borderId="1" xfId="10" applyNumberFormat="1" applyFont="1" applyFill="1" applyBorder="1" applyAlignment="1" applyProtection="1">
      <alignment horizontal="right"/>
      <protection locked="0"/>
    </xf>
    <xf numFmtId="3" fontId="2" fillId="7" borderId="0" xfId="15" applyFont="1" applyFill="1" applyBorder="1" applyAlignment="1" applyProtection="1">
      <alignment horizontal="left" wrapText="1"/>
    </xf>
    <xf numFmtId="3" fontId="16" fillId="7" borderId="0" xfId="15" applyFont="1" applyFill="1" applyBorder="1" applyAlignment="1" applyProtection="1"/>
    <xf numFmtId="0" fontId="101" fillId="38" borderId="1" xfId="17" applyNumberFormat="1" applyFont="1" applyFill="1" applyBorder="1" applyAlignment="1" applyProtection="1">
      <alignment horizontal="right"/>
      <protection locked="0"/>
    </xf>
    <xf numFmtId="0" fontId="107" fillId="0" borderId="0" xfId="0" applyFont="1"/>
    <xf numFmtId="0" fontId="108" fillId="0" borderId="0" xfId="0" applyFont="1" applyAlignment="1">
      <alignment vertical="center"/>
    </xf>
    <xf numFmtId="3" fontId="3" fillId="33" borderId="47" xfId="0" applyNumberFormat="1" applyFont="1" applyFill="1" applyBorder="1" applyAlignment="1" applyProtection="1">
      <alignment horizontal="center"/>
      <protection locked="0"/>
    </xf>
    <xf numFmtId="0" fontId="0" fillId="39" borderId="0" xfId="0" applyFill="1"/>
    <xf numFmtId="0" fontId="0" fillId="0" borderId="69" xfId="0" applyBorder="1" applyAlignment="1">
      <alignment horizontal="center"/>
    </xf>
    <xf numFmtId="0" fontId="0" fillId="0" borderId="89" xfId="0" applyBorder="1" applyAlignment="1">
      <alignment horizontal="center"/>
    </xf>
    <xf numFmtId="14" fontId="0" fillId="40" borderId="89" xfId="0" applyNumberFormat="1" applyFill="1" applyBorder="1" applyAlignment="1" applyProtection="1">
      <alignment horizontal="center"/>
      <protection locked="0"/>
    </xf>
    <xf numFmtId="0" fontId="0" fillId="40" borderId="89" xfId="0" applyFill="1" applyBorder="1" applyAlignment="1" applyProtection="1">
      <alignment horizontal="center"/>
      <protection locked="0"/>
    </xf>
    <xf numFmtId="0" fontId="112" fillId="0" borderId="89" xfId="0" applyFont="1" applyBorder="1" applyAlignment="1">
      <alignment horizontal="center"/>
    </xf>
    <xf numFmtId="0" fontId="112" fillId="0" borderId="25" xfId="0" applyFont="1" applyBorder="1" applyAlignment="1">
      <alignment horizontal="center"/>
    </xf>
    <xf numFmtId="0" fontId="112" fillId="0" borderId="28" xfId="0" applyFont="1" applyBorder="1" applyAlignment="1">
      <alignment horizontal="center"/>
    </xf>
    <xf numFmtId="0" fontId="101" fillId="7" borderId="1" xfId="10" applyNumberFormat="1" applyFont="1" applyFill="1" applyBorder="1" applyAlignment="1">
      <alignment horizontal="right"/>
    </xf>
    <xf numFmtId="0" fontId="101" fillId="33" borderId="77" xfId="10" applyNumberFormat="1" applyFont="1" applyFill="1" applyBorder="1" applyAlignment="1" applyProtection="1">
      <alignment horizontal="right"/>
      <protection locked="0"/>
    </xf>
    <xf numFmtId="0" fontId="101" fillId="33" borderId="77" xfId="0" applyFont="1" applyFill="1" applyBorder="1" applyAlignment="1" applyProtection="1">
      <alignment horizontal="right"/>
      <protection locked="0"/>
    </xf>
    <xf numFmtId="0" fontId="101" fillId="7" borderId="77" xfId="10" applyNumberFormat="1" applyFont="1" applyFill="1" applyBorder="1" applyAlignment="1">
      <alignment horizontal="right"/>
    </xf>
    <xf numFmtId="0" fontId="101" fillId="7" borderId="77" xfId="0" applyFont="1" applyFill="1" applyBorder="1" applyAlignment="1">
      <alignment horizontal="right"/>
    </xf>
    <xf numFmtId="0" fontId="101" fillId="7" borderId="1" xfId="0" applyFont="1" applyFill="1" applyBorder="1" applyAlignment="1">
      <alignment horizontal="right"/>
    </xf>
    <xf numFmtId="0" fontId="101" fillId="36" borderId="1" xfId="0" applyFont="1" applyFill="1" applyBorder="1" applyAlignment="1">
      <alignment horizontal="right"/>
    </xf>
    <xf numFmtId="0" fontId="103" fillId="33" borderId="1" xfId="0" applyFont="1" applyFill="1" applyBorder="1" applyAlignment="1" applyProtection="1">
      <alignment horizontal="right"/>
      <protection locked="0"/>
    </xf>
    <xf numFmtId="0" fontId="101" fillId="36" borderId="1" xfId="10" applyNumberFormat="1" applyFont="1" applyFill="1" applyBorder="1" applyAlignment="1">
      <alignment horizontal="right"/>
    </xf>
    <xf numFmtId="0" fontId="101" fillId="25" borderId="77" xfId="10" applyNumberFormat="1" applyFont="1" applyFill="1" applyBorder="1" applyAlignment="1">
      <alignment horizontal="right"/>
    </xf>
    <xf numFmtId="0" fontId="101" fillId="25" borderId="1" xfId="10" applyNumberFormat="1" applyFont="1" applyFill="1" applyBorder="1" applyAlignment="1">
      <alignment horizontal="right"/>
    </xf>
    <xf numFmtId="0" fontId="101" fillId="37" borderId="1" xfId="17" applyNumberFormat="1" applyFont="1" applyFill="1" applyBorder="1" applyAlignment="1" applyProtection="1">
      <alignment horizontal="right"/>
    </xf>
    <xf numFmtId="0" fontId="101" fillId="35" borderId="1" xfId="17" applyNumberFormat="1" applyFont="1" applyFill="1" applyBorder="1" applyAlignment="1" applyProtection="1">
      <alignment horizontal="right"/>
      <protection locked="0"/>
    </xf>
    <xf numFmtId="0" fontId="101" fillId="36" borderId="1" xfId="0" applyFont="1" applyFill="1" applyBorder="1" applyAlignment="1">
      <alignment horizontal="right" wrapText="1"/>
    </xf>
    <xf numFmtId="0" fontId="101" fillId="33" borderId="87" xfId="0" applyFont="1" applyFill="1" applyBorder="1" applyAlignment="1" applyProtection="1">
      <alignment horizontal="right"/>
      <protection locked="0"/>
    </xf>
    <xf numFmtId="0" fontId="101" fillId="33" borderId="45" xfId="0" applyFont="1" applyFill="1" applyBorder="1" applyAlignment="1" applyProtection="1">
      <alignment horizontal="right"/>
      <protection locked="0"/>
    </xf>
    <xf numFmtId="0" fontId="101" fillId="36" borderId="45" xfId="0" applyFont="1" applyFill="1" applyBorder="1" applyAlignment="1">
      <alignment horizontal="right"/>
    </xf>
    <xf numFmtId="0" fontId="101" fillId="33" borderId="46" xfId="0" applyFont="1" applyFill="1" applyBorder="1" applyAlignment="1" applyProtection="1">
      <alignment horizontal="right"/>
      <protection locked="0"/>
    </xf>
    <xf numFmtId="3" fontId="100" fillId="0" borderId="0" xfId="15" applyFont="1" applyFill="1" applyBorder="1" applyAlignment="1" applyProtection="1"/>
    <xf numFmtId="3" fontId="0" fillId="11" borderId="54" xfId="15" applyFont="1" applyFill="1" applyBorder="1" applyAlignment="1" applyProtection="1"/>
    <xf numFmtId="3" fontId="27" fillId="0" borderId="0" xfId="0" applyNumberFormat="1" applyFont="1"/>
    <xf numFmtId="3" fontId="66" fillId="0" borderId="0" xfId="0" applyNumberFormat="1" applyFont="1"/>
    <xf numFmtId="3" fontId="70" fillId="0" borderId="0" xfId="15" applyFont="1" applyFill="1" applyBorder="1" applyAlignment="1" applyProtection="1">
      <alignment horizontal="right"/>
    </xf>
    <xf numFmtId="3" fontId="66" fillId="0" borderId="0" xfId="1" applyNumberFormat="1" applyFont="1" applyFill="1" applyBorder="1" applyAlignment="1" applyProtection="1"/>
    <xf numFmtId="3" fontId="68" fillId="0" borderId="0" xfId="15" applyFont="1" applyFill="1" applyBorder="1" applyAlignment="1" applyProtection="1"/>
    <xf numFmtId="3" fontId="0" fillId="0" borderId="0" xfId="0" applyNumberFormat="1"/>
    <xf numFmtId="3" fontId="51" fillId="11" borderId="54" xfId="15" applyFont="1" applyFill="1" applyBorder="1" applyAlignment="1" applyProtection="1"/>
    <xf numFmtId="3" fontId="0" fillId="11" borderId="54" xfId="15" applyFont="1" applyFill="1" applyBorder="1" applyAlignment="1" applyProtection="1">
      <alignment horizontal="center" vertical="top" wrapText="1"/>
    </xf>
    <xf numFmtId="3" fontId="3" fillId="11" borderId="54" xfId="15" applyFont="1" applyFill="1" applyBorder="1" applyAlignment="1" applyProtection="1"/>
    <xf numFmtId="0" fontId="72" fillId="20" borderId="55" xfId="14" applyNumberFormat="1" applyFont="1" applyFill="1" applyBorder="1" applyAlignment="1" applyProtection="1">
      <alignment horizontal="center"/>
    </xf>
    <xf numFmtId="0" fontId="0" fillId="7" borderId="90" xfId="0" applyFill="1" applyBorder="1"/>
    <xf numFmtId="0" fontId="0" fillId="6" borderId="0" xfId="0" applyFill="1"/>
    <xf numFmtId="3" fontId="4" fillId="0" borderId="67" xfId="15" applyFont="1" applyBorder="1" applyAlignment="1">
      <alignment horizontal="center"/>
    </xf>
    <xf numFmtId="3" fontId="4" fillId="0" borderId="65" xfId="15" applyFont="1" applyBorder="1" applyAlignment="1">
      <alignment horizontal="center"/>
    </xf>
    <xf numFmtId="0" fontId="99" fillId="0" borderId="67" xfId="44" applyFont="1" applyBorder="1" applyAlignment="1">
      <alignment horizontal="center"/>
    </xf>
    <xf numFmtId="3" fontId="99" fillId="0" borderId="67" xfId="15" applyFont="1" applyBorder="1" applyAlignment="1">
      <alignment horizontal="center"/>
    </xf>
    <xf numFmtId="3" fontId="99" fillId="0" borderId="22" xfId="15" applyFont="1" applyBorder="1" applyAlignment="1">
      <alignment horizontal="center"/>
    </xf>
    <xf numFmtId="4" fontId="117" fillId="0" borderId="26" xfId="15" applyNumberFormat="1" applyFont="1" applyBorder="1" applyAlignment="1">
      <alignment horizontal="center"/>
    </xf>
    <xf numFmtId="0" fontId="95" fillId="0" borderId="0" xfId="45" applyFont="1" applyAlignment="1">
      <alignment wrapText="1"/>
    </xf>
    <xf numFmtId="0" fontId="75" fillId="0" borderId="0" xfId="45" applyAlignment="1">
      <alignment horizontal="center" wrapText="1"/>
    </xf>
    <xf numFmtId="0" fontId="87" fillId="0" borderId="0" xfId="45" applyFont="1"/>
    <xf numFmtId="0" fontId="101" fillId="33" borderId="45" xfId="0" applyFont="1" applyFill="1" applyBorder="1" applyAlignment="1" applyProtection="1">
      <alignment horizontal="right" wrapText="1"/>
      <protection locked="0"/>
    </xf>
    <xf numFmtId="3" fontId="16" fillId="11" borderId="54" xfId="15" applyFont="1" applyFill="1" applyBorder="1" applyAlignment="1" applyProtection="1"/>
    <xf numFmtId="0" fontId="123" fillId="0" borderId="0" xfId="0" applyFont="1"/>
    <xf numFmtId="0" fontId="72" fillId="11" borderId="55" xfId="14" applyFont="1" applyFill="1" applyBorder="1" applyAlignment="1">
      <alignment horizontal="center"/>
    </xf>
    <xf numFmtId="3" fontId="27" fillId="3" borderId="0" xfId="0" applyNumberFormat="1" applyFont="1" applyFill="1"/>
    <xf numFmtId="3" fontId="19" fillId="11" borderId="0" xfId="0" applyNumberFormat="1" applyFont="1" applyFill="1"/>
    <xf numFmtId="3" fontId="13" fillId="11" borderId="0" xfId="0" applyNumberFormat="1" applyFont="1" applyFill="1"/>
    <xf numFmtId="0" fontId="70" fillId="0" borderId="0" xfId="0" applyFont="1"/>
    <xf numFmtId="3" fontId="102" fillId="3" borderId="0" xfId="0" applyNumberFormat="1" applyFont="1" applyFill="1"/>
    <xf numFmtId="3" fontId="124" fillId="3" borderId="0" xfId="0" applyNumberFormat="1" applyFont="1" applyFill="1"/>
    <xf numFmtId="3" fontId="116" fillId="0" borderId="0" xfId="15" applyFont="1" applyFill="1" applyBorder="1" applyAlignment="1" applyProtection="1"/>
    <xf numFmtId="3" fontId="13" fillId="11" borderId="0" xfId="15" applyFont="1" applyFill="1" applyBorder="1" applyAlignment="1" applyProtection="1"/>
    <xf numFmtId="0" fontId="11" fillId="0" borderId="0" xfId="112"/>
    <xf numFmtId="3" fontId="29" fillId="11" borderId="54" xfId="15" applyFont="1" applyFill="1" applyBorder="1" applyAlignment="1" applyProtection="1">
      <alignment horizontal="center"/>
    </xf>
    <xf numFmtId="0" fontId="102" fillId="0" borderId="0" xfId="0" applyFont="1"/>
    <xf numFmtId="3" fontId="66" fillId="0" borderId="0" xfId="15" applyFont="1" applyFill="1" applyBorder="1" applyAlignment="1" applyProtection="1"/>
    <xf numFmtId="3" fontId="126" fillId="3" borderId="0" xfId="0" applyNumberFormat="1" applyFont="1" applyFill="1"/>
    <xf numFmtId="0" fontId="0" fillId="7" borderId="94" xfId="0" applyFill="1" applyBorder="1"/>
    <xf numFmtId="0" fontId="102" fillId="6" borderId="0" xfId="0" applyFont="1" applyFill="1"/>
    <xf numFmtId="3" fontId="123" fillId="7" borderId="0" xfId="15" applyFont="1" applyFill="1" applyBorder="1" applyAlignment="1" applyProtection="1">
      <alignment horizontal="center"/>
    </xf>
    <xf numFmtId="3" fontId="123" fillId="7" borderId="0" xfId="21" applyNumberFormat="1" applyFont="1" applyFill="1" applyAlignment="1">
      <alignment horizontal="center"/>
    </xf>
    <xf numFmtId="3" fontId="123" fillId="7" borderId="0" xfId="21" applyNumberFormat="1" applyFont="1" applyFill="1"/>
    <xf numFmtId="3" fontId="123" fillId="7" borderId="0" xfId="15" applyFont="1" applyFill="1" applyBorder="1" applyAlignment="1" applyProtection="1"/>
    <xf numFmtId="2" fontId="66" fillId="0" borderId="0" xfId="0" applyNumberFormat="1" applyFont="1" applyAlignment="1">
      <alignment horizontal="center"/>
    </xf>
    <xf numFmtId="0" fontId="66" fillId="0" borderId="0" xfId="0" applyFont="1" applyAlignment="1">
      <alignment horizontal="center"/>
    </xf>
    <xf numFmtId="3" fontId="13" fillId="11" borderId="106" xfId="0" applyNumberFormat="1" applyFont="1" applyFill="1" applyBorder="1"/>
    <xf numFmtId="3" fontId="130" fillId="11" borderId="106" xfId="0" applyNumberFormat="1" applyFont="1" applyFill="1" applyBorder="1"/>
    <xf numFmtId="0" fontId="2" fillId="0" borderId="0" xfId="0" applyFont="1" applyAlignment="1">
      <alignment horizontal="left"/>
    </xf>
    <xf numFmtId="0" fontId="22" fillId="0" borderId="54" xfId="0" applyFont="1" applyBorder="1"/>
    <xf numFmtId="0" fontId="0" fillId="6" borderId="23" xfId="0" applyFill="1" applyBorder="1"/>
    <xf numFmtId="0" fontId="114" fillId="0" borderId="0" xfId="45" applyFont="1"/>
    <xf numFmtId="4" fontId="34" fillId="7" borderId="63" xfId="74" applyFont="1" applyFill="1" applyBorder="1" applyAlignment="1" applyProtection="1">
      <alignment horizontal="left"/>
    </xf>
    <xf numFmtId="0" fontId="0" fillId="7" borderId="0" xfId="0" applyFill="1" applyAlignment="1">
      <alignment horizontal="left"/>
    </xf>
    <xf numFmtId="0" fontId="0" fillId="7" borderId="63" xfId="0" applyFill="1" applyBorder="1" applyAlignment="1">
      <alignment horizontal="left"/>
    </xf>
    <xf numFmtId="0" fontId="0" fillId="7" borderId="63" xfId="0" applyFill="1" applyBorder="1" applyAlignment="1">
      <alignment horizontal="left" vertical="top"/>
    </xf>
    <xf numFmtId="0" fontId="0" fillId="6" borderId="0" xfId="0" applyFill="1" applyAlignment="1">
      <alignment horizontal="left"/>
    </xf>
    <xf numFmtId="0" fontId="4" fillId="6" borderId="0" xfId="0" applyFont="1" applyFill="1" applyAlignment="1">
      <alignment horizontal="center"/>
    </xf>
    <xf numFmtId="0" fontId="4" fillId="6" borderId="0" xfId="0" applyFont="1" applyFill="1" applyAlignment="1">
      <alignment horizontal="left" wrapText="1"/>
    </xf>
    <xf numFmtId="10" fontId="79" fillId="0" borderId="0" xfId="45" applyNumberFormat="1" applyFont="1"/>
    <xf numFmtId="0" fontId="3" fillId="0" borderId="23" xfId="0" applyFont="1" applyBorder="1"/>
    <xf numFmtId="3" fontId="131" fillId="33" borderId="1" xfId="0" applyNumberFormat="1" applyFont="1" applyFill="1" applyBorder="1" applyProtection="1">
      <protection locked="0"/>
    </xf>
    <xf numFmtId="3" fontId="131" fillId="33" borderId="1" xfId="1" applyNumberFormat="1" applyFont="1" applyFill="1" applyBorder="1" applyAlignment="1" applyProtection="1">
      <protection locked="0"/>
    </xf>
    <xf numFmtId="0" fontId="132" fillId="11" borderId="100" xfId="0" applyFont="1" applyFill="1" applyBorder="1"/>
    <xf numFmtId="0" fontId="132" fillId="11" borderId="101" xfId="0" applyFont="1" applyFill="1" applyBorder="1"/>
    <xf numFmtId="0" fontId="4" fillId="0" borderId="0" xfId="0" applyFont="1"/>
    <xf numFmtId="10" fontId="4" fillId="33" borderId="100" xfId="0" applyNumberFormat="1" applyFont="1" applyFill="1" applyBorder="1" applyProtection="1">
      <protection locked="0"/>
    </xf>
    <xf numFmtId="3" fontId="4" fillId="0" borderId="101" xfId="1" applyNumberFormat="1" applyFont="1" applyBorder="1" applyProtection="1"/>
    <xf numFmtId="10" fontId="4" fillId="33" borderId="102" xfId="0" applyNumberFormat="1" applyFont="1" applyFill="1" applyBorder="1" applyProtection="1">
      <protection locked="0"/>
    </xf>
    <xf numFmtId="3" fontId="4" fillId="0" borderId="103" xfId="1" applyNumberFormat="1" applyFont="1" applyBorder="1" applyProtection="1"/>
    <xf numFmtId="10" fontId="4" fillId="33" borderId="104" xfId="0" applyNumberFormat="1" applyFont="1" applyFill="1" applyBorder="1" applyProtection="1">
      <protection locked="0"/>
    </xf>
    <xf numFmtId="3" fontId="4" fillId="0" borderId="105" xfId="1" applyNumberFormat="1" applyFont="1" applyBorder="1" applyProtection="1"/>
    <xf numFmtId="0" fontId="38" fillId="0" borderId="0" xfId="0" applyFont="1" applyAlignment="1">
      <alignment horizontal="center"/>
    </xf>
    <xf numFmtId="10" fontId="133" fillId="7" borderId="104" xfId="0" applyNumberFormat="1" applyFont="1" applyFill="1" applyBorder="1"/>
    <xf numFmtId="3" fontId="4" fillId="7" borderId="105" xfId="1" applyNumberFormat="1" applyFont="1" applyFill="1" applyBorder="1" applyProtection="1"/>
    <xf numFmtId="3" fontId="131" fillId="33" borderId="7" xfId="0" applyNumberFormat="1" applyFont="1" applyFill="1" applyBorder="1" applyProtection="1">
      <protection locked="0"/>
    </xf>
    <xf numFmtId="3" fontId="131" fillId="33" borderId="12" xfId="1" applyNumberFormat="1" applyFont="1" applyFill="1" applyBorder="1" applyAlignment="1" applyProtection="1">
      <protection locked="0"/>
    </xf>
    <xf numFmtId="3" fontId="70" fillId="6" borderId="0" xfId="1" applyNumberFormat="1" applyFont="1" applyFill="1" applyBorder="1" applyAlignment="1" applyProtection="1"/>
    <xf numFmtId="0" fontId="134" fillId="0" borderId="0" xfId="0" applyFont="1"/>
    <xf numFmtId="3" fontId="131" fillId="33" borderId="7" xfId="1" applyNumberFormat="1" applyFont="1" applyFill="1" applyBorder="1" applyAlignment="1" applyProtection="1">
      <protection locked="0"/>
    </xf>
    <xf numFmtId="0" fontId="4" fillId="6" borderId="0" xfId="0" applyFont="1" applyFill="1"/>
    <xf numFmtId="0" fontId="70" fillId="6" borderId="0" xfId="0" applyFont="1" applyFill="1" applyAlignment="1">
      <alignment horizontal="left"/>
    </xf>
    <xf numFmtId="0" fontId="70" fillId="6" borderId="0" xfId="0" applyFont="1" applyFill="1"/>
    <xf numFmtId="3" fontId="4" fillId="33" borderId="1" xfId="0" applyNumberFormat="1" applyFont="1" applyFill="1" applyBorder="1" applyProtection="1">
      <protection locked="0"/>
    </xf>
    <xf numFmtId="0" fontId="4" fillId="0" borderId="0" xfId="0" applyFont="1" applyAlignment="1">
      <alignment horizontal="center"/>
    </xf>
    <xf numFmtId="10" fontId="4" fillId="7" borderId="100" xfId="0" applyNumberFormat="1" applyFont="1" applyFill="1" applyBorder="1"/>
    <xf numFmtId="3" fontId="4" fillId="7" borderId="101" xfId="1" applyNumberFormat="1" applyFont="1" applyFill="1" applyBorder="1" applyAlignment="1" applyProtection="1"/>
    <xf numFmtId="3" fontId="4" fillId="0" borderId="0" xfId="0" applyNumberFormat="1" applyFont="1"/>
    <xf numFmtId="0" fontId="70" fillId="0" borderId="0" xfId="0" applyFont="1" applyAlignment="1">
      <alignment horizontal="left"/>
    </xf>
    <xf numFmtId="3" fontId="131" fillId="33" borderId="16" xfId="0" applyNumberFormat="1" applyFont="1" applyFill="1" applyBorder="1" applyProtection="1">
      <protection locked="0"/>
    </xf>
    <xf numFmtId="3" fontId="131" fillId="33" borderId="16" xfId="1" applyNumberFormat="1" applyFont="1" applyFill="1" applyBorder="1" applyAlignment="1" applyProtection="1">
      <protection locked="0"/>
    </xf>
    <xf numFmtId="0" fontId="4" fillId="0" borderId="56" xfId="0" applyFont="1" applyBorder="1" applyAlignment="1">
      <alignment horizontal="center"/>
    </xf>
    <xf numFmtId="3" fontId="131" fillId="33" borderId="17" xfId="1" applyNumberFormat="1" applyFont="1" applyFill="1" applyBorder="1" applyAlignment="1" applyProtection="1">
      <protection locked="0"/>
    </xf>
    <xf numFmtId="3" fontId="131" fillId="33" borderId="11" xfId="1" applyNumberFormat="1" applyFont="1" applyFill="1" applyBorder="1" applyAlignment="1" applyProtection="1">
      <protection locked="0"/>
    </xf>
    <xf numFmtId="3" fontId="38" fillId="0" borderId="0" xfId="15" applyFont="1" applyFill="1" applyBorder="1" applyAlignment="1" applyProtection="1">
      <alignment horizontal="center"/>
    </xf>
    <xf numFmtId="3" fontId="4" fillId="0" borderId="0" xfId="15" applyFont="1" applyFill="1" applyBorder="1" applyAlignment="1" applyProtection="1">
      <alignment horizontal="center" vertical="top" wrapText="1"/>
    </xf>
    <xf numFmtId="3" fontId="4" fillId="0" borderId="0" xfId="15" applyFont="1" applyFill="1" applyBorder="1" applyAlignment="1" applyProtection="1"/>
    <xf numFmtId="3" fontId="45" fillId="57" borderId="0" xfId="0" applyNumberFormat="1" applyFont="1" applyFill="1"/>
    <xf numFmtId="3" fontId="139" fillId="6" borderId="0" xfId="0" applyNumberFormat="1" applyFont="1" applyFill="1"/>
    <xf numFmtId="3" fontId="134" fillId="6" borderId="0" xfId="0" applyNumberFormat="1" applyFont="1" applyFill="1"/>
    <xf numFmtId="3" fontId="4" fillId="6" borderId="0" xfId="15" applyFont="1" applyFill="1" applyBorder="1" applyAlignment="1" applyProtection="1"/>
    <xf numFmtId="3" fontId="4" fillId="0" borderId="0" xfId="0" applyNumberFormat="1" applyFont="1" applyAlignment="1">
      <alignment horizontal="center"/>
    </xf>
    <xf numFmtId="3" fontId="70" fillId="9" borderId="0" xfId="0" applyNumberFormat="1" applyFont="1" applyFill="1"/>
    <xf numFmtId="0" fontId="4" fillId="0" borderId="10" xfId="0" applyFont="1" applyBorder="1" applyAlignment="1">
      <alignment horizontal="center"/>
    </xf>
    <xf numFmtId="3" fontId="131" fillId="33" borderId="1" xfId="10" applyFont="1" applyFill="1" applyBorder="1" applyAlignment="1" applyProtection="1">
      <protection locked="0"/>
    </xf>
    <xf numFmtId="3" fontId="131" fillId="7" borderId="1" xfId="10" applyFont="1" applyFill="1" applyBorder="1" applyAlignment="1" applyProtection="1">
      <protection locked="0"/>
    </xf>
    <xf numFmtId="3" fontId="131" fillId="33" borderId="3" xfId="0" applyNumberFormat="1" applyFont="1" applyFill="1" applyBorder="1" applyProtection="1">
      <protection locked="0"/>
    </xf>
    <xf numFmtId="3" fontId="135" fillId="33" borderId="1" xfId="0" applyNumberFormat="1" applyFont="1" applyFill="1" applyBorder="1" applyProtection="1">
      <protection locked="0"/>
    </xf>
    <xf numFmtId="3" fontId="135" fillId="33" borderId="18" xfId="0" applyNumberFormat="1" applyFont="1" applyFill="1" applyBorder="1" applyProtection="1">
      <protection locked="0"/>
    </xf>
    <xf numFmtId="3" fontId="135" fillId="33" borderId="10" xfId="1" applyNumberFormat="1" applyFont="1" applyFill="1" applyBorder="1" applyAlignment="1" applyProtection="1">
      <protection locked="0"/>
    </xf>
    <xf numFmtId="3" fontId="131" fillId="33" borderId="14" xfId="1" applyNumberFormat="1" applyFont="1" applyFill="1" applyBorder="1" applyAlignment="1" applyProtection="1">
      <protection locked="0"/>
    </xf>
    <xf numFmtId="0" fontId="131" fillId="33" borderId="7" xfId="0" applyFont="1" applyFill="1" applyBorder="1" applyProtection="1">
      <protection locked="0"/>
    </xf>
    <xf numFmtId="0" fontId="131" fillId="33" borderId="17" xfId="0" applyFont="1" applyFill="1" applyBorder="1" applyProtection="1">
      <protection locked="0"/>
    </xf>
    <xf numFmtId="0" fontId="131" fillId="33" borderId="16" xfId="0" applyFont="1" applyFill="1" applyBorder="1" applyProtection="1">
      <protection locked="0"/>
    </xf>
    <xf numFmtId="3" fontId="135" fillId="33" borderId="74" xfId="1" applyNumberFormat="1" applyFont="1" applyFill="1" applyBorder="1" applyAlignment="1" applyProtection="1">
      <protection locked="0"/>
    </xf>
    <xf numFmtId="0" fontId="131" fillId="33" borderId="18" xfId="0" applyFont="1" applyFill="1" applyBorder="1" applyProtection="1">
      <protection locked="0"/>
    </xf>
    <xf numFmtId="0" fontId="131" fillId="33" borderId="14" xfId="0" applyFont="1" applyFill="1" applyBorder="1" applyAlignment="1" applyProtection="1">
      <alignment horizontal="left"/>
      <protection locked="0"/>
    </xf>
    <xf numFmtId="0" fontId="131" fillId="33" borderId="15" xfId="0" applyFont="1" applyFill="1" applyBorder="1" applyProtection="1">
      <protection locked="0"/>
    </xf>
    <xf numFmtId="0" fontId="131" fillId="33" borderId="14" xfId="0" applyFont="1" applyFill="1" applyBorder="1" applyProtection="1">
      <protection locked="0"/>
    </xf>
    <xf numFmtId="0" fontId="131" fillId="11" borderId="17" xfId="0" applyFont="1" applyFill="1" applyBorder="1"/>
    <xf numFmtId="0" fontId="131" fillId="11" borderId="7" xfId="0" applyFont="1" applyFill="1" applyBorder="1"/>
    <xf numFmtId="0" fontId="4" fillId="0" borderId="122" xfId="0" applyFont="1" applyBorder="1" applyAlignment="1">
      <alignment horizontal="center"/>
    </xf>
    <xf numFmtId="3" fontId="131" fillId="33" borderId="24" xfId="0" applyNumberFormat="1" applyFont="1" applyFill="1" applyBorder="1" applyProtection="1">
      <protection locked="0"/>
    </xf>
    <xf numFmtId="3" fontId="131" fillId="33" borderId="24" xfId="1" applyNumberFormat="1" applyFont="1" applyFill="1" applyBorder="1" applyAlignment="1" applyProtection="1">
      <protection locked="0"/>
    </xf>
    <xf numFmtId="3" fontId="131" fillId="33" borderId="123" xfId="1" applyNumberFormat="1" applyFont="1" applyFill="1" applyBorder="1" applyAlignment="1" applyProtection="1">
      <protection locked="0"/>
    </xf>
    <xf numFmtId="0" fontId="4" fillId="33" borderId="14" xfId="0" applyFont="1" applyFill="1" applyBorder="1" applyProtection="1">
      <protection locked="0"/>
    </xf>
    <xf numFmtId="3" fontId="131" fillId="33" borderId="14" xfId="0" applyNumberFormat="1" applyFont="1" applyFill="1" applyBorder="1" applyProtection="1">
      <protection locked="0"/>
    </xf>
    <xf numFmtId="3" fontId="135" fillId="33" borderId="1" xfId="1" applyNumberFormat="1" applyFont="1" applyFill="1" applyBorder="1" applyAlignment="1" applyProtection="1">
      <protection locked="0"/>
    </xf>
    <xf numFmtId="3" fontId="142" fillId="33" borderId="1" xfId="15" applyFont="1" applyFill="1" applyBorder="1" applyAlignment="1" applyProtection="1">
      <alignment horizontal="center"/>
      <protection locked="0"/>
    </xf>
    <xf numFmtId="0" fontId="131" fillId="11" borderId="18" xfId="0" applyFont="1" applyFill="1" applyBorder="1" applyAlignment="1">
      <alignment wrapText="1"/>
    </xf>
    <xf numFmtId="3" fontId="135" fillId="33" borderId="13" xfId="1" applyNumberFormat="1" applyFont="1" applyFill="1" applyBorder="1" applyAlignment="1" applyProtection="1">
      <protection locked="0"/>
    </xf>
    <xf numFmtId="3" fontId="70" fillId="10" borderId="10" xfId="1" applyNumberFormat="1" applyFont="1" applyFill="1" applyBorder="1" applyAlignment="1" applyProtection="1"/>
    <xf numFmtId="3" fontId="70" fillId="10" borderId="76" xfId="1" applyNumberFormat="1" applyFont="1" applyFill="1" applyBorder="1" applyAlignment="1" applyProtection="1"/>
    <xf numFmtId="0" fontId="131" fillId="33" borderId="95" xfId="0" applyFont="1" applyFill="1" applyBorder="1" applyProtection="1">
      <protection locked="0"/>
    </xf>
    <xf numFmtId="3" fontId="135" fillId="33" borderId="75" xfId="1" applyNumberFormat="1" applyFont="1" applyFill="1" applyBorder="1" applyAlignment="1" applyProtection="1">
      <protection locked="0"/>
    </xf>
    <xf numFmtId="0" fontId="131" fillId="33" borderId="4" xfId="0" applyFont="1" applyFill="1" applyBorder="1" applyProtection="1">
      <protection locked="0"/>
    </xf>
    <xf numFmtId="3" fontId="135" fillId="33" borderId="5" xfId="1" applyNumberFormat="1" applyFont="1" applyFill="1" applyBorder="1" applyAlignment="1" applyProtection="1">
      <protection locked="0"/>
    </xf>
    <xf numFmtId="3" fontId="135" fillId="33" borderId="26" xfId="0" applyNumberFormat="1" applyFont="1" applyFill="1" applyBorder="1" applyProtection="1">
      <protection locked="0"/>
    </xf>
    <xf numFmtId="3" fontId="131" fillId="33" borderId="26" xfId="1" applyNumberFormat="1" applyFont="1" applyFill="1" applyBorder="1" applyAlignment="1" applyProtection="1">
      <alignment shrinkToFit="1"/>
      <protection locked="0"/>
    </xf>
    <xf numFmtId="0" fontId="131" fillId="11" borderId="4" xfId="0" applyFont="1" applyFill="1" applyBorder="1"/>
    <xf numFmtId="0" fontId="4" fillId="0" borderId="0" xfId="0" applyFont="1" applyAlignment="1">
      <alignment horizontal="left"/>
    </xf>
    <xf numFmtId="0" fontId="30" fillId="0" borderId="0" xfId="0" applyFont="1" applyAlignment="1">
      <alignment horizontal="left"/>
    </xf>
    <xf numFmtId="3" fontId="131" fillId="7" borderId="1" xfId="1" applyNumberFormat="1" applyFont="1" applyFill="1" applyBorder="1" applyAlignment="1" applyProtection="1"/>
    <xf numFmtId="3" fontId="131" fillId="7" borderId="1" xfId="10" applyFont="1" applyFill="1" applyBorder="1" applyAlignment="1"/>
    <xf numFmtId="3" fontId="43" fillId="33" borderId="1" xfId="10" applyFont="1" applyFill="1" applyBorder="1" applyAlignment="1" applyProtection="1">
      <protection locked="0"/>
    </xf>
    <xf numFmtId="3" fontId="101" fillId="33" borderId="1" xfId="10" applyFont="1" applyFill="1" applyBorder="1" applyAlignment="1" applyProtection="1">
      <protection locked="0"/>
    </xf>
    <xf numFmtId="3" fontId="4" fillId="7" borderId="1" xfId="0" applyNumberFormat="1" applyFont="1" applyFill="1" applyBorder="1" applyAlignment="1" applyProtection="1">
      <alignment wrapText="1"/>
      <protection locked="0"/>
    </xf>
    <xf numFmtId="3" fontId="135" fillId="33" borderId="1" xfId="10" applyFont="1" applyFill="1" applyBorder="1" applyAlignment="1" applyProtection="1">
      <protection locked="0"/>
    </xf>
    <xf numFmtId="3" fontId="4" fillId="7" borderId="1" xfId="0" applyNumberFormat="1" applyFont="1" applyFill="1" applyBorder="1" applyProtection="1">
      <protection locked="0"/>
    </xf>
    <xf numFmtId="3" fontId="131" fillId="33" borderId="13" xfId="0" applyNumberFormat="1" applyFont="1" applyFill="1" applyBorder="1" applyProtection="1">
      <protection locked="0"/>
    </xf>
    <xf numFmtId="3" fontId="4" fillId="0" borderId="0" xfId="15" applyFont="1" applyFill="1" applyBorder="1" applyAlignment="1" applyProtection="1">
      <alignment horizontal="left"/>
    </xf>
    <xf numFmtId="3" fontId="38" fillId="0" borderId="0" xfId="15" applyFont="1" applyFill="1" applyBorder="1" applyAlignment="1" applyProtection="1"/>
    <xf numFmtId="3" fontId="38" fillId="0" borderId="0" xfId="15" applyFont="1" applyFill="1" applyBorder="1" applyAlignment="1" applyProtection="1">
      <alignment horizontal="left"/>
    </xf>
    <xf numFmtId="0" fontId="132" fillId="11" borderId="102" xfId="0" applyFont="1" applyFill="1" applyBorder="1" applyAlignment="1">
      <alignment horizontal="center"/>
    </xf>
    <xf numFmtId="0" fontId="132" fillId="11" borderId="103" xfId="0" applyFont="1" applyFill="1" applyBorder="1" applyAlignment="1">
      <alignment horizontal="center"/>
    </xf>
    <xf numFmtId="3" fontId="131" fillId="33" borderId="11" xfId="0" applyNumberFormat="1" applyFont="1" applyFill="1" applyBorder="1" applyProtection="1">
      <protection locked="0"/>
    </xf>
    <xf numFmtId="3" fontId="143" fillId="33" borderId="1" xfId="1" applyNumberFormat="1" applyFont="1" applyFill="1" applyBorder="1" applyAlignment="1" applyProtection="1">
      <protection locked="0"/>
    </xf>
    <xf numFmtId="3" fontId="131" fillId="33" borderId="13" xfId="1" applyNumberFormat="1" applyFont="1" applyFill="1" applyBorder="1" applyAlignment="1" applyProtection="1">
      <protection locked="0"/>
    </xf>
    <xf numFmtId="0" fontId="132" fillId="11" borderId="107" xfId="0" applyFont="1" applyFill="1" applyBorder="1" applyAlignment="1">
      <alignment horizontal="center"/>
    </xf>
    <xf numFmtId="0" fontId="4" fillId="33" borderId="118" xfId="0" applyFont="1" applyFill="1" applyBorder="1" applyAlignment="1" applyProtection="1">
      <alignment horizontal="left"/>
      <protection locked="0"/>
    </xf>
    <xf numFmtId="0" fontId="4" fillId="33" borderId="119" xfId="0" applyFont="1" applyFill="1" applyBorder="1" applyAlignment="1" applyProtection="1">
      <alignment horizontal="left"/>
      <protection locked="0"/>
    </xf>
    <xf numFmtId="0" fontId="4" fillId="33" borderId="120" xfId="0" applyFont="1" applyFill="1" applyBorder="1" applyAlignment="1" applyProtection="1">
      <alignment horizontal="left"/>
      <protection locked="0"/>
    </xf>
    <xf numFmtId="0" fontId="4" fillId="33" borderId="77" xfId="0" applyFont="1" applyFill="1" applyBorder="1" applyAlignment="1" applyProtection="1">
      <alignment horizontal="left"/>
      <protection locked="0"/>
    </xf>
    <xf numFmtId="0" fontId="4" fillId="33" borderId="126" xfId="0" applyFont="1" applyFill="1" applyBorder="1" applyAlignment="1" applyProtection="1">
      <alignment horizontal="left"/>
      <protection locked="0"/>
    </xf>
    <xf numFmtId="0" fontId="4" fillId="33" borderId="1" xfId="0" applyFont="1" applyFill="1" applyBorder="1" applyAlignment="1" applyProtection="1">
      <alignment horizontal="left"/>
      <protection locked="0"/>
    </xf>
    <xf numFmtId="0" fontId="4" fillId="33" borderId="13" xfId="0" applyFont="1" applyFill="1" applyBorder="1" applyAlignment="1" applyProtection="1">
      <alignment horizontal="left"/>
      <protection locked="0"/>
    </xf>
    <xf numFmtId="0" fontId="4" fillId="33" borderId="89" xfId="0" applyFont="1" applyFill="1" applyBorder="1" applyAlignment="1" applyProtection="1">
      <alignment horizontal="left"/>
      <protection locked="0"/>
    </xf>
    <xf numFmtId="0" fontId="4" fillId="33" borderId="121" xfId="0" applyFont="1" applyFill="1" applyBorder="1" applyAlignment="1" applyProtection="1">
      <alignment horizontal="left"/>
      <protection locked="0"/>
    </xf>
    <xf numFmtId="0" fontId="4" fillId="33" borderId="22" xfId="0" applyFont="1" applyFill="1" applyBorder="1" applyAlignment="1" applyProtection="1">
      <alignment horizontal="left"/>
      <protection locked="0"/>
    </xf>
    <xf numFmtId="0" fontId="4" fillId="33" borderId="127" xfId="0" applyFont="1" applyFill="1" applyBorder="1" applyAlignment="1" applyProtection="1">
      <alignment horizontal="left"/>
      <protection locked="0"/>
    </xf>
    <xf numFmtId="0" fontId="4" fillId="33" borderId="124" xfId="0" applyFont="1" applyFill="1" applyBorder="1" applyAlignment="1" applyProtection="1">
      <alignment horizontal="left"/>
      <protection locked="0"/>
    </xf>
    <xf numFmtId="0" fontId="4" fillId="33" borderId="125" xfId="0" applyFont="1" applyFill="1" applyBorder="1" applyAlignment="1" applyProtection="1">
      <alignment horizontal="left"/>
      <protection locked="0"/>
    </xf>
    <xf numFmtId="3" fontId="4" fillId="33" borderId="77" xfId="15" applyFont="1" applyFill="1" applyBorder="1" applyAlignment="1" applyProtection="1">
      <alignment horizontal="left"/>
      <protection locked="0"/>
    </xf>
    <xf numFmtId="3" fontId="4" fillId="33" borderId="125" xfId="15" applyFont="1" applyFill="1" applyBorder="1" applyAlignment="1" applyProtection="1">
      <alignment horizontal="left"/>
      <protection locked="0"/>
    </xf>
    <xf numFmtId="3" fontId="4" fillId="33" borderId="126" xfId="15" applyFont="1" applyFill="1" applyBorder="1" applyAlignment="1" applyProtection="1">
      <alignment horizontal="left"/>
      <protection locked="0"/>
    </xf>
    <xf numFmtId="3" fontId="0" fillId="55" borderId="130" xfId="0" applyNumberFormat="1" applyFill="1" applyBorder="1" applyAlignment="1">
      <alignment horizontal="right" wrapText="1"/>
    </xf>
    <xf numFmtId="1" fontId="105" fillId="55" borderId="130" xfId="0" applyNumberFormat="1" applyFont="1" applyFill="1" applyBorder="1" applyAlignment="1">
      <alignment horizontal="right" wrapText="1"/>
    </xf>
    <xf numFmtId="3" fontId="3" fillId="7" borderId="131" xfId="2" applyNumberFormat="1" applyFont="1" applyFill="1" applyBorder="1" applyAlignment="1" applyProtection="1"/>
    <xf numFmtId="3" fontId="19" fillId="16" borderId="132" xfId="2" applyNumberFormat="1" applyFont="1" applyFill="1" applyBorder="1" applyAlignment="1" applyProtection="1"/>
    <xf numFmtId="1" fontId="66" fillId="10" borderId="35" xfId="0" applyNumberFormat="1" applyFont="1" applyFill="1" applyBorder="1"/>
    <xf numFmtId="0" fontId="89" fillId="0" borderId="0" xfId="21" applyFont="1"/>
    <xf numFmtId="3" fontId="66" fillId="0" borderId="32" xfId="0" applyNumberFormat="1" applyFont="1" applyBorder="1"/>
    <xf numFmtId="3" fontId="66" fillId="0" borderId="36" xfId="0" applyNumberFormat="1" applyFont="1" applyBorder="1"/>
    <xf numFmtId="0" fontId="86" fillId="0" borderId="32" xfId="45" applyFont="1" applyBorder="1"/>
    <xf numFmtId="3" fontId="86" fillId="0" borderId="0" xfId="45" applyNumberFormat="1" applyFont="1"/>
    <xf numFmtId="3" fontId="87" fillId="0" borderId="37" xfId="45" applyNumberFormat="1" applyFont="1" applyBorder="1"/>
    <xf numFmtId="3" fontId="66" fillId="0" borderId="33" xfId="0" applyNumberFormat="1" applyFont="1" applyBorder="1"/>
    <xf numFmtId="3" fontId="148" fillId="10" borderId="37" xfId="45" applyNumberFormat="1" applyFont="1" applyFill="1" applyBorder="1"/>
    <xf numFmtId="0" fontId="75" fillId="6" borderId="0" xfId="45" applyFill="1"/>
    <xf numFmtId="0" fontId="101" fillId="33" borderId="1" xfId="0" applyFont="1" applyFill="1" applyBorder="1" applyAlignment="1" applyProtection="1">
      <alignment horizontal="right"/>
      <protection locked="0"/>
    </xf>
    <xf numFmtId="0" fontId="101" fillId="33" borderId="1" xfId="0" applyFont="1" applyFill="1" applyBorder="1" applyAlignment="1" applyProtection="1">
      <alignment horizontal="right" wrapText="1"/>
      <protection locked="0"/>
    </xf>
    <xf numFmtId="0" fontId="101" fillId="33" borderId="128" xfId="0" applyFont="1" applyFill="1" applyBorder="1" applyAlignment="1" applyProtection="1">
      <alignment horizontal="right" wrapText="1"/>
      <protection locked="0"/>
    </xf>
    <xf numFmtId="164" fontId="75" fillId="0" borderId="0" xfId="174" applyFont="1"/>
    <xf numFmtId="0" fontId="75" fillId="41" borderId="0" xfId="45" applyFill="1"/>
    <xf numFmtId="0" fontId="79" fillId="41" borderId="0" xfId="45" applyFont="1" applyFill="1"/>
    <xf numFmtId="4" fontId="75" fillId="0" borderId="0" xfId="45" applyNumberFormat="1"/>
    <xf numFmtId="3" fontId="79" fillId="0" borderId="0" xfId="45" applyNumberFormat="1" applyFont="1"/>
    <xf numFmtId="4" fontId="84" fillId="0" borderId="0" xfId="46" applyNumberFormat="1" applyFont="1" applyFill="1" applyBorder="1" applyAlignment="1"/>
    <xf numFmtId="2" fontId="68" fillId="0" borderId="0" xfId="0" applyNumberFormat="1" applyFont="1"/>
    <xf numFmtId="3" fontId="66" fillId="0" borderId="43" xfId="0" applyNumberFormat="1" applyFont="1" applyBorder="1"/>
    <xf numFmtId="0" fontId="147" fillId="0" borderId="40" xfId="45" applyFont="1" applyBorder="1" applyAlignment="1">
      <alignment wrapText="1"/>
    </xf>
    <xf numFmtId="3" fontId="148" fillId="0" borderId="37" xfId="45" applyNumberFormat="1" applyFont="1" applyBorder="1"/>
    <xf numFmtId="0" fontId="147" fillId="0" borderId="40" xfId="45" applyFont="1" applyBorder="1"/>
    <xf numFmtId="0" fontId="147" fillId="0" borderId="0" xfId="45" applyFont="1"/>
    <xf numFmtId="3" fontId="148" fillId="0" borderId="0" xfId="45" applyNumberFormat="1" applyFont="1"/>
    <xf numFmtId="2" fontId="116" fillId="0" borderId="0" xfId="0" applyNumberFormat="1" applyFont="1" applyAlignment="1">
      <alignment horizontal="right"/>
    </xf>
    <xf numFmtId="0" fontId="116" fillId="0" borderId="0" xfId="0" applyFont="1"/>
    <xf numFmtId="3" fontId="70" fillId="18" borderId="0" xfId="15" applyFont="1" applyFill="1" applyBorder="1" applyAlignment="1" applyProtection="1"/>
    <xf numFmtId="3" fontId="4" fillId="33" borderId="47" xfId="15" applyFont="1" applyFill="1" applyBorder="1" applyAlignment="1" applyProtection="1">
      <protection locked="0"/>
    </xf>
    <xf numFmtId="3" fontId="4" fillId="3" borderId="134" xfId="15" applyFont="1" applyFill="1" applyBorder="1" applyAlignment="1" applyProtection="1">
      <alignment horizontal="center" vertical="center" wrapText="1"/>
    </xf>
    <xf numFmtId="1" fontId="109" fillId="3" borderId="0" xfId="15" applyNumberFormat="1" applyFont="1" applyFill="1" applyBorder="1" applyAlignment="1" applyProtection="1">
      <alignment horizontal="center" vertical="center" wrapText="1"/>
    </xf>
    <xf numFmtId="0" fontId="2" fillId="11" borderId="0" xfId="0" applyFont="1" applyFill="1" applyAlignment="1">
      <alignment horizontal="center" wrapText="1"/>
    </xf>
    <xf numFmtId="3" fontId="4" fillId="33" borderId="47" xfId="15" applyFont="1" applyFill="1" applyBorder="1" applyAlignment="1" applyProtection="1">
      <alignment horizontal="left"/>
      <protection locked="0"/>
    </xf>
    <xf numFmtId="3" fontId="4" fillId="11" borderId="44" xfId="15" applyFont="1" applyFill="1" applyBorder="1" applyAlignment="1" applyProtection="1">
      <alignment horizontal="center"/>
    </xf>
    <xf numFmtId="0" fontId="2" fillId="11" borderId="55" xfId="0" applyFont="1" applyFill="1" applyBorder="1" applyAlignment="1">
      <alignment horizontal="center" wrapText="1"/>
    </xf>
    <xf numFmtId="4" fontId="64" fillId="10" borderId="135" xfId="15" applyNumberFormat="1" applyFont="1" applyFill="1" applyBorder="1" applyAlignment="1" applyProtection="1"/>
    <xf numFmtId="4" fontId="64" fillId="10" borderId="136" xfId="15" applyNumberFormat="1" applyFont="1" applyFill="1" applyBorder="1" applyAlignment="1" applyProtection="1"/>
    <xf numFmtId="3" fontId="101" fillId="0" borderId="0" xfId="15" applyFont="1" applyFill="1" applyBorder="1" applyAlignment="1" applyProtection="1"/>
    <xf numFmtId="3" fontId="116" fillId="10" borderId="36" xfId="0" applyNumberFormat="1" applyFont="1" applyFill="1" applyBorder="1"/>
    <xf numFmtId="2" fontId="79" fillId="0" borderId="0" xfId="45" applyNumberFormat="1" applyFont="1"/>
    <xf numFmtId="0" fontId="66" fillId="6" borderId="0" xfId="0" applyFont="1" applyFill="1"/>
    <xf numFmtId="0" fontId="0" fillId="0" borderId="25" xfId="0" applyBorder="1" applyAlignment="1">
      <alignment vertical="top" wrapText="1"/>
    </xf>
    <xf numFmtId="0" fontId="97" fillId="0" borderId="0" xfId="45" applyFont="1"/>
    <xf numFmtId="0" fontId="152" fillId="0" borderId="0" xfId="45" applyFont="1"/>
    <xf numFmtId="0" fontId="97" fillId="0" borderId="0" xfId="45" applyFont="1" applyAlignment="1">
      <alignment wrapText="1"/>
    </xf>
    <xf numFmtId="177" fontId="97" fillId="0" borderId="0" xfId="45" applyNumberFormat="1" applyFont="1" applyAlignment="1">
      <alignment horizontal="left"/>
    </xf>
    <xf numFmtId="0" fontId="97" fillId="0" borderId="0" xfId="46" applyNumberFormat="1" applyFont="1"/>
    <xf numFmtId="4" fontId="97" fillId="30" borderId="27" xfId="46" applyNumberFormat="1" applyFont="1" applyFill="1" applyBorder="1" applyAlignment="1"/>
    <xf numFmtId="4" fontId="97" fillId="33" borderId="27" xfId="46" applyNumberFormat="1" applyFont="1" applyFill="1" applyBorder="1" applyAlignment="1" applyProtection="1">
      <protection locked="0"/>
    </xf>
    <xf numFmtId="4" fontId="97" fillId="30" borderId="29" xfId="46" applyNumberFormat="1" applyFont="1" applyFill="1" applyBorder="1" applyAlignment="1"/>
    <xf numFmtId="4" fontId="97" fillId="33" borderId="29" xfId="46" applyNumberFormat="1" applyFont="1" applyFill="1" applyBorder="1" applyAlignment="1" applyProtection="1">
      <protection locked="0"/>
    </xf>
    <xf numFmtId="4" fontId="97" fillId="30" borderId="27" xfId="46" applyNumberFormat="1" applyFont="1" applyFill="1" applyBorder="1" applyAlignment="1" applyProtection="1">
      <protection locked="0"/>
    </xf>
    <xf numFmtId="4" fontId="97" fillId="33" borderId="78" xfId="46" applyNumberFormat="1" applyFont="1" applyFill="1" applyBorder="1" applyAlignment="1" applyProtection="1">
      <protection locked="0"/>
    </xf>
    <xf numFmtId="4" fontId="97" fillId="30" borderId="30" xfId="46" applyNumberFormat="1" applyFont="1" applyFill="1" applyBorder="1" applyAlignment="1"/>
    <xf numFmtId="4" fontId="97" fillId="7" borderId="30" xfId="46" applyNumberFormat="1" applyFont="1" applyFill="1" applyBorder="1" applyAlignment="1"/>
    <xf numFmtId="3" fontId="152" fillId="6" borderId="0" xfId="45" applyNumberFormat="1" applyFont="1" applyFill="1" applyAlignment="1">
      <alignment horizontal="left"/>
    </xf>
    <xf numFmtId="4" fontId="97" fillId="0" borderId="0" xfId="45" applyNumberFormat="1" applyFont="1"/>
    <xf numFmtId="3" fontId="153" fillId="33" borderId="91" xfId="0" applyNumberFormat="1" applyFont="1" applyFill="1" applyBorder="1" applyProtection="1">
      <protection locked="0"/>
    </xf>
    <xf numFmtId="3" fontId="153" fillId="33" borderId="12" xfId="0" applyNumberFormat="1" applyFont="1" applyFill="1" applyBorder="1" applyProtection="1">
      <protection locked="0"/>
    </xf>
    <xf numFmtId="0" fontId="97" fillId="0" borderId="0" xfId="44" applyFont="1"/>
    <xf numFmtId="3" fontId="152" fillId="10" borderId="0" xfId="45" applyNumberFormat="1" applyFont="1" applyFill="1" applyAlignment="1">
      <alignment horizontal="left"/>
    </xf>
    <xf numFmtId="0" fontId="97" fillId="0" borderId="0" xfId="45" applyFont="1" applyAlignment="1">
      <alignment horizontal="left"/>
    </xf>
    <xf numFmtId="0" fontId="152" fillId="10" borderId="35" xfId="0" applyFont="1" applyFill="1" applyBorder="1"/>
    <xf numFmtId="3" fontId="155" fillId="6" borderId="0" xfId="45" applyNumberFormat="1" applyFont="1" applyFill="1" applyAlignment="1">
      <alignment horizontal="left"/>
    </xf>
    <xf numFmtId="4" fontId="156" fillId="0" borderId="0" xfId="45" applyNumberFormat="1" applyFont="1" applyAlignment="1">
      <alignment horizontal="left"/>
    </xf>
    <xf numFmtId="3" fontId="152" fillId="10" borderId="0" xfId="0" applyNumberFormat="1" applyFont="1" applyFill="1" applyAlignment="1">
      <alignment horizontal="left"/>
    </xf>
    <xf numFmtId="0" fontId="111" fillId="0" borderId="0" xfId="21" applyFont="1" applyAlignment="1">
      <alignment horizontal="center"/>
    </xf>
    <xf numFmtId="0" fontId="75" fillId="41" borderId="0" xfId="45" applyFill="1" applyAlignment="1">
      <alignment horizontal="center"/>
    </xf>
    <xf numFmtId="0" fontId="152" fillId="10" borderId="21" xfId="45" applyFont="1" applyFill="1" applyBorder="1"/>
    <xf numFmtId="0" fontId="152" fillId="10" borderId="0" xfId="45" applyFont="1" applyFill="1"/>
    <xf numFmtId="3" fontId="152" fillId="10" borderId="0" xfId="0" applyNumberFormat="1" applyFont="1" applyFill="1" applyAlignment="1">
      <alignment horizontal="right"/>
    </xf>
    <xf numFmtId="3" fontId="152" fillId="10" borderId="0" xfId="0" applyNumberFormat="1" applyFont="1" applyFill="1"/>
    <xf numFmtId="0" fontId="97" fillId="0" borderId="0" xfId="45" applyFont="1" applyAlignment="1">
      <alignment horizontal="center"/>
    </xf>
    <xf numFmtId="0" fontId="97" fillId="0" borderId="21" xfId="45" applyFont="1" applyBorder="1"/>
    <xf numFmtId="0" fontId="97" fillId="7" borderId="6" xfId="0" applyFont="1" applyFill="1" applyBorder="1"/>
    <xf numFmtId="3" fontId="153" fillId="33" borderId="110" xfId="0" applyNumberFormat="1" applyFont="1" applyFill="1" applyBorder="1" applyProtection="1">
      <protection locked="0"/>
    </xf>
    <xf numFmtId="3" fontId="97" fillId="7" borderId="1" xfId="0" applyNumberFormat="1" applyFont="1" applyFill="1" applyBorder="1"/>
    <xf numFmtId="3" fontId="97" fillId="7" borderId="11" xfId="0" applyNumberFormat="1" applyFont="1" applyFill="1" applyBorder="1"/>
    <xf numFmtId="0" fontId="97" fillId="10" borderId="0" xfId="45" applyFont="1" applyFill="1" applyAlignment="1">
      <alignment horizontal="center"/>
    </xf>
    <xf numFmtId="3" fontId="152" fillId="10" borderId="38" xfId="0" applyNumberFormat="1" applyFont="1" applyFill="1" applyBorder="1"/>
    <xf numFmtId="3" fontId="152" fillId="10" borderId="39" xfId="0" applyNumberFormat="1" applyFont="1" applyFill="1" applyBorder="1"/>
    <xf numFmtId="0" fontId="97" fillId="7" borderId="0" xfId="45" applyFont="1" applyFill="1" applyAlignment="1">
      <alignment horizontal="center"/>
    </xf>
    <xf numFmtId="0" fontId="152" fillId="10" borderId="0" xfId="45" applyFont="1" applyFill="1" applyAlignment="1">
      <alignment horizontal="center"/>
    </xf>
    <xf numFmtId="0" fontId="97" fillId="6" borderId="0" xfId="45" applyFont="1" applyFill="1" applyAlignment="1">
      <alignment horizontal="center"/>
    </xf>
    <xf numFmtId="0" fontId="97" fillId="6" borderId="0" xfId="45" applyFont="1" applyFill="1"/>
    <xf numFmtId="0" fontId="97" fillId="6" borderId="21" xfId="45" applyFont="1" applyFill="1" applyBorder="1"/>
    <xf numFmtId="4" fontId="152" fillId="10" borderId="0" xfId="1" applyFont="1" applyFill="1" applyBorder="1" applyAlignment="1" applyProtection="1">
      <alignment horizontal="center"/>
    </xf>
    <xf numFmtId="4" fontId="97" fillId="10" borderId="0" xfId="1" applyFont="1" applyFill="1" applyBorder="1" applyAlignment="1" applyProtection="1">
      <alignment horizontal="center"/>
    </xf>
    <xf numFmtId="4" fontId="155" fillId="30" borderId="0" xfId="1" applyFont="1" applyFill="1" applyBorder="1" applyAlignment="1" applyProtection="1">
      <alignment horizontal="center"/>
    </xf>
    <xf numFmtId="0" fontId="165" fillId="10" borderId="0" xfId="45" applyFont="1" applyFill="1"/>
    <xf numFmtId="0" fontId="152" fillId="10" borderId="133" xfId="45" applyFont="1" applyFill="1" applyBorder="1"/>
    <xf numFmtId="0" fontId="152" fillId="10" borderId="35" xfId="45" applyFont="1" applyFill="1" applyBorder="1"/>
    <xf numFmtId="0" fontId="152" fillId="10" borderId="33" xfId="45" applyFont="1" applyFill="1" applyBorder="1"/>
    <xf numFmtId="0" fontId="152" fillId="10" borderId="34" xfId="45" applyFont="1" applyFill="1" applyBorder="1"/>
    <xf numFmtId="0" fontId="166" fillId="32" borderId="72" xfId="0" applyFont="1" applyFill="1" applyBorder="1"/>
    <xf numFmtId="0" fontId="152" fillId="10" borderId="111" xfId="45" applyFont="1" applyFill="1" applyBorder="1"/>
    <xf numFmtId="0" fontId="152" fillId="10" borderId="108" xfId="45" applyFont="1" applyFill="1" applyBorder="1"/>
    <xf numFmtId="0" fontId="152" fillId="10" borderId="80" xfId="45" applyFont="1" applyFill="1" applyBorder="1"/>
    <xf numFmtId="1" fontId="152" fillId="10" borderId="80" xfId="45" applyNumberFormat="1" applyFont="1" applyFill="1" applyBorder="1"/>
    <xf numFmtId="0" fontId="152" fillId="10" borderId="86" xfId="45" applyFont="1" applyFill="1" applyBorder="1"/>
    <xf numFmtId="0" fontId="152" fillId="10" borderId="84" xfId="45" applyFont="1" applyFill="1" applyBorder="1"/>
    <xf numFmtId="0" fontId="152" fillId="10" borderId="82" xfId="45" applyFont="1" applyFill="1" applyBorder="1"/>
    <xf numFmtId="0" fontId="152" fillId="10" borderId="93" xfId="45" applyFont="1" applyFill="1" applyBorder="1"/>
    <xf numFmtId="0" fontId="152" fillId="10" borderId="92" xfId="45" applyFont="1" applyFill="1" applyBorder="1"/>
    <xf numFmtId="0" fontId="152" fillId="10" borderId="85" xfId="45" applyFont="1" applyFill="1" applyBorder="1"/>
    <xf numFmtId="3" fontId="152" fillId="10" borderId="37" xfId="0" applyNumberFormat="1" applyFont="1" applyFill="1" applyBorder="1"/>
    <xf numFmtId="3" fontId="152" fillId="10" borderId="112" xfId="0" applyNumberFormat="1" applyFont="1" applyFill="1" applyBorder="1"/>
    <xf numFmtId="3" fontId="152" fillId="10" borderId="109" xfId="0" applyNumberFormat="1" applyFont="1" applyFill="1" applyBorder="1"/>
    <xf numFmtId="3" fontId="152" fillId="10" borderId="81" xfId="0" applyNumberFormat="1" applyFont="1" applyFill="1" applyBorder="1"/>
    <xf numFmtId="3" fontId="152" fillId="10" borderId="86" xfId="0" applyNumberFormat="1" applyFont="1" applyFill="1" applyBorder="1"/>
    <xf numFmtId="3" fontId="152" fillId="10" borderId="84" xfId="0" applyNumberFormat="1" applyFont="1" applyFill="1" applyBorder="1"/>
    <xf numFmtId="3" fontId="152" fillId="10" borderId="83" xfId="0" applyNumberFormat="1" applyFont="1" applyFill="1" applyBorder="1"/>
    <xf numFmtId="3" fontId="152" fillId="10" borderId="85" xfId="0" applyNumberFormat="1" applyFont="1" applyFill="1" applyBorder="1"/>
    <xf numFmtId="0" fontId="152" fillId="10" borderId="113" xfId="45" applyFont="1" applyFill="1" applyBorder="1"/>
    <xf numFmtId="0" fontId="152" fillId="10" borderId="41" xfId="45" applyFont="1" applyFill="1" applyBorder="1"/>
    <xf numFmtId="0" fontId="152" fillId="10" borderId="42" xfId="45" applyFont="1" applyFill="1" applyBorder="1"/>
    <xf numFmtId="0" fontId="152" fillId="10" borderId="37" xfId="45" applyFont="1" applyFill="1" applyBorder="1"/>
    <xf numFmtId="0" fontId="166" fillId="32" borderId="73" xfId="0" applyFont="1" applyFill="1" applyBorder="1"/>
    <xf numFmtId="0" fontId="97" fillId="7" borderId="0" xfId="45" applyFont="1" applyFill="1"/>
    <xf numFmtId="0" fontId="97" fillId="7" borderId="21" xfId="45" applyFont="1" applyFill="1" applyBorder="1"/>
    <xf numFmtId="0" fontId="97" fillId="7" borderId="35" xfId="45" applyFont="1" applyFill="1" applyBorder="1"/>
    <xf numFmtId="0" fontId="97" fillId="31" borderId="0" xfId="0" applyFont="1" applyFill="1"/>
    <xf numFmtId="0" fontId="97" fillId="33" borderId="21" xfId="45" applyFont="1" applyFill="1" applyBorder="1" applyAlignment="1" applyProtection="1">
      <alignment horizontal="center"/>
      <protection locked="0"/>
    </xf>
    <xf numFmtId="0" fontId="97" fillId="33" borderId="54" xfId="45" applyFont="1" applyFill="1" applyBorder="1" applyAlignment="1" applyProtection="1">
      <alignment horizontal="center"/>
      <protection locked="0"/>
    </xf>
    <xf numFmtId="0" fontId="158" fillId="7" borderId="0" xfId="0" applyFont="1" applyFill="1"/>
    <xf numFmtId="4" fontId="152" fillId="10" borderId="0" xfId="46" applyNumberFormat="1" applyFont="1" applyFill="1" applyBorder="1" applyAlignment="1"/>
    <xf numFmtId="2" fontId="152" fillId="10" borderId="0" xfId="0" applyNumberFormat="1" applyFont="1" applyFill="1"/>
    <xf numFmtId="4" fontId="152" fillId="10" borderId="37" xfId="46" applyNumberFormat="1" applyFont="1" applyFill="1" applyBorder="1" applyAlignment="1"/>
    <xf numFmtId="2" fontId="152" fillId="10" borderId="37" xfId="0" applyNumberFormat="1" applyFont="1" applyFill="1" applyBorder="1"/>
    <xf numFmtId="0" fontId="110" fillId="0" borderId="0" xfId="45" applyFont="1"/>
    <xf numFmtId="0" fontId="76" fillId="0" borderId="0" xfId="45" applyFont="1"/>
    <xf numFmtId="3" fontId="152" fillId="10" borderId="137" xfId="45" applyNumberFormat="1" applyFont="1" applyFill="1" applyBorder="1"/>
    <xf numFmtId="3" fontId="97" fillId="0" borderId="0" xfId="45" applyNumberFormat="1" applyFont="1"/>
    <xf numFmtId="3" fontId="131" fillId="33" borderId="18" xfId="1" applyNumberFormat="1" applyFont="1" applyFill="1" applyBorder="1" applyAlignment="1" applyProtection="1">
      <protection locked="0"/>
    </xf>
    <xf numFmtId="3" fontId="64" fillId="10" borderId="138" xfId="0" applyNumberFormat="1" applyFont="1" applyFill="1" applyBorder="1"/>
    <xf numFmtId="3" fontId="135" fillId="33" borderId="7" xfId="1" applyNumberFormat="1" applyFont="1" applyFill="1" applyBorder="1" applyAlignment="1" applyProtection="1">
      <protection locked="0"/>
    </xf>
    <xf numFmtId="3" fontId="142" fillId="33" borderId="7" xfId="15" applyFont="1" applyFill="1" applyBorder="1" applyAlignment="1" applyProtection="1">
      <alignment horizontal="center"/>
      <protection locked="0"/>
    </xf>
    <xf numFmtId="3" fontId="135" fillId="33" borderId="18" xfId="1" applyNumberFormat="1" applyFont="1" applyFill="1" applyBorder="1" applyAlignment="1" applyProtection="1">
      <protection locked="0"/>
    </xf>
    <xf numFmtId="3" fontId="131" fillId="33" borderId="18" xfId="0" applyNumberFormat="1" applyFont="1" applyFill="1" applyBorder="1" applyProtection="1">
      <protection locked="0"/>
    </xf>
    <xf numFmtId="3" fontId="131" fillId="33" borderId="15" xfId="1" applyNumberFormat="1" applyFont="1" applyFill="1" applyBorder="1" applyAlignment="1" applyProtection="1">
      <protection locked="0"/>
    </xf>
    <xf numFmtId="0" fontId="4" fillId="0" borderId="139" xfId="0" applyFont="1" applyBorder="1" applyAlignment="1">
      <alignment horizontal="center"/>
    </xf>
    <xf numFmtId="0" fontId="4" fillId="0" borderId="140" xfId="0" applyFont="1" applyBorder="1" applyAlignment="1">
      <alignment horizontal="center"/>
    </xf>
    <xf numFmtId="0" fontId="4" fillId="0" borderId="141" xfId="0" applyFont="1" applyBorder="1" applyAlignment="1">
      <alignment horizontal="center"/>
    </xf>
    <xf numFmtId="0" fontId="4" fillId="33" borderId="0" xfId="0" applyFont="1" applyFill="1" applyProtection="1">
      <protection locked="0"/>
    </xf>
    <xf numFmtId="0" fontId="4" fillId="0" borderId="142" xfId="0" applyFont="1" applyBorder="1" applyAlignment="1">
      <alignment horizontal="center"/>
    </xf>
    <xf numFmtId="0" fontId="4" fillId="7" borderId="141" xfId="0" applyFont="1" applyFill="1" applyBorder="1" applyAlignment="1">
      <alignment horizontal="center"/>
    </xf>
    <xf numFmtId="0" fontId="42" fillId="7" borderId="0" xfId="0" applyFont="1" applyFill="1"/>
    <xf numFmtId="0" fontId="70" fillId="76" borderId="0" xfId="0" applyFont="1" applyFill="1" applyAlignment="1">
      <alignment horizontal="left"/>
    </xf>
    <xf numFmtId="0" fontId="70" fillId="76" borderId="0" xfId="0" applyFont="1" applyFill="1"/>
    <xf numFmtId="3" fontId="70" fillId="76" borderId="0" xfId="0" applyNumberFormat="1" applyFont="1" applyFill="1"/>
    <xf numFmtId="0" fontId="65" fillId="76" borderId="0" xfId="0" applyFont="1" applyFill="1" applyAlignment="1">
      <alignment horizontal="left"/>
    </xf>
    <xf numFmtId="0" fontId="65" fillId="76" borderId="0" xfId="0" applyFont="1" applyFill="1"/>
    <xf numFmtId="3" fontId="136" fillId="51" borderId="143" xfId="0" applyNumberFormat="1" applyFont="1" applyFill="1" applyBorder="1" applyProtection="1">
      <protection locked="0"/>
    </xf>
    <xf numFmtId="3" fontId="131" fillId="33" borderId="144" xfId="0" applyNumberFormat="1" applyFont="1" applyFill="1" applyBorder="1" applyProtection="1">
      <protection locked="0"/>
    </xf>
    <xf numFmtId="3" fontId="131" fillId="33" borderId="0" xfId="1" applyNumberFormat="1" applyFont="1" applyFill="1" applyBorder="1" applyAlignment="1" applyProtection="1">
      <protection locked="0"/>
    </xf>
    <xf numFmtId="3" fontId="169" fillId="78" borderId="54" xfId="0" applyNumberFormat="1" applyFont="1" applyFill="1" applyBorder="1"/>
    <xf numFmtId="3" fontId="131" fillId="33" borderId="7" xfId="10" applyFont="1" applyFill="1" applyBorder="1" applyAlignment="1" applyProtection="1">
      <protection locked="0"/>
    </xf>
    <xf numFmtId="3" fontId="135" fillId="33" borderId="7" xfId="0" applyNumberFormat="1" applyFont="1" applyFill="1" applyBorder="1" applyProtection="1">
      <protection locked="0"/>
    </xf>
    <xf numFmtId="3" fontId="4" fillId="0" borderId="142" xfId="15" applyFont="1" applyFill="1" applyBorder="1" applyAlignment="1" applyProtection="1">
      <alignment horizontal="center"/>
    </xf>
    <xf numFmtId="3" fontId="43" fillId="7" borderId="7" xfId="1" applyNumberFormat="1" applyFont="1" applyFill="1" applyBorder="1" applyAlignment="1" applyProtection="1"/>
    <xf numFmtId="3" fontId="43" fillId="7" borderId="18" xfId="1" applyNumberFormat="1" applyFont="1" applyFill="1" applyBorder="1" applyAlignment="1" applyProtection="1"/>
    <xf numFmtId="3" fontId="101" fillId="7" borderId="7" xfId="10" applyFont="1" applyFill="1" applyBorder="1" applyAlignment="1"/>
    <xf numFmtId="3" fontId="101" fillId="33" borderId="7" xfId="10" applyFont="1" applyFill="1" applyBorder="1" applyAlignment="1" applyProtection="1">
      <protection locked="0"/>
    </xf>
    <xf numFmtId="3" fontId="131" fillId="7" borderId="7" xfId="1" applyNumberFormat="1" applyFont="1" applyFill="1" applyBorder="1" applyAlignment="1" applyProtection="1"/>
    <xf numFmtId="3" fontId="131" fillId="7" borderId="7" xfId="10" applyFont="1" applyFill="1" applyBorder="1" applyAlignment="1"/>
    <xf numFmtId="3" fontId="4" fillId="0" borderId="140" xfId="15" applyFont="1" applyFill="1" applyBorder="1" applyAlignment="1" applyProtection="1">
      <alignment horizontal="center"/>
    </xf>
    <xf numFmtId="3" fontId="4" fillId="0" borderId="56" xfId="15" applyFont="1" applyFill="1" applyBorder="1" applyAlignment="1" applyProtection="1">
      <alignment horizontal="center"/>
    </xf>
    <xf numFmtId="3" fontId="70" fillId="76" borderId="0" xfId="10" applyFont="1" applyFill="1" applyBorder="1" applyAlignment="1">
      <alignment horizontal="center"/>
    </xf>
    <xf numFmtId="3" fontId="70" fillId="76" borderId="0" xfId="10" applyFont="1" applyFill="1" applyBorder="1" applyAlignment="1">
      <alignment horizontal="left"/>
    </xf>
    <xf numFmtId="3" fontId="70" fillId="76" borderId="0" xfId="10" applyFont="1" applyFill="1" applyBorder="1" applyAlignment="1"/>
    <xf numFmtId="0" fontId="70" fillId="76" borderId="0" xfId="0" applyFont="1" applyFill="1" applyAlignment="1">
      <alignment horizontal="center"/>
    </xf>
    <xf numFmtId="3" fontId="0" fillId="33" borderId="145" xfId="0" applyNumberFormat="1" applyFill="1" applyBorder="1" applyProtection="1">
      <protection locked="0"/>
    </xf>
    <xf numFmtId="3" fontId="34" fillId="33" borderId="7" xfId="1" applyNumberFormat="1" applyFont="1" applyFill="1" applyBorder="1" applyAlignment="1" applyProtection="1">
      <protection locked="0"/>
    </xf>
    <xf numFmtId="3" fontId="70" fillId="76" borderId="136" xfId="1" applyNumberFormat="1" applyFont="1" applyFill="1" applyBorder="1" applyAlignment="1" applyProtection="1"/>
    <xf numFmtId="0" fontId="132" fillId="11" borderId="136" xfId="0" applyFont="1" applyFill="1" applyBorder="1" applyAlignment="1">
      <alignment horizontal="center"/>
    </xf>
    <xf numFmtId="3" fontId="70" fillId="76" borderId="147" xfId="1" applyNumberFormat="1" applyFont="1" applyFill="1" applyBorder="1" applyAlignment="1" applyProtection="1"/>
    <xf numFmtId="3" fontId="169" fillId="78" borderId="136" xfId="0" applyNumberFormat="1" applyFont="1" applyFill="1" applyBorder="1"/>
    <xf numFmtId="3" fontId="169" fillId="78" borderId="147" xfId="0" applyNumberFormat="1" applyFont="1" applyFill="1" applyBorder="1"/>
    <xf numFmtId="3" fontId="70" fillId="10" borderId="147" xfId="1" applyNumberFormat="1" applyFont="1" applyFill="1" applyBorder="1" applyAlignment="1" applyProtection="1"/>
    <xf numFmtId="3" fontId="132" fillId="30" borderId="136" xfId="10" applyFont="1" applyFill="1" applyBorder="1" applyAlignment="1">
      <alignment horizontal="center"/>
    </xf>
    <xf numFmtId="0" fontId="4" fillId="0" borderId="136" xfId="0" applyFont="1" applyBorder="1"/>
    <xf numFmtId="3" fontId="131" fillId="33" borderId="115" xfId="1" applyNumberFormat="1" applyFont="1" applyFill="1" applyBorder="1" applyAlignment="1" applyProtection="1">
      <alignment shrinkToFit="1"/>
      <protection locked="0"/>
    </xf>
    <xf numFmtId="3" fontId="135" fillId="33" borderId="114" xfId="0" applyNumberFormat="1" applyFont="1" applyFill="1" applyBorder="1" applyProtection="1">
      <protection locked="0"/>
    </xf>
    <xf numFmtId="3" fontId="70" fillId="10" borderId="19" xfId="1" applyNumberFormat="1" applyFont="1" applyFill="1" applyBorder="1" applyAlignment="1" applyProtection="1"/>
    <xf numFmtId="3" fontId="40" fillId="0" borderId="147" xfId="1" applyNumberFormat="1" applyFont="1" applyFill="1" applyBorder="1" applyAlignment="1" applyProtection="1">
      <protection locked="0"/>
    </xf>
    <xf numFmtId="0" fontId="171" fillId="55" borderId="148" xfId="0" applyFont="1" applyFill="1" applyBorder="1"/>
    <xf numFmtId="3" fontId="3" fillId="33" borderId="47" xfId="0" applyNumberFormat="1" applyFont="1" applyFill="1" applyBorder="1" applyProtection="1">
      <protection locked="0"/>
    </xf>
    <xf numFmtId="3" fontId="3" fillId="33" borderId="147" xfId="0" applyNumberFormat="1" applyFont="1" applyFill="1" applyBorder="1" applyProtection="1">
      <protection locked="0"/>
    </xf>
    <xf numFmtId="3" fontId="101" fillId="7" borderId="149" xfId="10" applyFont="1" applyFill="1" applyBorder="1" applyAlignment="1"/>
    <xf numFmtId="0" fontId="3" fillId="0" borderId="150" xfId="0" applyFont="1" applyBorder="1" applyAlignment="1">
      <alignment vertical="top" wrapText="1"/>
    </xf>
    <xf numFmtId="0" fontId="0" fillId="0" borderId="151" xfId="0" applyBorder="1"/>
    <xf numFmtId="0" fontId="102" fillId="0" borderId="23" xfId="0" applyFont="1" applyBorder="1"/>
    <xf numFmtId="10" fontId="0" fillId="7" borderId="63" xfId="0" applyNumberFormat="1" applyFill="1" applyBorder="1" applyAlignment="1">
      <alignment horizontal="left"/>
    </xf>
    <xf numFmtId="0" fontId="4" fillId="42" borderId="0" xfId="0" applyFont="1" applyFill="1" applyAlignment="1">
      <alignment horizontal="left"/>
    </xf>
    <xf numFmtId="0" fontId="4" fillId="42" borderId="54" xfId="0" applyFont="1" applyFill="1" applyBorder="1" applyAlignment="1">
      <alignment horizontal="left"/>
    </xf>
    <xf numFmtId="4" fontId="84" fillId="0" borderId="37" xfId="46" applyNumberFormat="1" applyFont="1" applyFill="1" applyBorder="1" applyAlignment="1">
      <alignment horizontal="left"/>
    </xf>
    <xf numFmtId="0" fontId="89" fillId="0" borderId="0" xfId="21" applyFont="1" applyAlignment="1">
      <alignment horizontal="center"/>
    </xf>
    <xf numFmtId="0" fontId="4" fillId="33" borderId="0" xfId="0" applyFont="1" applyFill="1" applyAlignment="1" applyProtection="1">
      <alignment horizontal="left"/>
      <protection locked="0"/>
    </xf>
    <xf numFmtId="0" fontId="87" fillId="6" borderId="0" xfId="45" applyFont="1" applyFill="1"/>
    <xf numFmtId="4" fontId="66" fillId="6" borderId="0" xfId="1" applyFont="1" applyFill="1" applyBorder="1" applyProtection="1">
      <protection locked="0"/>
    </xf>
    <xf numFmtId="3" fontId="13" fillId="11" borderId="146" xfId="15" applyFont="1" applyFill="1" applyBorder="1" applyAlignment="1" applyProtection="1"/>
    <xf numFmtId="0" fontId="111" fillId="77" borderId="0" xfId="21" applyFont="1" applyFill="1" applyAlignment="1">
      <alignment horizontal="left"/>
    </xf>
    <xf numFmtId="4" fontId="111" fillId="6" borderId="0" xfId="46" applyNumberFormat="1" applyFont="1" applyFill="1" applyBorder="1" applyAlignment="1"/>
    <xf numFmtId="3" fontId="111" fillId="6" borderId="0" xfId="45" applyNumberFormat="1" applyFont="1" applyFill="1" applyAlignment="1">
      <alignment horizontal="left"/>
    </xf>
    <xf numFmtId="0" fontId="114" fillId="6" borderId="0" xfId="45" applyFont="1" applyFill="1"/>
    <xf numFmtId="0" fontId="75" fillId="6" borderId="0" xfId="45" applyFill="1" applyAlignment="1">
      <alignment horizontal="left"/>
    </xf>
    <xf numFmtId="4" fontId="75" fillId="6" borderId="0" xfId="45" applyNumberFormat="1" applyFill="1"/>
    <xf numFmtId="0" fontId="177" fillId="0" borderId="0" xfId="45" applyFont="1"/>
    <xf numFmtId="0" fontId="3" fillId="0" borderId="79" xfId="0" applyFont="1" applyBorder="1"/>
    <xf numFmtId="0" fontId="4" fillId="0" borderId="0" xfId="0" applyFont="1" applyAlignment="1">
      <alignment horizontal="left" wrapText="1"/>
    </xf>
    <xf numFmtId="0" fontId="29" fillId="79" borderId="0" xfId="0" applyFont="1" applyFill="1"/>
    <xf numFmtId="0" fontId="4" fillId="79" borderId="0" xfId="0" applyFont="1" applyFill="1"/>
    <xf numFmtId="0" fontId="0" fillId="79" borderId="0" xfId="0" applyFill="1"/>
    <xf numFmtId="0" fontId="4" fillId="64" borderId="0" xfId="0" applyFont="1" applyFill="1"/>
    <xf numFmtId="0" fontId="0" fillId="64" borderId="0" xfId="0" applyFill="1"/>
    <xf numFmtId="0" fontId="29" fillId="64" borderId="0" xfId="0" applyFont="1" applyFill="1"/>
    <xf numFmtId="0" fontId="29" fillId="65" borderId="0" xfId="0" applyFont="1" applyFill="1"/>
    <xf numFmtId="0" fontId="4" fillId="65" borderId="0" xfId="0" applyFont="1" applyFill="1"/>
    <xf numFmtId="0" fontId="0" fillId="65" borderId="0" xfId="0" applyFill="1"/>
    <xf numFmtId="0" fontId="29" fillId="44" borderId="0" xfId="0" applyFont="1" applyFill="1"/>
    <xf numFmtId="0" fontId="4" fillId="44" borderId="0" xfId="0" applyFont="1" applyFill="1"/>
    <xf numFmtId="0" fontId="0" fillId="44" borderId="0" xfId="0" applyFill="1"/>
    <xf numFmtId="0" fontId="29" fillId="69" borderId="0" xfId="0" applyFont="1" applyFill="1"/>
    <xf numFmtId="0" fontId="4" fillId="69" borderId="0" xfId="0" applyFont="1" applyFill="1"/>
    <xf numFmtId="0" fontId="0" fillId="69" borderId="0" xfId="0" applyFill="1"/>
    <xf numFmtId="0" fontId="179" fillId="10" borderId="0" xfId="0" applyFont="1" applyFill="1"/>
    <xf numFmtId="3" fontId="97" fillId="7" borderId="12" xfId="0" applyNumberFormat="1" applyFont="1" applyFill="1" applyBorder="1" applyAlignment="1">
      <alignment wrapText="1"/>
    </xf>
    <xf numFmtId="0" fontId="0" fillId="22" borderId="146" xfId="0" applyFill="1" applyBorder="1"/>
    <xf numFmtId="3" fontId="0" fillId="11" borderId="146" xfId="15" applyFont="1" applyFill="1" applyBorder="1" applyAlignment="1" applyProtection="1">
      <alignment horizontal="center" vertical="top" wrapText="1"/>
    </xf>
    <xf numFmtId="0" fontId="0" fillId="3" borderId="134" xfId="0" applyFill="1" applyBorder="1" applyAlignment="1">
      <alignment horizontal="center"/>
    </xf>
    <xf numFmtId="3" fontId="0" fillId="11" borderId="146" xfId="15" applyFont="1" applyFill="1" applyBorder="1" applyAlignment="1" applyProtection="1"/>
    <xf numFmtId="0" fontId="4" fillId="22" borderId="146" xfId="0" applyFont="1" applyFill="1" applyBorder="1"/>
    <xf numFmtId="3" fontId="34" fillId="33" borderId="152" xfId="0" applyNumberFormat="1" applyFont="1" applyFill="1" applyBorder="1" applyProtection="1">
      <protection locked="0"/>
    </xf>
    <xf numFmtId="3" fontId="102" fillId="33" borderId="153" xfId="11" applyFont="1" applyFill="1" applyBorder="1" applyAlignment="1" applyProtection="1">
      <protection locked="0"/>
    </xf>
    <xf numFmtId="3" fontId="34" fillId="33" borderId="154" xfId="0" applyNumberFormat="1" applyFont="1" applyFill="1" applyBorder="1" applyProtection="1">
      <protection locked="0"/>
    </xf>
    <xf numFmtId="3" fontId="21" fillId="33" borderId="155" xfId="11" applyFont="1" applyFill="1" applyBorder="1" applyAlignment="1" applyProtection="1">
      <protection locked="0"/>
    </xf>
    <xf numFmtId="3" fontId="13" fillId="11" borderId="77" xfId="0" applyNumberFormat="1" applyFont="1" applyFill="1" applyBorder="1"/>
    <xf numFmtId="3" fontId="130" fillId="11" borderId="156" xfId="0" applyNumberFormat="1" applyFont="1" applyFill="1" applyBorder="1"/>
    <xf numFmtId="3" fontId="13" fillId="11" borderId="157" xfId="0" applyNumberFormat="1" applyFont="1" applyFill="1" applyBorder="1"/>
    <xf numFmtId="3" fontId="13" fillId="11" borderId="158" xfId="0" applyNumberFormat="1" applyFont="1" applyFill="1" applyBorder="1"/>
    <xf numFmtId="3" fontId="34" fillId="33" borderId="159" xfId="0" applyNumberFormat="1" applyFont="1" applyFill="1" applyBorder="1" applyProtection="1">
      <protection locked="0"/>
    </xf>
    <xf numFmtId="3" fontId="34" fillId="33" borderId="160" xfId="0" applyNumberFormat="1" applyFont="1" applyFill="1" applyBorder="1" applyProtection="1">
      <protection locked="0"/>
    </xf>
    <xf numFmtId="3" fontId="102" fillId="33" borderId="161" xfId="11" applyFont="1" applyFill="1" applyBorder="1" applyAlignment="1" applyProtection="1">
      <protection locked="0"/>
    </xf>
    <xf numFmtId="3" fontId="34" fillId="33" borderId="162" xfId="0" applyNumberFormat="1" applyFont="1" applyFill="1" applyBorder="1" applyProtection="1">
      <protection locked="0"/>
    </xf>
    <xf numFmtId="3" fontId="21" fillId="33" borderId="163" xfId="11" applyFont="1" applyFill="1" applyBorder="1" applyAlignment="1" applyProtection="1">
      <protection locked="0"/>
    </xf>
    <xf numFmtId="3" fontId="21" fillId="33" borderId="7" xfId="0" applyNumberFormat="1" applyFont="1" applyFill="1" applyBorder="1" applyProtection="1">
      <protection locked="0"/>
    </xf>
    <xf numFmtId="3" fontId="21" fillId="33" borderId="119" xfId="0" applyNumberFormat="1" applyFont="1" applyFill="1" applyBorder="1" applyProtection="1">
      <protection locked="0"/>
    </xf>
    <xf numFmtId="3" fontId="144" fillId="33" borderId="164" xfId="0" applyNumberFormat="1" applyFont="1" applyFill="1" applyBorder="1" applyProtection="1">
      <protection locked="0"/>
    </xf>
    <xf numFmtId="3" fontId="21" fillId="33" borderId="165" xfId="0" applyNumberFormat="1" applyFont="1" applyFill="1" applyBorder="1" applyProtection="1">
      <protection locked="0"/>
    </xf>
    <xf numFmtId="3" fontId="21" fillId="33" borderId="166" xfId="0" applyNumberFormat="1" applyFont="1" applyFill="1" applyBorder="1" applyProtection="1">
      <protection locked="0"/>
    </xf>
    <xf numFmtId="3" fontId="13" fillId="11" borderId="4" xfId="0" applyNumberFormat="1" applyFont="1" applyFill="1" applyBorder="1"/>
    <xf numFmtId="3" fontId="130" fillId="11" borderId="4" xfId="0" applyNumberFormat="1" applyFont="1" applyFill="1" applyBorder="1"/>
    <xf numFmtId="3" fontId="13" fillId="11" borderId="167" xfId="0" applyNumberFormat="1" applyFont="1" applyFill="1" applyBorder="1"/>
    <xf numFmtId="3" fontId="21" fillId="33" borderId="159" xfId="0" applyNumberFormat="1" applyFont="1" applyFill="1" applyBorder="1" applyProtection="1">
      <protection locked="0"/>
    </xf>
    <xf numFmtId="3" fontId="21" fillId="33" borderId="160" xfId="0" applyNumberFormat="1" applyFont="1" applyFill="1" applyBorder="1" applyProtection="1">
      <protection locked="0"/>
    </xf>
    <xf numFmtId="3" fontId="144" fillId="33" borderId="160" xfId="0" applyNumberFormat="1" applyFont="1" applyFill="1" applyBorder="1" applyProtection="1">
      <protection locked="0"/>
    </xf>
    <xf numFmtId="3" fontId="21" fillId="33" borderId="163" xfId="0" applyNumberFormat="1" applyFont="1" applyFill="1" applyBorder="1" applyProtection="1">
      <protection locked="0"/>
    </xf>
    <xf numFmtId="3" fontId="102" fillId="33" borderId="168" xfId="11" applyFont="1" applyFill="1" applyBorder="1" applyAlignment="1" applyProtection="1">
      <protection locked="0"/>
    </xf>
    <xf numFmtId="3" fontId="34" fillId="33" borderId="168" xfId="0" applyNumberFormat="1" applyFont="1" applyFill="1" applyBorder="1" applyProtection="1">
      <protection locked="0"/>
    </xf>
    <xf numFmtId="3" fontId="13" fillId="11" borderId="169" xfId="0" applyNumberFormat="1" applyFont="1" applyFill="1" applyBorder="1"/>
    <xf numFmtId="3" fontId="21" fillId="33" borderId="168" xfId="0" applyNumberFormat="1" applyFont="1" applyFill="1" applyBorder="1" applyProtection="1">
      <protection locked="0"/>
    </xf>
    <xf numFmtId="3" fontId="13" fillId="11" borderId="159" xfId="0" applyNumberFormat="1" applyFont="1" applyFill="1" applyBorder="1"/>
    <xf numFmtId="3" fontId="13" fillId="11" borderId="160" xfId="0" applyNumberFormat="1" applyFont="1" applyFill="1" applyBorder="1"/>
    <xf numFmtId="3" fontId="13" fillId="11" borderId="168" xfId="0" applyNumberFormat="1" applyFont="1" applyFill="1" applyBorder="1"/>
    <xf numFmtId="3" fontId="21" fillId="33" borderId="168" xfId="11" applyFont="1" applyFill="1" applyBorder="1" applyAlignment="1" applyProtection="1">
      <protection locked="0"/>
    </xf>
    <xf numFmtId="3" fontId="13" fillId="11" borderId="170" xfId="0" applyNumberFormat="1" applyFont="1" applyFill="1" applyBorder="1"/>
    <xf numFmtId="3" fontId="21" fillId="33" borderId="5" xfId="11" applyFont="1" applyFill="1" applyBorder="1" applyAlignment="1" applyProtection="1">
      <protection locked="0"/>
    </xf>
    <xf numFmtId="3" fontId="21" fillId="33" borderId="77" xfId="11" applyFont="1" applyFill="1" applyBorder="1" applyAlignment="1" applyProtection="1">
      <protection locked="0"/>
    </xf>
    <xf numFmtId="3" fontId="13" fillId="11" borderId="159" xfId="11" applyFont="1" applyFill="1" applyBorder="1" applyAlignment="1" applyProtection="1"/>
    <xf numFmtId="3" fontId="13" fillId="11" borderId="160" xfId="11" applyFont="1" applyFill="1" applyBorder="1" applyAlignment="1" applyProtection="1"/>
    <xf numFmtId="3" fontId="13" fillId="11" borderId="163" xfId="11" applyFont="1" applyFill="1" applyBorder="1" applyAlignment="1" applyProtection="1"/>
    <xf numFmtId="3" fontId="21" fillId="33" borderId="118" xfId="11" applyFont="1" applyFill="1" applyBorder="1" applyAlignment="1" applyProtection="1">
      <protection locked="0"/>
    </xf>
    <xf numFmtId="3" fontId="13" fillId="11" borderId="4" xfId="1" applyNumberFormat="1" applyFont="1" applyFill="1" applyBorder="1" applyAlignment="1" applyProtection="1"/>
    <xf numFmtId="3" fontId="21" fillId="33" borderId="159" xfId="11" applyFont="1" applyFill="1" applyBorder="1" applyAlignment="1" applyProtection="1">
      <protection locked="0"/>
    </xf>
    <xf numFmtId="3" fontId="21" fillId="33" borderId="160" xfId="11" applyFont="1" applyFill="1" applyBorder="1" applyAlignment="1" applyProtection="1">
      <protection locked="0"/>
    </xf>
    <xf numFmtId="3" fontId="13" fillId="11" borderId="7" xfId="11" applyFont="1" applyFill="1" applyBorder="1" applyAlignment="1" applyProtection="1"/>
    <xf numFmtId="3" fontId="13" fillId="11" borderId="17" xfId="11" applyFont="1" applyFill="1" applyBorder="1" applyAlignment="1" applyProtection="1"/>
    <xf numFmtId="3" fontId="21" fillId="33" borderId="171" xfId="11" applyFont="1" applyFill="1" applyBorder="1" applyAlignment="1" applyProtection="1">
      <protection locked="0"/>
    </xf>
    <xf numFmtId="3" fontId="21" fillId="33" borderId="125" xfId="11" applyFont="1" applyFill="1" applyBorder="1" applyAlignment="1" applyProtection="1">
      <protection locked="0"/>
    </xf>
    <xf numFmtId="3" fontId="13" fillId="11" borderId="172" xfId="1" applyNumberFormat="1" applyFont="1" applyFill="1" applyBorder="1" applyAlignment="1" applyProtection="1"/>
    <xf numFmtId="3" fontId="13" fillId="11" borderId="170" xfId="1" applyNumberFormat="1" applyFont="1" applyFill="1" applyBorder="1" applyAlignment="1" applyProtection="1"/>
    <xf numFmtId="3" fontId="24" fillId="11" borderId="146" xfId="15" applyFont="1" applyFill="1" applyBorder="1" applyAlignment="1" applyProtection="1"/>
    <xf numFmtId="3" fontId="21" fillId="33" borderId="9" xfId="11" applyFont="1" applyFill="1" applyBorder="1" applyAlignment="1" applyProtection="1">
      <protection locked="0"/>
    </xf>
    <xf numFmtId="3" fontId="13" fillId="11" borderId="9" xfId="11" applyFont="1" applyFill="1" applyBorder="1" applyAlignment="1" applyProtection="1"/>
    <xf numFmtId="3" fontId="21" fillId="33" borderId="173" xfId="11" applyFont="1" applyFill="1" applyBorder="1" applyAlignment="1" applyProtection="1">
      <protection locked="0"/>
    </xf>
    <xf numFmtId="3" fontId="13" fillId="11" borderId="173" xfId="11" applyFont="1" applyFill="1" applyBorder="1" applyAlignment="1" applyProtection="1"/>
    <xf numFmtId="49" fontId="97" fillId="0" borderId="0" xfId="45" applyNumberFormat="1" applyFont="1"/>
    <xf numFmtId="0" fontId="102" fillId="0" borderId="23" xfId="0" applyFont="1" applyBorder="1" applyAlignment="1">
      <alignment wrapText="1"/>
    </xf>
    <xf numFmtId="0" fontId="131" fillId="11" borderId="16" xfId="0" applyFont="1" applyFill="1" applyBorder="1" applyAlignment="1">
      <alignment wrapText="1"/>
    </xf>
    <xf numFmtId="0" fontId="131" fillId="11" borderId="14" xfId="0" applyFont="1" applyFill="1" applyBorder="1" applyAlignment="1">
      <alignment wrapText="1"/>
    </xf>
    <xf numFmtId="0" fontId="101" fillId="6" borderId="0" xfId="0" applyFont="1" applyFill="1" applyAlignment="1">
      <alignment horizontal="left"/>
    </xf>
    <xf numFmtId="0" fontId="101" fillId="6" borderId="54" xfId="0" applyFont="1" applyFill="1" applyBorder="1" applyAlignment="1">
      <alignment horizontal="left"/>
    </xf>
    <xf numFmtId="0" fontId="101" fillId="7" borderId="128" xfId="10" applyNumberFormat="1" applyFont="1" applyFill="1" applyBorder="1" applyAlignment="1">
      <alignment horizontal="right"/>
    </xf>
    <xf numFmtId="0" fontId="101" fillId="33" borderId="128" xfId="10" applyNumberFormat="1" applyFont="1" applyFill="1" applyBorder="1" applyAlignment="1" applyProtection="1">
      <alignment horizontal="right"/>
      <protection locked="0"/>
    </xf>
    <xf numFmtId="0" fontId="101" fillId="7" borderId="128" xfId="0" applyFont="1" applyFill="1" applyBorder="1" applyAlignment="1">
      <alignment horizontal="right"/>
    </xf>
    <xf numFmtId="0" fontId="103" fillId="33" borderId="128" xfId="0" applyFont="1" applyFill="1" applyBorder="1" applyAlignment="1" applyProtection="1">
      <alignment horizontal="right"/>
      <protection locked="0"/>
    </xf>
    <xf numFmtId="0" fontId="101" fillId="38" borderId="128" xfId="17" applyNumberFormat="1" applyFont="1" applyFill="1" applyBorder="1" applyAlignment="1" applyProtection="1">
      <alignment horizontal="right"/>
      <protection locked="0"/>
    </xf>
    <xf numFmtId="0" fontId="0" fillId="0" borderId="174" xfId="0" applyBorder="1"/>
    <xf numFmtId="0" fontId="0" fillId="11" borderId="55" xfId="0" applyFill="1" applyBorder="1"/>
    <xf numFmtId="0" fontId="2" fillId="22" borderId="147" xfId="0" applyFont="1" applyFill="1" applyBorder="1" applyAlignment="1">
      <alignment horizontal="left" wrapText="1"/>
    </xf>
    <xf numFmtId="1" fontId="109" fillId="3" borderId="147" xfId="2" applyNumberFormat="1" applyFont="1" applyFill="1" applyBorder="1" applyAlignment="1" applyProtection="1">
      <alignment horizontal="center" vertical="center" wrapText="1"/>
    </xf>
    <xf numFmtId="1" fontId="109" fillId="3" borderId="175" xfId="15" applyNumberFormat="1" applyFont="1" applyFill="1" applyBorder="1" applyAlignment="1" applyProtection="1">
      <alignment horizontal="center" vertical="top" wrapText="1"/>
    </xf>
    <xf numFmtId="0" fontId="72" fillId="19" borderId="55" xfId="14" applyNumberFormat="1" applyFont="1" applyFill="1" applyBorder="1" applyAlignment="1" applyProtection="1">
      <alignment horizontal="center" wrapText="1"/>
    </xf>
    <xf numFmtId="0" fontId="0" fillId="18" borderId="176" xfId="0" applyFill="1" applyBorder="1" applyAlignment="1">
      <alignment vertical="top" wrapText="1"/>
    </xf>
    <xf numFmtId="0" fontId="16" fillId="18" borderId="61" xfId="0" applyFont="1" applyFill="1" applyBorder="1" applyAlignment="1">
      <alignment horizontal="center" vertical="top" wrapText="1"/>
    </xf>
    <xf numFmtId="0" fontId="72" fillId="10" borderId="55" xfId="0" applyFont="1" applyFill="1" applyBorder="1" applyAlignment="1">
      <alignment horizontal="center"/>
    </xf>
    <xf numFmtId="0" fontId="68" fillId="10" borderId="177" xfId="0" applyFont="1" applyFill="1" applyBorder="1"/>
    <xf numFmtId="3" fontId="68" fillId="10" borderId="175" xfId="15" applyFont="1" applyFill="1" applyBorder="1" applyAlignment="1" applyProtection="1">
      <protection locked="0"/>
    </xf>
    <xf numFmtId="3" fontId="68" fillId="10" borderId="175" xfId="15" applyFont="1" applyFill="1" applyBorder="1" applyAlignment="1" applyProtection="1"/>
    <xf numFmtId="3" fontId="68" fillId="18" borderId="178" xfId="2" applyNumberFormat="1" applyFont="1" applyFill="1" applyBorder="1" applyAlignment="1" applyProtection="1"/>
    <xf numFmtId="3" fontId="19" fillId="16" borderId="175" xfId="2" applyNumberFormat="1" applyFont="1" applyFill="1" applyBorder="1" applyAlignment="1" applyProtection="1"/>
    <xf numFmtId="0" fontId="72" fillId="11" borderId="55" xfId="0" applyFont="1" applyFill="1" applyBorder="1" applyAlignment="1">
      <alignment horizontal="center"/>
    </xf>
    <xf numFmtId="0" fontId="2" fillId="7" borderId="55" xfId="0" applyFont="1" applyFill="1" applyBorder="1"/>
    <xf numFmtId="3" fontId="66" fillId="18" borderId="175" xfId="2" applyNumberFormat="1" applyFont="1" applyFill="1" applyBorder="1" applyAlignment="1" applyProtection="1"/>
    <xf numFmtId="3" fontId="0" fillId="16" borderId="175" xfId="2" applyNumberFormat="1" applyFont="1" applyFill="1" applyBorder="1" applyAlignment="1" applyProtection="1"/>
    <xf numFmtId="3" fontId="66" fillId="10" borderId="175" xfId="2" applyNumberFormat="1" applyFont="1" applyFill="1" applyBorder="1" applyAlignment="1" applyProtection="1"/>
    <xf numFmtId="0" fontId="3" fillId="33" borderId="176" xfId="0" applyFont="1" applyFill="1" applyBorder="1" applyProtection="1">
      <protection locked="0"/>
    </xf>
    <xf numFmtId="3" fontId="0" fillId="16" borderId="61" xfId="2" applyNumberFormat="1" applyFont="1" applyFill="1" applyBorder="1" applyAlignment="1" applyProtection="1"/>
    <xf numFmtId="0" fontId="2" fillId="7" borderId="53" xfId="0" applyFont="1" applyFill="1" applyBorder="1"/>
    <xf numFmtId="3" fontId="38" fillId="7" borderId="174" xfId="0" applyNumberFormat="1" applyFont="1" applyFill="1" applyBorder="1"/>
    <xf numFmtId="3" fontId="41" fillId="7" borderId="61" xfId="0" applyNumberFormat="1" applyFont="1" applyFill="1" applyBorder="1"/>
    <xf numFmtId="0" fontId="38" fillId="7" borderId="174" xfId="21" applyFont="1" applyFill="1" applyBorder="1"/>
    <xf numFmtId="3" fontId="38" fillId="7" borderId="61" xfId="22" applyNumberFormat="1" applyFont="1" applyFill="1" applyBorder="1"/>
    <xf numFmtId="3" fontId="38" fillId="7" borderId="61" xfId="21" applyNumberFormat="1" applyFont="1" applyFill="1" applyBorder="1"/>
    <xf numFmtId="3" fontId="41" fillId="7" borderId="61" xfId="21" applyNumberFormat="1" applyFont="1" applyFill="1" applyBorder="1"/>
    <xf numFmtId="3" fontId="0" fillId="7" borderId="61" xfId="21" applyNumberFormat="1" applyFont="1" applyFill="1" applyBorder="1"/>
    <xf numFmtId="0" fontId="2" fillId="16" borderId="0" xfId="21" applyFont="1" applyFill="1" applyAlignment="1">
      <alignment horizontal="right"/>
    </xf>
    <xf numFmtId="0" fontId="63" fillId="9" borderId="174" xfId="21" applyFont="1" applyFill="1" applyBorder="1"/>
    <xf numFmtId="3" fontId="66" fillId="10" borderId="61" xfId="21" applyNumberFormat="1" applyFont="1" applyFill="1" applyBorder="1"/>
    <xf numFmtId="0" fontId="0" fillId="7" borderId="174" xfId="21" applyFont="1" applyFill="1" applyBorder="1"/>
    <xf numFmtId="0" fontId="22" fillId="27" borderId="174" xfId="21" applyFont="1" applyFill="1" applyBorder="1"/>
    <xf numFmtId="3" fontId="0" fillId="7" borderId="174" xfId="15" applyFont="1" applyFill="1" applyBorder="1" applyAlignment="1" applyProtection="1"/>
    <xf numFmtId="3" fontId="2" fillId="7" borderId="0" xfId="15" applyFont="1" applyFill="1" applyBorder="1" applyAlignment="1" applyProtection="1">
      <alignment horizontal="right"/>
    </xf>
    <xf numFmtId="0" fontId="2" fillId="7" borderId="0" xfId="21" applyFont="1" applyFill="1" applyAlignment="1">
      <alignment horizontal="left"/>
    </xf>
    <xf numFmtId="3" fontId="2" fillId="7" borderId="174" xfId="15" applyFont="1" applyFill="1" applyBorder="1" applyAlignment="1" applyProtection="1"/>
    <xf numFmtId="3" fontId="0" fillId="14" borderId="174" xfId="15" applyFont="1" applyFill="1" applyBorder="1" applyAlignment="1" applyProtection="1"/>
    <xf numFmtId="0" fontId="0" fillId="14" borderId="61" xfId="21" applyFont="1" applyFill="1" applyBorder="1"/>
    <xf numFmtId="3" fontId="2" fillId="10" borderId="0" xfId="15" applyFont="1" applyFill="1" applyBorder="1" applyAlignment="1" applyProtection="1"/>
    <xf numFmtId="3" fontId="40" fillId="7" borderId="61" xfId="0" applyNumberFormat="1" applyFont="1" applyFill="1" applyBorder="1"/>
    <xf numFmtId="0" fontId="13" fillId="7" borderId="61" xfId="21" applyFont="1" applyFill="1" applyBorder="1"/>
    <xf numFmtId="3" fontId="40" fillId="7" borderId="61" xfId="22" applyNumberFormat="1" applyFont="1" applyFill="1" applyBorder="1"/>
    <xf numFmtId="3" fontId="40" fillId="7" borderId="61" xfId="21" applyNumberFormat="1" applyFont="1" applyFill="1" applyBorder="1"/>
    <xf numFmtId="3" fontId="13" fillId="7" borderId="61" xfId="21" applyNumberFormat="1" applyFont="1" applyFill="1" applyBorder="1"/>
    <xf numFmtId="0" fontId="63" fillId="12" borderId="174" xfId="21" applyFont="1" applyFill="1" applyBorder="1"/>
    <xf numFmtId="3" fontId="13" fillId="13" borderId="61" xfId="21" applyNumberFormat="1" applyFont="1" applyFill="1" applyBorder="1"/>
    <xf numFmtId="0" fontId="30" fillId="34" borderId="174" xfId="21" applyFont="1" applyFill="1" applyBorder="1" applyAlignment="1">
      <alignment horizontal="center"/>
    </xf>
    <xf numFmtId="3" fontId="40" fillId="7" borderId="54" xfId="21" applyNumberFormat="1" applyFont="1" applyFill="1" applyBorder="1"/>
    <xf numFmtId="0" fontId="2" fillId="10" borderId="0" xfId="21" applyFont="1" applyFill="1"/>
    <xf numFmtId="3" fontId="2" fillId="11" borderId="146" xfId="15" applyFont="1" applyFill="1" applyBorder="1" applyAlignment="1" applyProtection="1">
      <alignment horizontal="center"/>
    </xf>
    <xf numFmtId="3" fontId="2" fillId="11" borderId="54" xfId="15" applyFont="1" applyFill="1" applyBorder="1" applyAlignment="1" applyProtection="1">
      <alignment horizontal="center"/>
    </xf>
    <xf numFmtId="3" fontId="2" fillId="0" borderId="0" xfId="15" applyFont="1" applyFill="1" applyBorder="1" applyAlignment="1" applyProtection="1">
      <alignment horizontal="center"/>
    </xf>
    <xf numFmtId="3" fontId="13" fillId="11" borderId="146" xfId="15" applyFont="1" applyFill="1" applyBorder="1" applyAlignment="1" applyProtection="1">
      <alignment horizontal="center" vertical="top" wrapText="1"/>
    </xf>
    <xf numFmtId="3" fontId="13" fillId="33" borderId="135" xfId="15" applyFont="1" applyFill="1" applyBorder="1" applyAlignment="1" applyProtection="1">
      <protection locked="0"/>
    </xf>
    <xf numFmtId="49" fontId="3" fillId="11" borderId="140" xfId="15" applyNumberFormat="1" applyFont="1" applyFill="1" applyBorder="1" applyAlignment="1" applyProtection="1">
      <alignment horizontal="center"/>
    </xf>
    <xf numFmtId="3" fontId="2" fillId="0" borderId="0" xfId="15" applyFont="1" applyFill="1" applyBorder="1" applyAlignment="1" applyProtection="1"/>
    <xf numFmtId="3" fontId="0" fillId="11" borderId="140" xfId="15" applyFont="1" applyFill="1" applyBorder="1" applyAlignment="1" applyProtection="1">
      <alignment horizontal="center"/>
    </xf>
    <xf numFmtId="49" fontId="0" fillId="11" borderId="140" xfId="15" applyNumberFormat="1" applyFont="1" applyFill="1" applyBorder="1" applyAlignment="1" applyProtection="1">
      <alignment horizontal="center"/>
    </xf>
    <xf numFmtId="4" fontId="97" fillId="33" borderId="31" xfId="110" applyNumberFormat="1" applyFont="1" applyFill="1" applyBorder="1" applyAlignment="1" applyProtection="1">
      <alignment horizontal="center"/>
      <protection locked="0"/>
    </xf>
    <xf numFmtId="0" fontId="97" fillId="33" borderId="146" xfId="45" applyFont="1" applyFill="1" applyBorder="1" applyAlignment="1" applyProtection="1">
      <alignment horizontal="center"/>
      <protection locked="0"/>
    </xf>
    <xf numFmtId="4" fontId="152" fillId="10" borderId="146" xfId="46" applyNumberFormat="1" applyFont="1" applyFill="1" applyBorder="1" applyAlignment="1"/>
    <xf numFmtId="0" fontId="4" fillId="0" borderId="146" xfId="0" applyFont="1" applyBorder="1" applyAlignment="1">
      <alignment horizontal="center"/>
    </xf>
    <xf numFmtId="3" fontId="38" fillId="21" borderId="147" xfId="15" applyFont="1" applyFill="1" applyBorder="1" applyAlignment="1" applyProtection="1">
      <alignment horizontal="center" wrapText="1"/>
    </xf>
    <xf numFmtId="3" fontId="4" fillId="3" borderId="147" xfId="15" applyFont="1" applyFill="1" applyBorder="1" applyAlignment="1" applyProtection="1">
      <alignment horizontal="center" vertical="center" wrapText="1"/>
    </xf>
    <xf numFmtId="3" fontId="4" fillId="11" borderId="180" xfId="15" applyFont="1" applyFill="1" applyBorder="1" applyAlignment="1" applyProtection="1">
      <alignment horizontal="center"/>
    </xf>
    <xf numFmtId="49" fontId="4" fillId="11" borderId="180" xfId="15" applyNumberFormat="1" applyFont="1" applyFill="1" applyBorder="1" applyAlignment="1" applyProtection="1">
      <alignment horizontal="center"/>
    </xf>
    <xf numFmtId="3" fontId="4" fillId="11" borderId="146" xfId="15" applyFont="1" applyFill="1" applyBorder="1" applyAlignment="1" applyProtection="1"/>
    <xf numFmtId="3" fontId="64" fillId="10" borderId="181" xfId="15" applyFont="1" applyFill="1" applyBorder="1" applyAlignment="1" applyProtection="1"/>
    <xf numFmtId="3" fontId="64" fillId="10" borderId="147" xfId="15" applyFont="1" applyFill="1" applyBorder="1" applyAlignment="1" applyProtection="1"/>
    <xf numFmtId="3" fontId="64" fillId="10" borderId="135" xfId="15" applyFont="1" applyFill="1" applyBorder="1" applyAlignment="1" applyProtection="1"/>
    <xf numFmtId="3" fontId="64" fillId="10" borderId="174" xfId="15" applyFont="1" applyFill="1" applyBorder="1" applyAlignment="1" applyProtection="1"/>
    <xf numFmtId="0" fontId="132" fillId="11" borderId="184" xfId="0" applyFont="1" applyFill="1" applyBorder="1" applyAlignment="1">
      <alignment horizontal="center"/>
    </xf>
    <xf numFmtId="3" fontId="34" fillId="33" borderId="185" xfId="1" applyNumberFormat="1" applyFont="1" applyFill="1" applyBorder="1" applyAlignment="1" applyProtection="1">
      <protection locked="0"/>
    </xf>
    <xf numFmtId="0" fontId="68" fillId="10" borderId="174" xfId="0" applyFont="1" applyFill="1" applyBorder="1" applyAlignment="1">
      <alignment horizontal="left"/>
    </xf>
    <xf numFmtId="0" fontId="6" fillId="3" borderId="146" xfId="0" applyFont="1" applyFill="1" applyBorder="1" applyAlignment="1">
      <alignment horizontal="center" vertical="top" wrapText="1"/>
    </xf>
    <xf numFmtId="1" fontId="0" fillId="3" borderId="174" xfId="2" applyNumberFormat="1" applyFont="1" applyFill="1" applyBorder="1" applyAlignment="1" applyProtection="1">
      <alignment horizontal="center" vertical="top" wrapText="1"/>
    </xf>
    <xf numFmtId="1" fontId="23" fillId="3" borderId="175" xfId="15" applyNumberFormat="1" applyFont="1" applyFill="1" applyBorder="1" applyAlignment="1" applyProtection="1">
      <alignment horizontal="center" vertical="top" wrapText="1"/>
    </xf>
    <xf numFmtId="0" fontId="6" fillId="16" borderId="187" xfId="0" applyFont="1" applyFill="1" applyBorder="1" applyAlignment="1">
      <alignment horizontal="center" vertical="top" wrapText="1"/>
    </xf>
    <xf numFmtId="0" fontId="0" fillId="7" borderId="146" xfId="0" applyFill="1" applyBorder="1" applyAlignment="1">
      <alignment horizontal="center"/>
    </xf>
    <xf numFmtId="0" fontId="0" fillId="8" borderId="146" xfId="0" applyFill="1" applyBorder="1" applyAlignment="1">
      <alignment horizontal="center"/>
    </xf>
    <xf numFmtId="3" fontId="68" fillId="10" borderId="178" xfId="15" applyFont="1" applyFill="1" applyBorder="1" applyAlignment="1" applyProtection="1"/>
    <xf numFmtId="3" fontId="2" fillId="0" borderId="13" xfId="15" applyFont="1" applyFill="1" applyBorder="1" applyAlignment="1" applyProtection="1">
      <alignment horizontal="center"/>
    </xf>
    <xf numFmtId="0" fontId="101" fillId="6" borderId="55" xfId="0" applyFont="1" applyFill="1" applyBorder="1" applyAlignment="1">
      <alignment horizontal="left"/>
    </xf>
    <xf numFmtId="0" fontId="182" fillId="6" borderId="55" xfId="0" applyFont="1" applyFill="1" applyBorder="1" applyAlignment="1">
      <alignment horizontal="left"/>
    </xf>
    <xf numFmtId="0" fontId="38" fillId="42" borderId="55" xfId="0" applyFont="1" applyFill="1" applyBorder="1" applyAlignment="1">
      <alignment horizontal="left"/>
    </xf>
    <xf numFmtId="0" fontId="4" fillId="42" borderId="55" xfId="0" applyFont="1" applyFill="1" applyBorder="1" applyAlignment="1">
      <alignment horizontal="left"/>
    </xf>
    <xf numFmtId="0" fontId="88" fillId="42" borderId="55" xfId="0" applyFont="1" applyFill="1" applyBorder="1" applyAlignment="1">
      <alignment horizontal="left"/>
    </xf>
    <xf numFmtId="183" fontId="3" fillId="7" borderId="186" xfId="0" applyNumberFormat="1" applyFont="1" applyFill="1" applyBorder="1" applyAlignment="1">
      <alignment horizontal="right" wrapText="1"/>
    </xf>
    <xf numFmtId="0" fontId="3" fillId="0" borderId="190" xfId="0" applyFont="1" applyBorder="1" applyAlignment="1">
      <alignment vertical="top" wrapText="1"/>
    </xf>
    <xf numFmtId="0" fontId="5" fillId="33" borderId="183" xfId="0" applyFont="1" applyFill="1" applyBorder="1" applyAlignment="1" applyProtection="1">
      <alignment horizontal="center"/>
      <protection locked="0"/>
    </xf>
    <xf numFmtId="0" fontId="0" fillId="7" borderId="180" xfId="0" applyFill="1" applyBorder="1"/>
    <xf numFmtId="3" fontId="19" fillId="16" borderId="194" xfId="2" applyNumberFormat="1" applyFont="1" applyFill="1" applyBorder="1" applyAlignment="1" applyProtection="1"/>
    <xf numFmtId="3" fontId="19" fillId="16" borderId="194" xfId="2" applyNumberFormat="1" applyFont="1" applyFill="1" applyBorder="1" applyAlignment="1" applyProtection="1">
      <alignment horizontal="right"/>
    </xf>
    <xf numFmtId="0" fontId="68" fillId="55" borderId="182" xfId="0" applyFont="1" applyFill="1" applyBorder="1"/>
    <xf numFmtId="0" fontId="171" fillId="55" borderId="182" xfId="0" applyFont="1" applyFill="1" applyBorder="1"/>
    <xf numFmtId="0" fontId="171" fillId="55" borderId="183" xfId="0" applyFont="1" applyFill="1" applyBorder="1"/>
    <xf numFmtId="3" fontId="2" fillId="53" borderId="182" xfId="0" applyNumberFormat="1" applyFont="1" applyFill="1" applyBorder="1" applyProtection="1">
      <protection locked="0"/>
    </xf>
    <xf numFmtId="3" fontId="0" fillId="11" borderId="180" xfId="15" applyFont="1" applyFill="1" applyBorder="1" applyAlignment="1" applyProtection="1">
      <alignment horizontal="center"/>
    </xf>
    <xf numFmtId="3" fontId="3" fillId="11" borderId="180" xfId="15" applyFont="1" applyFill="1" applyBorder="1" applyAlignment="1" applyProtection="1">
      <alignment horizontal="center"/>
    </xf>
    <xf numFmtId="49" fontId="3" fillId="11" borderId="180" xfId="15" applyNumberFormat="1" applyFont="1" applyFill="1" applyBorder="1" applyAlignment="1" applyProtection="1">
      <alignment horizontal="center"/>
    </xf>
    <xf numFmtId="49" fontId="0" fillId="11" borderId="180" xfId="15" applyNumberFormat="1" applyFont="1" applyFill="1" applyBorder="1" applyAlignment="1" applyProtection="1">
      <alignment horizontal="center"/>
    </xf>
    <xf numFmtId="3" fontId="0" fillId="11" borderId="196" xfId="15" applyFont="1" applyFill="1" applyBorder="1" applyAlignment="1" applyProtection="1"/>
    <xf numFmtId="3" fontId="0" fillId="11" borderId="197" xfId="15" applyFont="1" applyFill="1" applyBorder="1" applyAlignment="1" applyProtection="1"/>
    <xf numFmtId="3" fontId="0" fillId="11" borderId="198" xfId="15" applyFont="1" applyFill="1" applyBorder="1" applyAlignment="1" applyProtection="1"/>
    <xf numFmtId="3" fontId="21" fillId="33" borderId="199" xfId="11" applyFont="1" applyFill="1" applyBorder="1" applyAlignment="1" applyProtection="1">
      <protection locked="0"/>
    </xf>
    <xf numFmtId="3" fontId="13" fillId="11" borderId="199" xfId="11" applyFont="1" applyFill="1" applyBorder="1" applyAlignment="1" applyProtection="1"/>
    <xf numFmtId="3" fontId="0" fillId="11" borderId="200" xfId="15" applyFont="1" applyFill="1" applyBorder="1" applyAlignment="1" applyProtection="1"/>
    <xf numFmtId="3" fontId="27" fillId="3" borderId="196" xfId="0" applyNumberFormat="1" applyFont="1" applyFill="1" applyBorder="1"/>
    <xf numFmtId="3" fontId="27" fillId="3" borderId="195" xfId="0" applyNumberFormat="1" applyFont="1" applyFill="1" applyBorder="1"/>
    <xf numFmtId="3" fontId="66" fillId="10" borderId="193" xfId="1" applyNumberFormat="1" applyFont="1" applyFill="1" applyBorder="1" applyAlignment="1" applyProtection="1"/>
    <xf numFmtId="3" fontId="66" fillId="10" borderId="201" xfId="1" applyNumberFormat="1" applyFont="1" applyFill="1" applyBorder="1" applyAlignment="1" applyProtection="1"/>
    <xf numFmtId="0" fontId="0" fillId="3" borderId="195" xfId="0" applyFill="1" applyBorder="1"/>
    <xf numFmtId="0" fontId="93" fillId="7" borderId="195" xfId="45" applyFont="1" applyFill="1" applyBorder="1"/>
    <xf numFmtId="0" fontId="79" fillId="7" borderId="195" xfId="45" applyFont="1" applyFill="1" applyBorder="1"/>
    <xf numFmtId="3" fontId="152" fillId="10" borderId="197" xfId="45" applyNumberFormat="1" applyFont="1" applyFill="1" applyBorder="1" applyAlignment="1">
      <alignment horizontal="left"/>
    </xf>
    <xf numFmtId="0" fontId="97" fillId="7" borderId="180" xfId="0" applyFont="1" applyFill="1" applyBorder="1"/>
    <xf numFmtId="3" fontId="152" fillId="10" borderId="206" xfId="0" applyNumberFormat="1" applyFont="1" applyFill="1" applyBorder="1"/>
    <xf numFmtId="0" fontId="97" fillId="7" borderId="207" xfId="45" applyFont="1" applyFill="1" applyBorder="1"/>
    <xf numFmtId="3" fontId="153" fillId="33" borderId="208" xfId="0" applyNumberFormat="1" applyFont="1" applyFill="1" applyBorder="1" applyProtection="1">
      <protection locked="0"/>
    </xf>
    <xf numFmtId="0" fontId="97" fillId="7" borderId="210" xfId="45" applyFont="1" applyFill="1" applyBorder="1" applyAlignment="1">
      <alignment horizontal="center"/>
    </xf>
    <xf numFmtId="0" fontId="75" fillId="0" borderId="207" xfId="45" applyBorder="1"/>
    <xf numFmtId="0" fontId="151" fillId="33" borderId="210" xfId="45" applyFont="1" applyFill="1" applyBorder="1" applyAlignment="1" applyProtection="1">
      <alignment horizontal="center" wrapText="1"/>
      <protection locked="0"/>
    </xf>
    <xf numFmtId="0" fontId="151" fillId="33" borderId="202" xfId="45" applyFont="1" applyFill="1" applyBorder="1" applyAlignment="1" applyProtection="1">
      <alignment horizontal="center"/>
      <protection locked="0"/>
    </xf>
    <xf numFmtId="0" fontId="151" fillId="33" borderId="195" xfId="45" applyFont="1" applyFill="1" applyBorder="1" applyAlignment="1" applyProtection="1">
      <alignment horizontal="center"/>
      <protection locked="0"/>
    </xf>
    <xf numFmtId="0" fontId="97" fillId="51" borderId="213" xfId="0" applyFont="1" applyFill="1" applyBorder="1" applyAlignment="1" applyProtection="1">
      <alignment horizontal="center"/>
      <protection locked="0"/>
    </xf>
    <xf numFmtId="0" fontId="97" fillId="51" borderId="214" xfId="0" applyFont="1" applyFill="1" applyBorder="1" applyAlignment="1" applyProtection="1">
      <alignment horizontal="center"/>
      <protection locked="0"/>
    </xf>
    <xf numFmtId="0" fontId="97" fillId="7" borderId="202" xfId="45" applyFont="1" applyFill="1" applyBorder="1" applyAlignment="1">
      <alignment horizontal="center"/>
    </xf>
    <xf numFmtId="0" fontId="97" fillId="7" borderId="197" xfId="45" applyFont="1" applyFill="1" applyBorder="1" applyAlignment="1">
      <alignment horizontal="center"/>
    </xf>
    <xf numFmtId="0" fontId="97" fillId="7" borderId="196" xfId="45" applyFont="1" applyFill="1" applyBorder="1" applyAlignment="1">
      <alignment horizontal="center"/>
    </xf>
    <xf numFmtId="0" fontId="97" fillId="7" borderId="195" xfId="45" applyFont="1" applyFill="1" applyBorder="1" applyAlignment="1">
      <alignment horizontal="center"/>
    </xf>
    <xf numFmtId="0" fontId="97" fillId="7" borderId="218" xfId="0" applyFont="1" applyFill="1" applyBorder="1"/>
    <xf numFmtId="0" fontId="30" fillId="0" borderId="207" xfId="0" applyFont="1" applyBorder="1" applyAlignment="1">
      <alignment horizontal="center"/>
    </xf>
    <xf numFmtId="0" fontId="30" fillId="0" borderId="207" xfId="0" applyFont="1" applyBorder="1" applyAlignment="1">
      <alignment horizontal="left"/>
    </xf>
    <xf numFmtId="0" fontId="30" fillId="0" borderId="207" xfId="0" applyFont="1" applyBorder="1"/>
    <xf numFmtId="0" fontId="38" fillId="0" borderId="195" xfId="0" applyFont="1" applyBorder="1" applyAlignment="1">
      <alignment horizontal="center"/>
    </xf>
    <xf numFmtId="0" fontId="3" fillId="0" borderId="183" xfId="0" applyFont="1" applyBorder="1" applyAlignment="1">
      <alignment horizontal="center" wrapText="1"/>
    </xf>
    <xf numFmtId="0" fontId="132" fillId="11" borderId="183" xfId="0" applyFont="1" applyFill="1" applyBorder="1" applyAlignment="1">
      <alignment horizontal="center"/>
    </xf>
    <xf numFmtId="0" fontId="70" fillId="10" borderId="201" xfId="0" applyFont="1" applyFill="1" applyBorder="1" applyAlignment="1">
      <alignment horizontal="left"/>
    </xf>
    <xf numFmtId="0" fontId="64" fillId="18" borderId="201" xfId="0" applyFont="1" applyFill="1" applyBorder="1"/>
    <xf numFmtId="3" fontId="64" fillId="10" borderId="220" xfId="1" applyNumberFormat="1" applyFont="1" applyFill="1" applyBorder="1" applyAlignment="1" applyProtection="1"/>
    <xf numFmtId="3" fontId="64" fillId="24" borderId="221" xfId="1" applyNumberFormat="1" applyFont="1" applyFill="1" applyBorder="1" applyAlignment="1" applyProtection="1"/>
    <xf numFmtId="0" fontId="4" fillId="0" borderId="223" xfId="0" applyFont="1" applyBorder="1" applyAlignment="1">
      <alignment horizontal="center"/>
    </xf>
    <xf numFmtId="0" fontId="64" fillId="18" borderId="207" xfId="0" applyFont="1" applyFill="1" applyBorder="1" applyAlignment="1">
      <alignment horizontal="left"/>
    </xf>
    <xf numFmtId="0" fontId="70" fillId="10" borderId="222" xfId="0" applyFont="1" applyFill="1" applyBorder="1"/>
    <xf numFmtId="3" fontId="70" fillId="10" borderId="193" xfId="0" applyNumberFormat="1" applyFont="1" applyFill="1" applyBorder="1"/>
    <xf numFmtId="3" fontId="137" fillId="51" borderId="224" xfId="0" applyNumberFormat="1" applyFont="1" applyFill="1" applyBorder="1" applyProtection="1">
      <protection locked="0"/>
    </xf>
    <xf numFmtId="0" fontId="0" fillId="0" borderId="207" xfId="0" applyBorder="1"/>
    <xf numFmtId="3" fontId="4" fillId="3" borderId="196" xfId="15" applyFont="1" applyFill="1" applyBorder="1" applyAlignment="1" applyProtection="1">
      <alignment horizontal="center" vertical="center" wrapText="1"/>
    </xf>
    <xf numFmtId="3" fontId="70" fillId="26" borderId="207" xfId="15" applyFont="1" applyFill="1" applyBorder="1" applyAlignment="1" applyProtection="1">
      <alignment horizontal="left"/>
    </xf>
    <xf numFmtId="3" fontId="70" fillId="6" borderId="207" xfId="1" applyNumberFormat="1" applyFont="1" applyFill="1" applyBorder="1" applyAlignment="1" applyProtection="1"/>
    <xf numFmtId="3" fontId="64" fillId="6" borderId="207" xfId="15" applyFont="1" applyFill="1" applyBorder="1" applyAlignment="1" applyProtection="1"/>
    <xf numFmtId="3" fontId="4" fillId="6" borderId="195" xfId="15" applyFont="1" applyFill="1" applyBorder="1" applyAlignment="1" applyProtection="1"/>
    <xf numFmtId="3" fontId="45" fillId="57" borderId="195" xfId="0" applyNumberFormat="1" applyFont="1" applyFill="1" applyBorder="1"/>
    <xf numFmtId="3" fontId="139" fillId="6" borderId="195" xfId="0" applyNumberFormat="1" applyFont="1" applyFill="1" applyBorder="1"/>
    <xf numFmtId="3" fontId="134" fillId="6" borderId="195" xfId="0" applyNumberFormat="1" applyFont="1" applyFill="1" applyBorder="1"/>
    <xf numFmtId="0" fontId="4" fillId="7" borderId="224" xfId="0" applyFont="1" applyFill="1" applyBorder="1"/>
    <xf numFmtId="3" fontId="64" fillId="18" borderId="207" xfId="0" applyNumberFormat="1" applyFont="1" applyFill="1" applyBorder="1" applyAlignment="1">
      <alignment horizontal="center"/>
    </xf>
    <xf numFmtId="0" fontId="64" fillId="10" borderId="207" xfId="0" applyFont="1" applyFill="1" applyBorder="1"/>
    <xf numFmtId="0" fontId="64" fillId="10" borderId="213" xfId="0" applyFont="1" applyFill="1" applyBorder="1"/>
    <xf numFmtId="3" fontId="70" fillId="9" borderId="207" xfId="0" applyNumberFormat="1" applyFont="1" applyFill="1" applyBorder="1"/>
    <xf numFmtId="0" fontId="38" fillId="7" borderId="195" xfId="0" applyFont="1" applyFill="1" applyBorder="1"/>
    <xf numFmtId="0" fontId="4" fillId="10" borderId="179" xfId="0" applyFont="1" applyFill="1" applyBorder="1"/>
    <xf numFmtId="0" fontId="64" fillId="10" borderId="195" xfId="0" applyFont="1" applyFill="1" applyBorder="1"/>
    <xf numFmtId="0" fontId="70" fillId="10" borderId="207" xfId="0" applyFont="1" applyFill="1" applyBorder="1"/>
    <xf numFmtId="3" fontId="88" fillId="11" borderId="207" xfId="0" applyNumberFormat="1" applyFont="1" applyFill="1" applyBorder="1"/>
    <xf numFmtId="0" fontId="64" fillId="76" borderId="207" xfId="0" applyFont="1" applyFill="1" applyBorder="1"/>
    <xf numFmtId="3" fontId="70" fillId="10" borderId="211" xfId="1" applyNumberFormat="1" applyFont="1" applyFill="1" applyBorder="1" applyAlignment="1" applyProtection="1"/>
    <xf numFmtId="3" fontId="70" fillId="76" borderId="211" xfId="1" applyNumberFormat="1" applyFont="1" applyFill="1" applyBorder="1" applyAlignment="1" applyProtection="1"/>
    <xf numFmtId="0" fontId="4" fillId="3" borderId="195" xfId="0" applyFont="1" applyFill="1" applyBorder="1" applyAlignment="1">
      <alignment horizontal="center"/>
    </xf>
    <xf numFmtId="0" fontId="0" fillId="0" borderId="207" xfId="0" applyBorder="1" applyAlignment="1">
      <alignment horizontal="left"/>
    </xf>
    <xf numFmtId="0" fontId="101" fillId="0" borderId="246" xfId="0" applyFont="1" applyBorder="1" applyAlignment="1">
      <alignment horizontal="center" wrapText="1"/>
    </xf>
    <xf numFmtId="0" fontId="4" fillId="0" borderId="197" xfId="0" applyFont="1" applyBorder="1" applyAlignment="1">
      <alignment horizontal="center"/>
    </xf>
    <xf numFmtId="3" fontId="70" fillId="29" borderId="207" xfId="10" applyFont="1" applyFill="1" applyBorder="1" applyAlignment="1"/>
    <xf numFmtId="3" fontId="70" fillId="18" borderId="222" xfId="15" applyFont="1" applyFill="1" applyBorder="1" applyAlignment="1" applyProtection="1"/>
    <xf numFmtId="3" fontId="70" fillId="10" borderId="248" xfId="1" applyNumberFormat="1" applyFont="1" applyFill="1" applyBorder="1" applyAlignment="1" applyProtection="1"/>
    <xf numFmtId="0" fontId="0" fillId="0" borderId="207" xfId="0" applyBorder="1" applyAlignment="1">
      <alignment horizontal="center"/>
    </xf>
    <xf numFmtId="175" fontId="0" fillId="0" borderId="207" xfId="0" applyNumberFormat="1" applyBorder="1"/>
    <xf numFmtId="0" fontId="0" fillId="0" borderId="218" xfId="0" applyBorder="1" applyAlignment="1">
      <alignment horizontal="center"/>
    </xf>
    <xf numFmtId="3" fontId="66" fillId="10" borderId="249" xfId="1" applyNumberFormat="1" applyFont="1" applyFill="1" applyBorder="1" applyAlignment="1" applyProtection="1"/>
    <xf numFmtId="3" fontId="66" fillId="10" borderId="250" xfId="1" applyNumberFormat="1" applyFont="1" applyFill="1" applyBorder="1" applyAlignment="1" applyProtection="1"/>
    <xf numFmtId="3" fontId="66" fillId="10" borderId="251" xfId="1" applyNumberFormat="1" applyFont="1" applyFill="1" applyBorder="1" applyAlignment="1" applyProtection="1"/>
    <xf numFmtId="3" fontId="66" fillId="10" borderId="55" xfId="1" applyNumberFormat="1" applyFont="1" applyFill="1" applyBorder="1" applyAlignment="1" applyProtection="1"/>
    <xf numFmtId="0" fontId="66" fillId="10" borderId="252" xfId="0" applyFont="1" applyFill="1" applyBorder="1"/>
    <xf numFmtId="3" fontId="66" fillId="10" borderId="252" xfId="1" applyNumberFormat="1" applyFont="1" applyFill="1" applyBorder="1" applyAlignment="1" applyProtection="1"/>
    <xf numFmtId="175" fontId="66" fillId="10" borderId="252" xfId="0" applyNumberFormat="1" applyFont="1" applyFill="1" applyBorder="1"/>
    <xf numFmtId="0" fontId="66" fillId="10" borderId="252" xfId="0" applyFont="1" applyFill="1" applyBorder="1" applyAlignment="1">
      <alignment horizontal="center"/>
    </xf>
    <xf numFmtId="3" fontId="66" fillId="10" borderId="253" xfId="1" applyNumberFormat="1" applyFont="1" applyFill="1" applyBorder="1" applyAlignment="1" applyProtection="1"/>
    <xf numFmtId="3" fontId="66" fillId="18" borderId="252" xfId="1" applyNumberFormat="1" applyFont="1" applyFill="1" applyBorder="1" applyAlignment="1" applyProtection="1"/>
    <xf numFmtId="175" fontId="66" fillId="18" borderId="252" xfId="0" applyNumberFormat="1" applyFont="1" applyFill="1" applyBorder="1"/>
    <xf numFmtId="0" fontId="66" fillId="18" borderId="252" xfId="0" applyFont="1" applyFill="1" applyBorder="1"/>
    <xf numFmtId="0" fontId="66" fillId="18" borderId="252" xfId="0" applyFont="1" applyFill="1" applyBorder="1" applyAlignment="1">
      <alignment horizontal="center"/>
    </xf>
    <xf numFmtId="0" fontId="66" fillId="18" borderId="252" xfId="0" applyFont="1" applyFill="1" applyBorder="1" applyAlignment="1">
      <alignment horizontal="right"/>
    </xf>
    <xf numFmtId="0" fontId="66" fillId="24" borderId="253" xfId="0" applyFont="1" applyFill="1" applyBorder="1"/>
    <xf numFmtId="3" fontId="68" fillId="10" borderId="249" xfId="1" applyNumberFormat="1" applyFont="1" applyFill="1" applyBorder="1" applyAlignment="1" applyProtection="1"/>
    <xf numFmtId="3" fontId="0" fillId="0" borderId="207" xfId="15" applyFont="1" applyFill="1" applyBorder="1" applyAlignment="1" applyProtection="1">
      <alignment horizontal="center"/>
    </xf>
    <xf numFmtId="3" fontId="0" fillId="0" borderId="207" xfId="15" applyFont="1" applyFill="1" applyBorder="1" applyAlignment="1" applyProtection="1"/>
    <xf numFmtId="0" fontId="0" fillId="3" borderId="196" xfId="0" applyFill="1" applyBorder="1" applyAlignment="1">
      <alignment horizontal="center" vertical="top" wrapText="1"/>
    </xf>
    <xf numFmtId="0" fontId="38" fillId="3" borderId="254" xfId="0" applyFont="1" applyFill="1" applyBorder="1" applyAlignment="1">
      <alignment horizontal="center" vertical="top" wrapText="1"/>
    </xf>
    <xf numFmtId="38" fontId="0" fillId="3" borderId="255" xfId="2" applyFont="1" applyFill="1" applyBorder="1" applyAlignment="1" applyProtection="1">
      <alignment horizontal="center" vertical="top" wrapText="1"/>
    </xf>
    <xf numFmtId="3" fontId="23" fillId="3" borderId="256" xfId="15" applyFont="1" applyFill="1" applyBorder="1" applyAlignment="1" applyProtection="1">
      <alignment horizontal="center" vertical="top" wrapText="1"/>
    </xf>
    <xf numFmtId="3" fontId="16" fillId="3" borderId="197" xfId="15" applyFont="1" applyFill="1" applyBorder="1" applyAlignment="1" applyProtection="1">
      <alignment horizontal="center" vertical="top" wrapText="1"/>
    </xf>
    <xf numFmtId="0" fontId="2" fillId="7" borderId="196" xfId="0" applyFont="1" applyFill="1" applyBorder="1"/>
    <xf numFmtId="0" fontId="2" fillId="7" borderId="195" xfId="0" applyFont="1" applyFill="1" applyBorder="1"/>
    <xf numFmtId="0" fontId="0" fillId="7" borderId="195" xfId="0" applyFill="1" applyBorder="1"/>
    <xf numFmtId="0" fontId="2" fillId="7" borderId="195" xfId="0" applyFont="1" applyFill="1" applyBorder="1" applyAlignment="1">
      <alignment horizontal="center"/>
    </xf>
    <xf numFmtId="0" fontId="2" fillId="7" borderId="197" xfId="0" applyFont="1" applyFill="1" applyBorder="1" applyAlignment="1">
      <alignment horizontal="center"/>
    </xf>
    <xf numFmtId="3" fontId="64" fillId="10" borderId="207" xfId="0" applyNumberFormat="1" applyFont="1" applyFill="1" applyBorder="1"/>
    <xf numFmtId="3" fontId="64" fillId="10" borderId="211" xfId="0" applyNumberFormat="1" applyFont="1" applyFill="1" applyBorder="1"/>
    <xf numFmtId="0" fontId="0" fillId="0" borderId="211" xfId="0" applyBorder="1"/>
    <xf numFmtId="0" fontId="38" fillId="6" borderId="257" xfId="0" applyFont="1" applyFill="1" applyBorder="1" applyAlignment="1">
      <alignment horizontal="left"/>
    </xf>
    <xf numFmtId="0" fontId="4" fillId="6" borderId="258" xfId="0" applyFont="1" applyFill="1" applyBorder="1" applyAlignment="1">
      <alignment horizontal="left"/>
    </xf>
    <xf numFmtId="0" fontId="4" fillId="6" borderId="259" xfId="0" applyFont="1" applyFill="1" applyBorder="1" applyAlignment="1">
      <alignment horizontal="left"/>
    </xf>
    <xf numFmtId="0" fontId="3" fillId="0" borderId="268" xfId="0" applyFont="1" applyBorder="1" applyAlignment="1">
      <alignment vertical="top" wrapText="1"/>
    </xf>
    <xf numFmtId="0" fontId="2" fillId="7" borderId="203" xfId="0" applyFont="1" applyFill="1" applyBorder="1" applyAlignment="1">
      <alignment horizontal="center" wrapText="1"/>
    </xf>
    <xf numFmtId="0" fontId="2" fillId="61" borderId="265" xfId="0" applyFont="1" applyFill="1" applyBorder="1" applyAlignment="1">
      <alignment horizontal="center" wrapText="1"/>
    </xf>
    <xf numFmtId="0" fontId="3" fillId="0" borderId="225" xfId="0" applyFont="1" applyBorder="1" applyAlignment="1">
      <alignment vertical="top" wrapText="1"/>
    </xf>
    <xf numFmtId="0" fontId="3" fillId="7" borderId="226" xfId="0" applyFont="1" applyFill="1" applyBorder="1" applyAlignment="1">
      <alignment horizontal="right" wrapText="1"/>
    </xf>
    <xf numFmtId="0" fontId="3" fillId="0" borderId="212" xfId="0" applyFont="1" applyBorder="1" applyAlignment="1">
      <alignment vertical="top" wrapText="1"/>
    </xf>
    <xf numFmtId="0" fontId="2" fillId="61" borderId="209" xfId="0" applyFont="1" applyFill="1" applyBorder="1" applyAlignment="1">
      <alignment horizontal="center" wrapText="1"/>
    </xf>
    <xf numFmtId="176" fontId="0" fillId="7" borderId="269" xfId="0" applyNumberFormat="1" applyFill="1" applyBorder="1" applyAlignment="1">
      <alignment horizontal="right"/>
    </xf>
    <xf numFmtId="176" fontId="0" fillId="61" borderId="270" xfId="0" applyNumberFormat="1" applyFill="1" applyBorder="1" applyAlignment="1">
      <alignment horizontal="right"/>
    </xf>
    <xf numFmtId="176" fontId="0" fillId="33" borderId="271" xfId="0" applyNumberFormat="1" applyFill="1" applyBorder="1" applyAlignment="1" applyProtection="1">
      <alignment horizontal="right"/>
      <protection locked="0"/>
    </xf>
    <xf numFmtId="176" fontId="0" fillId="61" borderId="272" xfId="0" applyNumberFormat="1" applyFill="1" applyBorder="1" applyAlignment="1">
      <alignment horizontal="right"/>
    </xf>
    <xf numFmtId="176" fontId="13" fillId="7" borderId="273" xfId="74" applyNumberFormat="1" applyFont="1" applyFill="1" applyBorder="1" applyAlignment="1" applyProtection="1">
      <alignment horizontal="right"/>
    </xf>
    <xf numFmtId="176" fontId="13" fillId="61" borderId="274" xfId="74" applyNumberFormat="1" applyFont="1" applyFill="1" applyBorder="1" applyAlignment="1" applyProtection="1">
      <alignment horizontal="right"/>
    </xf>
    <xf numFmtId="4" fontId="34" fillId="33" borderId="275" xfId="74" applyFont="1" applyFill="1" applyBorder="1" applyAlignment="1" applyProtection="1">
      <alignment horizontal="right"/>
      <protection locked="0"/>
    </xf>
    <xf numFmtId="4" fontId="34" fillId="7" borderId="275" xfId="74" applyFont="1" applyFill="1" applyBorder="1" applyAlignment="1" applyProtection="1">
      <alignment horizontal="right"/>
    </xf>
    <xf numFmtId="4" fontId="34" fillId="33" borderId="276" xfId="74" applyFont="1" applyFill="1" applyBorder="1" applyAlignment="1" applyProtection="1">
      <alignment horizontal="right"/>
      <protection locked="0"/>
    </xf>
    <xf numFmtId="4" fontId="34" fillId="7" borderId="276" xfId="74" applyFont="1" applyFill="1" applyBorder="1" applyAlignment="1" applyProtection="1">
      <alignment horizontal="right"/>
    </xf>
    <xf numFmtId="4" fontId="102" fillId="33" borderId="276" xfId="74" applyFont="1" applyFill="1" applyBorder="1" applyAlignment="1" applyProtection="1">
      <alignment horizontal="right"/>
      <protection locked="0"/>
    </xf>
    <xf numFmtId="4" fontId="34" fillId="7" borderId="276" xfId="74" applyFont="1" applyFill="1" applyBorder="1" applyAlignment="1" applyProtection="1">
      <alignment horizontal="right"/>
      <protection locked="0"/>
    </xf>
    <xf numFmtId="4" fontId="102" fillId="33" borderId="219" xfId="75" applyNumberFormat="1" applyFont="1" applyFill="1" applyBorder="1" applyAlignment="1" applyProtection="1">
      <alignment horizontal="right"/>
      <protection locked="0"/>
    </xf>
    <xf numFmtId="4" fontId="34" fillId="7" borderId="219" xfId="75" applyNumberFormat="1" applyFont="1" applyFill="1" applyBorder="1" applyAlignment="1" applyProtection="1">
      <alignment horizontal="right"/>
      <protection locked="0"/>
    </xf>
    <xf numFmtId="4" fontId="102" fillId="33" borderId="277" xfId="0" applyNumberFormat="1" applyFont="1" applyFill="1" applyBorder="1" applyAlignment="1" applyProtection="1">
      <alignment horizontal="right"/>
      <protection locked="0"/>
    </xf>
    <xf numFmtId="4" fontId="34" fillId="7" borderId="277" xfId="0" applyNumberFormat="1" applyFont="1" applyFill="1" applyBorder="1" applyAlignment="1">
      <alignment horizontal="right"/>
    </xf>
    <xf numFmtId="2" fontId="102" fillId="33" borderId="277" xfId="0" applyNumberFormat="1" applyFont="1" applyFill="1" applyBorder="1" applyAlignment="1" applyProtection="1">
      <alignment horizontal="right"/>
      <protection locked="0"/>
    </xf>
    <xf numFmtId="2" fontId="34" fillId="7" borderId="277" xfId="0" applyNumberFormat="1" applyFont="1" applyFill="1" applyBorder="1" applyAlignment="1">
      <alignment horizontal="right"/>
    </xf>
    <xf numFmtId="4" fontId="34" fillId="33" borderId="232" xfId="75" applyNumberFormat="1" applyFont="1" applyFill="1" applyBorder="1" applyAlignment="1" applyProtection="1">
      <alignment horizontal="right"/>
      <protection locked="0"/>
    </xf>
    <xf numFmtId="4" fontId="34" fillId="7" borderId="232" xfId="75" applyNumberFormat="1" applyFont="1" applyFill="1" applyBorder="1" applyAlignment="1" applyProtection="1">
      <alignment horizontal="right"/>
    </xf>
    <xf numFmtId="10" fontId="34" fillId="33" borderId="278" xfId="75" applyNumberFormat="1" applyFont="1" applyFill="1" applyBorder="1" applyAlignment="1" applyProtection="1">
      <alignment horizontal="right"/>
      <protection locked="0"/>
    </xf>
    <xf numFmtId="10" fontId="34" fillId="7" borderId="278" xfId="75" applyNumberFormat="1" applyFont="1" applyFill="1" applyBorder="1" applyAlignment="1" applyProtection="1">
      <alignment horizontal="right"/>
    </xf>
    <xf numFmtId="10" fontId="34" fillId="33" borderId="279" xfId="75" applyNumberFormat="1" applyFont="1" applyFill="1" applyBorder="1" applyAlignment="1" applyProtection="1">
      <alignment horizontal="right"/>
      <protection locked="0"/>
    </xf>
    <xf numFmtId="10" fontId="34" fillId="7" borderId="279" xfId="75" applyNumberFormat="1" applyFont="1" applyFill="1" applyBorder="1" applyAlignment="1" applyProtection="1">
      <alignment horizontal="right"/>
    </xf>
    <xf numFmtId="172" fontId="102" fillId="33" borderId="279" xfId="75" applyNumberFormat="1" applyFont="1" applyFill="1" applyBorder="1" applyAlignment="1" applyProtection="1">
      <alignment horizontal="right"/>
      <protection locked="0"/>
    </xf>
    <xf numFmtId="4" fontId="36" fillId="0" borderId="277" xfId="74" applyFont="1" applyFill="1" applyBorder="1" applyAlignment="1" applyProtection="1">
      <alignment horizontal="center"/>
    </xf>
    <xf numFmtId="4" fontId="102" fillId="33" borderId="279" xfId="0" applyNumberFormat="1" applyFont="1" applyFill="1" applyBorder="1" applyAlignment="1" applyProtection="1">
      <alignment horizontal="right"/>
      <protection locked="0"/>
    </xf>
    <xf numFmtId="4" fontId="34" fillId="7" borderId="279" xfId="0" applyNumberFormat="1" applyFont="1" applyFill="1" applyBorder="1" applyAlignment="1">
      <alignment horizontal="right"/>
    </xf>
    <xf numFmtId="0" fontId="0" fillId="6" borderId="237" xfId="0" applyFill="1" applyBorder="1" applyAlignment="1">
      <alignment horizontal="left"/>
    </xf>
    <xf numFmtId="4" fontId="102" fillId="33" borderId="232" xfId="0" applyNumberFormat="1" applyFont="1" applyFill="1" applyBorder="1" applyAlignment="1" applyProtection="1">
      <alignment horizontal="right"/>
      <protection locked="0"/>
    </xf>
    <xf numFmtId="4" fontId="34" fillId="7" borderId="235" xfId="0" applyNumberFormat="1" applyFont="1" applyFill="1" applyBorder="1" applyAlignment="1">
      <alignment horizontal="right"/>
    </xf>
    <xf numFmtId="0" fontId="0" fillId="6" borderId="280" xfId="0" applyFill="1" applyBorder="1" applyAlignment="1">
      <alignment horizontal="left"/>
    </xf>
    <xf numFmtId="4" fontId="102" fillId="33" borderId="281" xfId="0" applyNumberFormat="1" applyFont="1" applyFill="1" applyBorder="1" applyAlignment="1" applyProtection="1">
      <alignment horizontal="right"/>
      <protection locked="0"/>
    </xf>
    <xf numFmtId="4" fontId="34" fillId="7" borderId="282" xfId="0" applyNumberFormat="1" applyFont="1" applyFill="1" applyBorder="1" applyAlignment="1">
      <alignment horizontal="right"/>
    </xf>
    <xf numFmtId="0" fontId="96" fillId="33" borderId="244" xfId="0" applyFont="1" applyFill="1" applyBorder="1" applyAlignment="1" applyProtection="1">
      <alignment horizontal="center"/>
      <protection locked="0"/>
    </xf>
    <xf numFmtId="0" fontId="52" fillId="8" borderId="285" xfId="0" applyFont="1" applyFill="1" applyBorder="1" applyAlignment="1">
      <alignment horizontal="center"/>
    </xf>
    <xf numFmtId="0" fontId="52" fillId="8" borderId="286" xfId="0" applyFont="1" applyFill="1" applyBorder="1" applyAlignment="1">
      <alignment horizontal="center"/>
    </xf>
    <xf numFmtId="0" fontId="52" fillId="8" borderId="287" xfId="0" applyFont="1" applyFill="1" applyBorder="1" applyAlignment="1">
      <alignment horizontal="center"/>
    </xf>
    <xf numFmtId="0" fontId="0" fillId="8" borderId="233" xfId="0" applyFill="1" applyBorder="1" applyAlignment="1">
      <alignment horizontal="center" vertical="top" wrapText="1"/>
    </xf>
    <xf numFmtId="0" fontId="0" fillId="8" borderId="288" xfId="0" applyFill="1" applyBorder="1" applyAlignment="1">
      <alignment horizontal="center" vertical="top" wrapText="1"/>
    </xf>
    <xf numFmtId="0" fontId="0" fillId="8" borderId="238" xfId="0" applyFill="1" applyBorder="1" applyAlignment="1">
      <alignment horizontal="center" vertical="top" wrapText="1"/>
    </xf>
    <xf numFmtId="0" fontId="18" fillId="8" borderId="290" xfId="0" applyFont="1" applyFill="1" applyBorder="1" applyAlignment="1">
      <alignment horizontal="center" vertical="top" wrapText="1"/>
    </xf>
    <xf numFmtId="0" fontId="18" fillId="8" borderId="291" xfId="0" applyFont="1" applyFill="1" applyBorder="1" applyAlignment="1">
      <alignment horizontal="center" vertical="top" wrapText="1"/>
    </xf>
    <xf numFmtId="0" fontId="0" fillId="8" borderId="291" xfId="0" applyFill="1" applyBorder="1" applyAlignment="1">
      <alignment horizontal="center" vertical="top" wrapText="1"/>
    </xf>
    <xf numFmtId="0" fontId="18" fillId="8" borderId="292" xfId="0" applyFont="1" applyFill="1" applyBorder="1" applyAlignment="1">
      <alignment horizontal="center" vertical="top" wrapText="1"/>
    </xf>
    <xf numFmtId="0" fontId="101" fillId="33" borderId="293" xfId="10" applyNumberFormat="1" applyFont="1" applyFill="1" applyBorder="1" applyAlignment="1" applyProtection="1">
      <alignment horizontal="right"/>
      <protection locked="0"/>
    </xf>
    <xf numFmtId="0" fontId="101" fillId="33" borderId="293" xfId="0" applyFont="1" applyFill="1" applyBorder="1" applyAlignment="1" applyProtection="1">
      <alignment horizontal="right"/>
      <protection locked="0"/>
    </xf>
    <xf numFmtId="0" fontId="101" fillId="33" borderId="294" xfId="0" applyFont="1" applyFill="1" applyBorder="1" applyAlignment="1" applyProtection="1">
      <alignment horizontal="right"/>
      <protection locked="0"/>
    </xf>
    <xf numFmtId="3" fontId="0" fillId="0" borderId="207" xfId="2" applyNumberFormat="1" applyFont="1" applyFill="1" applyBorder="1" applyAlignment="1" applyProtection="1"/>
    <xf numFmtId="0" fontId="0" fillId="11" borderId="230" xfId="0" applyFill="1" applyBorder="1"/>
    <xf numFmtId="0" fontId="0" fillId="21" borderId="295" xfId="0" applyFill="1" applyBorder="1"/>
    <xf numFmtId="0" fontId="88" fillId="11" borderId="247" xfId="0" applyFont="1" applyFill="1" applyBorder="1" applyAlignment="1">
      <alignment wrapText="1"/>
    </xf>
    <xf numFmtId="38" fontId="109" fillId="3" borderId="284" xfId="2" applyFont="1" applyFill="1" applyBorder="1" applyAlignment="1" applyProtection="1">
      <alignment horizontal="center" wrapText="1"/>
    </xf>
    <xf numFmtId="3" fontId="109" fillId="3" borderId="296" xfId="15" applyFont="1" applyFill="1" applyBorder="1" applyAlignment="1" applyProtection="1">
      <alignment horizontal="center" wrapText="1"/>
    </xf>
    <xf numFmtId="3" fontId="109" fillId="3" borderId="255" xfId="15" applyFont="1" applyFill="1" applyBorder="1" applyAlignment="1" applyProtection="1">
      <alignment horizontal="center" vertical="center" wrapText="1"/>
    </xf>
    <xf numFmtId="1" fontId="109" fillId="3" borderId="256" xfId="15" applyNumberFormat="1" applyFont="1" applyFill="1" applyBorder="1" applyAlignment="1" applyProtection="1">
      <alignment horizontal="center" vertical="center" wrapText="1"/>
    </xf>
    <xf numFmtId="1" fontId="109" fillId="3" borderId="222" xfId="15" applyNumberFormat="1" applyFont="1" applyFill="1" applyBorder="1" applyAlignment="1" applyProtection="1">
      <alignment horizontal="center" vertical="top" wrapText="1"/>
    </xf>
    <xf numFmtId="0" fontId="0" fillId="16" borderId="247" xfId="0" applyFill="1" applyBorder="1" applyAlignment="1">
      <alignment vertical="top" wrapText="1"/>
    </xf>
    <xf numFmtId="3" fontId="3" fillId="7" borderId="297" xfId="0" applyNumberFormat="1" applyFont="1" applyFill="1" applyBorder="1" applyAlignment="1">
      <alignment horizontal="center"/>
    </xf>
    <xf numFmtId="1" fontId="3" fillId="16" borderId="298" xfId="15" applyNumberFormat="1" applyFont="1" applyFill="1" applyBorder="1" applyAlignment="1" applyProtection="1">
      <alignment horizontal="center" vertical="top" wrapText="1"/>
    </xf>
    <xf numFmtId="1" fontId="3" fillId="16" borderId="299" xfId="15" applyNumberFormat="1" applyFont="1" applyFill="1" applyBorder="1" applyAlignment="1" applyProtection="1">
      <alignment horizontal="center" vertical="top" wrapText="1"/>
    </xf>
    <xf numFmtId="1" fontId="16" fillId="16" borderId="298" xfId="15" applyNumberFormat="1" applyFont="1" applyFill="1" applyBorder="1" applyAlignment="1" applyProtection="1">
      <alignment horizontal="center" vertical="top" wrapText="1"/>
    </xf>
    <xf numFmtId="0" fontId="0" fillId="16" borderId="239" xfId="0" applyFill="1" applyBorder="1" applyAlignment="1">
      <alignment vertical="top" wrapText="1"/>
    </xf>
    <xf numFmtId="2" fontId="3" fillId="16" borderId="300" xfId="26" applyNumberFormat="1" applyFont="1" applyFill="1" applyBorder="1" applyAlignment="1" applyProtection="1">
      <alignment horizontal="center" vertical="top" wrapText="1"/>
    </xf>
    <xf numFmtId="0" fontId="16" fillId="16" borderId="300" xfId="0" applyFont="1" applyFill="1" applyBorder="1" applyAlignment="1">
      <alignment horizontal="center" vertical="top" wrapText="1"/>
    </xf>
    <xf numFmtId="1" fontId="3" fillId="16" borderId="301" xfId="15" applyNumberFormat="1" applyFont="1" applyFill="1" applyBorder="1" applyAlignment="1" applyProtection="1">
      <alignment horizontal="center" vertical="top" wrapText="1"/>
    </xf>
    <xf numFmtId="1" fontId="3" fillId="16" borderId="302" xfId="15" applyNumberFormat="1" applyFont="1" applyFill="1" applyBorder="1" applyAlignment="1" applyProtection="1">
      <alignment horizontal="center" vertical="top" wrapText="1"/>
    </xf>
    <xf numFmtId="0" fontId="3" fillId="16" borderId="303" xfId="0" applyFont="1" applyFill="1" applyBorder="1" applyAlignment="1">
      <alignment vertical="top" wrapText="1"/>
    </xf>
    <xf numFmtId="3" fontId="3" fillId="33" borderId="304" xfId="0" applyNumberFormat="1" applyFont="1" applyFill="1" applyBorder="1" applyAlignment="1" applyProtection="1">
      <alignment horizontal="center"/>
      <protection locked="0"/>
    </xf>
    <xf numFmtId="2" fontId="3" fillId="16" borderId="305" xfId="15" applyNumberFormat="1" applyFont="1" applyFill="1" applyBorder="1" applyAlignment="1" applyProtection="1">
      <alignment horizontal="center" vertical="top" wrapText="1"/>
    </xf>
    <xf numFmtId="2" fontId="3" fillId="74" borderId="306" xfId="15" applyNumberFormat="1" applyFont="1" applyFill="1" applyBorder="1" applyAlignment="1" applyProtection="1">
      <alignment horizontal="center" vertical="top" wrapText="1"/>
      <protection locked="0"/>
    </xf>
    <xf numFmtId="0" fontId="16" fillId="16" borderId="301" xfId="0" applyFont="1" applyFill="1" applyBorder="1" applyAlignment="1">
      <alignment horizontal="center" vertical="top" wrapText="1"/>
    </xf>
    <xf numFmtId="0" fontId="0" fillId="16" borderId="303" xfId="0" applyFill="1" applyBorder="1" applyAlignment="1">
      <alignment vertical="top" wrapText="1"/>
    </xf>
    <xf numFmtId="3" fontId="3" fillId="33" borderId="297" xfId="0" applyNumberFormat="1" applyFont="1" applyFill="1" applyBorder="1" applyAlignment="1" applyProtection="1">
      <alignment horizontal="center"/>
      <protection locked="0"/>
    </xf>
    <xf numFmtId="2" fontId="3" fillId="7" borderId="297" xfId="0" applyNumberFormat="1" applyFont="1" applyFill="1" applyBorder="1" applyAlignment="1">
      <alignment horizontal="center"/>
    </xf>
    <xf numFmtId="2" fontId="3" fillId="33" borderId="297" xfId="0" applyNumberFormat="1" applyFont="1" applyFill="1" applyBorder="1" applyAlignment="1" applyProtection="1">
      <alignment horizontal="center"/>
      <protection locked="0"/>
    </xf>
    <xf numFmtId="0" fontId="0" fillId="16" borderId="307" xfId="0" applyFill="1" applyBorder="1" applyAlignment="1">
      <alignment vertical="top" wrapText="1"/>
    </xf>
    <xf numFmtId="2" fontId="0" fillId="33" borderId="297" xfId="0" applyNumberFormat="1" applyFill="1" applyBorder="1" applyAlignment="1" applyProtection="1">
      <alignment horizontal="center"/>
      <protection locked="0"/>
    </xf>
    <xf numFmtId="0" fontId="16" fillId="16" borderId="308" xfId="0" applyFont="1" applyFill="1" applyBorder="1" applyAlignment="1">
      <alignment horizontal="center" vertical="top" wrapText="1"/>
    </xf>
    <xf numFmtId="0" fontId="122" fillId="17" borderId="196" xfId="14" applyNumberFormat="1" applyFont="1" applyFill="1" applyBorder="1" applyAlignment="1" applyProtection="1">
      <alignment horizontal="center" wrapText="1"/>
    </xf>
    <xf numFmtId="0" fontId="122" fillId="7" borderId="195" xfId="14" applyFont="1" applyFill="1" applyBorder="1" applyAlignment="1">
      <alignment horizontal="center"/>
    </xf>
    <xf numFmtId="0" fontId="0" fillId="42" borderId="247" xfId="0" applyFill="1" applyBorder="1"/>
    <xf numFmtId="3" fontId="3" fillId="33" borderId="247" xfId="0" applyNumberFormat="1" applyFont="1" applyFill="1" applyBorder="1" applyProtection="1">
      <protection locked="0"/>
    </xf>
    <xf numFmtId="3" fontId="59" fillId="42" borderId="247" xfId="1" applyNumberFormat="1" applyFill="1" applyBorder="1" applyProtection="1"/>
    <xf numFmtId="3" fontId="3" fillId="42" borderId="247" xfId="2" applyNumberFormat="1" applyFont="1" applyFill="1" applyBorder="1" applyAlignment="1" applyProtection="1"/>
    <xf numFmtId="3" fontId="19" fillId="52" borderId="247" xfId="2" applyNumberFormat="1" applyFont="1" applyFill="1" applyBorder="1" applyAlignment="1" applyProtection="1"/>
    <xf numFmtId="0" fontId="0" fillId="42" borderId="307" xfId="0" applyFill="1" applyBorder="1"/>
    <xf numFmtId="3" fontId="3" fillId="42" borderId="307" xfId="2" applyNumberFormat="1" applyFont="1" applyFill="1" applyBorder="1" applyAlignment="1" applyProtection="1"/>
    <xf numFmtId="3" fontId="19" fillId="52" borderId="307" xfId="2" applyNumberFormat="1" applyFont="1" applyFill="1" applyBorder="1" applyAlignment="1" applyProtection="1"/>
    <xf numFmtId="0" fontId="0" fillId="53" borderId="247" xfId="0" applyFill="1" applyBorder="1"/>
    <xf numFmtId="3" fontId="3" fillId="33" borderId="230" xfId="0" applyNumberFormat="1" applyFont="1" applyFill="1" applyBorder="1" applyProtection="1">
      <protection locked="0"/>
    </xf>
    <xf numFmtId="3" fontId="3" fillId="53" borderId="247" xfId="0" applyNumberFormat="1" applyFont="1" applyFill="1" applyBorder="1"/>
    <xf numFmtId="3" fontId="3" fillId="53" borderId="247" xfId="2" applyNumberFormat="1" applyFont="1" applyFill="1" applyBorder="1" applyAlignment="1" applyProtection="1">
      <alignment horizontal="right"/>
    </xf>
    <xf numFmtId="3" fontId="19" fillId="54" borderId="247" xfId="2" applyNumberFormat="1" applyFont="1" applyFill="1" applyBorder="1" applyAlignment="1" applyProtection="1"/>
    <xf numFmtId="0" fontId="0" fillId="53" borderId="239" xfId="0" applyFill="1" applyBorder="1"/>
    <xf numFmtId="3" fontId="3" fillId="33" borderId="309" xfId="2" applyNumberFormat="1" applyFont="1" applyFill="1" applyBorder="1" applyAlignment="1" applyProtection="1">
      <protection locked="0"/>
    </xf>
    <xf numFmtId="3" fontId="3" fillId="33" borderId="310" xfId="0" applyNumberFormat="1" applyFont="1" applyFill="1" applyBorder="1" applyProtection="1">
      <protection locked="0"/>
    </xf>
    <xf numFmtId="3" fontId="3" fillId="53" borderId="239" xfId="2" applyNumberFormat="1" applyFont="1" applyFill="1" applyBorder="1" applyAlignment="1" applyProtection="1">
      <alignment horizontal="right"/>
    </xf>
    <xf numFmtId="3" fontId="19" fillId="54" borderId="239" xfId="2" applyNumberFormat="1" applyFont="1" applyFill="1" applyBorder="1" applyAlignment="1" applyProtection="1"/>
    <xf numFmtId="0" fontId="3" fillId="53" borderId="239" xfId="0" applyFont="1" applyFill="1" applyBorder="1"/>
    <xf numFmtId="3" fontId="3" fillId="53" borderId="239" xfId="2" applyNumberFormat="1" applyFont="1" applyFill="1" applyBorder="1" applyAlignment="1" applyProtection="1"/>
    <xf numFmtId="3" fontId="3" fillId="33" borderId="309" xfId="72" applyFill="1" applyBorder="1" applyAlignment="1" applyProtection="1">
      <alignment horizontal="right"/>
      <protection locked="0"/>
    </xf>
    <xf numFmtId="3" fontId="3" fillId="53" borderId="239" xfId="15" applyFont="1" applyFill="1" applyBorder="1" applyAlignment="1" applyProtection="1">
      <alignment horizontal="right"/>
    </xf>
    <xf numFmtId="3" fontId="19" fillId="54" borderId="239" xfId="2" applyNumberFormat="1" applyFont="1" applyFill="1" applyBorder="1" applyAlignment="1" applyProtection="1">
      <alignment horizontal="right"/>
    </xf>
    <xf numFmtId="3" fontId="3" fillId="53" borderId="239" xfId="15" applyFont="1" applyFill="1" applyBorder="1" applyAlignment="1" applyProtection="1"/>
    <xf numFmtId="3" fontId="102" fillId="53" borderId="239" xfId="15" applyFont="1" applyFill="1" applyBorder="1" applyAlignment="1" applyProtection="1"/>
    <xf numFmtId="0" fontId="0" fillId="53" borderId="303" xfId="0" applyFill="1" applyBorder="1"/>
    <xf numFmtId="3" fontId="3" fillId="33" borderId="311" xfId="72" applyFill="1" applyBorder="1" applyAlignment="1" applyProtection="1">
      <alignment horizontal="right"/>
      <protection locked="0"/>
    </xf>
    <xf numFmtId="3" fontId="3" fillId="33" borderId="307" xfId="0" applyNumberFormat="1" applyFont="1" applyFill="1" applyBorder="1" applyProtection="1">
      <protection locked="0"/>
    </xf>
    <xf numFmtId="3" fontId="3" fillId="53" borderId="312" xfId="15" applyFont="1" applyFill="1" applyBorder="1" applyAlignment="1" applyProtection="1"/>
    <xf numFmtId="3" fontId="102" fillId="53" borderId="312" xfId="15" applyFont="1" applyFill="1" applyBorder="1" applyAlignment="1" applyProtection="1"/>
    <xf numFmtId="3" fontId="19" fillId="54" borderId="312" xfId="2" applyNumberFormat="1" applyFont="1" applyFill="1" applyBorder="1" applyAlignment="1" applyProtection="1"/>
    <xf numFmtId="0" fontId="0" fillId="55" borderId="310" xfId="0" applyFill="1" applyBorder="1" applyAlignment="1">
      <alignment horizontal="left" wrapText="1"/>
    </xf>
    <xf numFmtId="0" fontId="0" fillId="33" borderId="230" xfId="0" applyFill="1" applyBorder="1" applyAlignment="1" applyProtection="1">
      <alignment wrapText="1"/>
      <protection locked="0"/>
    </xf>
    <xf numFmtId="0" fontId="0" fillId="33" borderId="247" xfId="0" applyFill="1" applyBorder="1" applyAlignment="1" applyProtection="1">
      <alignment wrapText="1"/>
      <protection locked="0"/>
    </xf>
    <xf numFmtId="0" fontId="3" fillId="55" borderId="310" xfId="0" applyFont="1" applyFill="1" applyBorder="1"/>
    <xf numFmtId="3" fontId="3" fillId="33" borderId="309" xfId="72" applyFill="1" applyBorder="1" applyAlignment="1" applyProtection="1">
      <protection locked="0"/>
    </xf>
    <xf numFmtId="3" fontId="3" fillId="33" borderId="239" xfId="72" applyFill="1" applyBorder="1" applyAlignment="1" applyProtection="1">
      <protection locked="0"/>
    </xf>
    <xf numFmtId="3" fontId="3" fillId="55" borderId="239" xfId="15" applyFont="1" applyFill="1" applyBorder="1" applyAlignment="1" applyProtection="1">
      <alignment horizontal="right"/>
    </xf>
    <xf numFmtId="3" fontId="19" fillId="56" borderId="239" xfId="2" applyNumberFormat="1" applyFont="1" applyFill="1" applyBorder="1" applyAlignment="1" applyProtection="1">
      <alignment horizontal="right"/>
    </xf>
    <xf numFmtId="0" fontId="0" fillId="55" borderId="239" xfId="0" applyFill="1" applyBorder="1"/>
    <xf numFmtId="3" fontId="3" fillId="55" borderId="239" xfId="15" applyFont="1" applyFill="1" applyBorder="1" applyAlignment="1" applyProtection="1"/>
    <xf numFmtId="3" fontId="102" fillId="55" borderId="239" xfId="15" applyFont="1" applyFill="1" applyBorder="1" applyAlignment="1" applyProtection="1"/>
    <xf numFmtId="0" fontId="0" fillId="55" borderId="307" xfId="0" applyFill="1" applyBorder="1" applyAlignment="1">
      <alignment wrapText="1"/>
    </xf>
    <xf numFmtId="3" fontId="3" fillId="33" borderId="311" xfId="2" applyNumberFormat="1" applyFont="1" applyFill="1" applyBorder="1" applyAlignment="1" applyProtection="1">
      <protection locked="0"/>
    </xf>
    <xf numFmtId="3" fontId="3" fillId="33" borderId="307" xfId="72" applyFill="1" applyBorder="1" applyAlignment="1" applyProtection="1">
      <protection locked="0"/>
    </xf>
    <xf numFmtId="3" fontId="3" fillId="55" borderId="307" xfId="2" applyNumberFormat="1" applyFont="1" applyFill="1" applyBorder="1" applyAlignment="1" applyProtection="1"/>
    <xf numFmtId="3" fontId="102" fillId="55" borderId="307" xfId="2" applyNumberFormat="1" applyFont="1" applyFill="1" applyBorder="1" applyAlignment="1" applyProtection="1"/>
    <xf numFmtId="3" fontId="19" fillId="56" borderId="307" xfId="2" applyNumberFormat="1" applyFont="1" applyFill="1" applyBorder="1" applyAlignment="1" applyProtection="1"/>
    <xf numFmtId="3" fontId="3" fillId="33" borderId="247" xfId="2" applyNumberFormat="1" applyFont="1" applyFill="1" applyBorder="1" applyAlignment="1" applyProtection="1">
      <protection locked="0"/>
    </xf>
    <xf numFmtId="3" fontId="3" fillId="33" borderId="235" xfId="72" applyFill="1" applyBorder="1" applyAlignment="1" applyProtection="1">
      <protection locked="0"/>
    </xf>
    <xf numFmtId="3" fontId="3" fillId="33" borderId="239" xfId="2" applyNumberFormat="1" applyFont="1" applyFill="1" applyBorder="1" applyAlignment="1" applyProtection="1">
      <protection locked="0"/>
    </xf>
    <xf numFmtId="3" fontId="3" fillId="7" borderId="314" xfId="2" applyNumberFormat="1" applyFont="1" applyFill="1" applyBorder="1" applyAlignment="1" applyProtection="1"/>
    <xf numFmtId="3" fontId="59" fillId="7" borderId="314" xfId="1" applyNumberFormat="1" applyFill="1" applyBorder="1" applyAlignment="1" applyProtection="1"/>
    <xf numFmtId="3" fontId="3" fillId="33" borderId="314" xfId="2" applyNumberFormat="1" applyFont="1" applyFill="1" applyBorder="1" applyAlignment="1" applyProtection="1">
      <protection locked="0"/>
    </xf>
    <xf numFmtId="3" fontId="3" fillId="7" borderId="315" xfId="2" applyNumberFormat="1" applyFont="1" applyFill="1" applyBorder="1" applyAlignment="1" applyProtection="1"/>
    <xf numFmtId="3" fontId="3" fillId="7" borderId="314" xfId="15" applyFont="1" applyFill="1" applyBorder="1" applyAlignment="1" applyProtection="1"/>
    <xf numFmtId="3" fontId="3" fillId="7" borderId="239" xfId="15" applyFont="1" applyFill="1" applyBorder="1" applyAlignment="1" applyProtection="1"/>
    <xf numFmtId="3" fontId="3" fillId="7" borderId="316" xfId="2" applyNumberFormat="1" applyFont="1" applyFill="1" applyBorder="1" applyAlignment="1" applyProtection="1"/>
    <xf numFmtId="3" fontId="3" fillId="7" borderId="317" xfId="2" applyNumberFormat="1" applyFont="1" applyFill="1" applyBorder="1" applyAlignment="1" applyProtection="1"/>
    <xf numFmtId="3" fontId="3" fillId="7" borderId="239" xfId="2" applyNumberFormat="1" applyFont="1" applyFill="1" applyBorder="1" applyAlignment="1" applyProtection="1">
      <alignment horizontal="right"/>
    </xf>
    <xf numFmtId="3" fontId="3" fillId="7" borderId="314" xfId="2" applyNumberFormat="1" applyFont="1" applyFill="1" applyBorder="1" applyAlignment="1" applyProtection="1">
      <alignment horizontal="right"/>
    </xf>
    <xf numFmtId="0" fontId="68" fillId="10" borderId="318" xfId="0" applyFont="1" applyFill="1" applyBorder="1"/>
    <xf numFmtId="3" fontId="68" fillId="10" borderId="249" xfId="15" applyFont="1" applyFill="1" applyBorder="1" applyAlignment="1" applyProtection="1"/>
    <xf numFmtId="3" fontId="68" fillId="10" borderId="319" xfId="15" applyFont="1" applyFill="1" applyBorder="1" applyAlignment="1" applyProtection="1"/>
    <xf numFmtId="3" fontId="66" fillId="18" borderId="319" xfId="2" applyNumberFormat="1" applyFont="1" applyFill="1" applyBorder="1" applyAlignment="1" applyProtection="1"/>
    <xf numFmtId="0" fontId="0" fillId="7" borderId="320" xfId="0" applyFill="1" applyBorder="1"/>
    <xf numFmtId="3" fontId="3" fillId="33" borderId="321" xfId="2" applyNumberFormat="1" applyFont="1" applyFill="1" applyBorder="1" applyAlignment="1" applyProtection="1">
      <protection locked="0"/>
    </xf>
    <xf numFmtId="3" fontId="3" fillId="7" borderId="321" xfId="2" applyNumberFormat="1" applyFont="1" applyFill="1" applyBorder="1" applyAlignment="1" applyProtection="1"/>
    <xf numFmtId="3" fontId="3" fillId="7" borderId="236" xfId="2" applyNumberFormat="1" applyFont="1" applyFill="1" applyBorder="1" applyAlignment="1" applyProtection="1"/>
    <xf numFmtId="3" fontId="19" fillId="16" borderId="322" xfId="2" applyNumberFormat="1" applyFont="1" applyFill="1" applyBorder="1" applyAlignment="1" applyProtection="1"/>
    <xf numFmtId="3" fontId="3" fillId="33" borderId="300" xfId="2" applyNumberFormat="1" applyFont="1" applyFill="1" applyBorder="1" applyAlignment="1" applyProtection="1">
      <protection locked="0"/>
    </xf>
    <xf numFmtId="3" fontId="3" fillId="7" borderId="300" xfId="2" applyNumberFormat="1" applyFont="1" applyFill="1" applyBorder="1" applyAlignment="1" applyProtection="1"/>
    <xf numFmtId="3" fontId="3" fillId="33" borderId="249" xfId="2" applyNumberFormat="1" applyFont="1" applyFill="1" applyBorder="1" applyAlignment="1" applyProtection="1">
      <protection locked="0"/>
    </xf>
    <xf numFmtId="3" fontId="3" fillId="7" borderId="249" xfId="2" applyNumberFormat="1" applyFont="1" applyFill="1" applyBorder="1" applyAlignment="1" applyProtection="1"/>
    <xf numFmtId="3" fontId="3" fillId="7" borderId="300" xfId="15" applyFont="1" applyFill="1" applyBorder="1" applyAlignment="1" applyProtection="1"/>
    <xf numFmtId="3" fontId="3" fillId="7" borderId="321" xfId="15" applyFont="1" applyFill="1" applyBorder="1" applyAlignment="1" applyProtection="1"/>
    <xf numFmtId="3" fontId="3" fillId="33" borderId="300" xfId="72" applyFill="1" applyBorder="1" applyAlignment="1" applyProtection="1">
      <protection locked="0"/>
    </xf>
    <xf numFmtId="3" fontId="3" fillId="33" borderId="300" xfId="15" applyFont="1" applyFill="1" applyBorder="1" applyAlignment="1" applyProtection="1">
      <protection locked="0"/>
    </xf>
    <xf numFmtId="3" fontId="3" fillId="33" borderId="323" xfId="72" applyFill="1" applyBorder="1" applyAlignment="1" applyProtection="1">
      <protection locked="0"/>
    </xf>
    <xf numFmtId="3" fontId="3" fillId="33" borderId="323" xfId="15" applyFont="1" applyFill="1" applyBorder="1" applyAlignment="1" applyProtection="1">
      <protection locked="0"/>
    </xf>
    <xf numFmtId="3" fontId="3" fillId="7" borderId="323" xfId="15" applyFont="1" applyFill="1" applyBorder="1" applyAlignment="1" applyProtection="1"/>
    <xf numFmtId="3" fontId="66" fillId="10" borderId="319" xfId="15" applyFont="1" applyFill="1" applyBorder="1" applyAlignment="1" applyProtection="1"/>
    <xf numFmtId="3" fontId="66" fillId="18" borderId="249" xfId="2" applyNumberFormat="1" applyFont="1" applyFill="1" applyBorder="1" applyAlignment="1" applyProtection="1"/>
    <xf numFmtId="3" fontId="3" fillId="33" borderId="324" xfId="2" applyNumberFormat="1" applyFont="1" applyFill="1" applyBorder="1" applyAlignment="1" applyProtection="1">
      <protection locked="0"/>
    </xf>
    <xf numFmtId="3" fontId="3" fillId="7" borderId="324" xfId="2" applyNumberFormat="1" applyFont="1" applyFill="1" applyBorder="1" applyAlignment="1" applyProtection="1"/>
    <xf numFmtId="3" fontId="3" fillId="7" borderId="322" xfId="2" applyNumberFormat="1" applyFont="1" applyFill="1" applyBorder="1" applyAlignment="1" applyProtection="1"/>
    <xf numFmtId="3" fontId="68" fillId="10" borderId="325" xfId="15" applyFont="1" applyFill="1" applyBorder="1" applyAlignment="1" applyProtection="1"/>
    <xf numFmtId="3" fontId="68" fillId="18" borderId="319" xfId="15" applyFont="1" applyFill="1" applyBorder="1" applyAlignment="1" applyProtection="1"/>
    <xf numFmtId="0" fontId="68" fillId="10" borderId="326" xfId="0" applyFont="1" applyFill="1" applyBorder="1"/>
    <xf numFmtId="3" fontId="66" fillId="18" borderId="325" xfId="2" applyNumberFormat="1" applyFont="1" applyFill="1" applyBorder="1" applyAlignment="1" applyProtection="1"/>
    <xf numFmtId="0" fontId="2" fillId="7" borderId="327" xfId="0" applyFont="1" applyFill="1" applyBorder="1"/>
    <xf numFmtId="3" fontId="2" fillId="7" borderId="189" xfId="15" applyFont="1" applyFill="1" applyBorder="1" applyAlignment="1" applyProtection="1"/>
    <xf numFmtId="3" fontId="3" fillId="7" borderId="189" xfId="2" applyNumberFormat="1" applyFont="1" applyFill="1" applyBorder="1" applyAlignment="1" applyProtection="1"/>
    <xf numFmtId="3" fontId="3" fillId="33" borderId="322" xfId="2" applyNumberFormat="1" applyFont="1" applyFill="1" applyBorder="1" applyAlignment="1" applyProtection="1">
      <protection locked="0"/>
    </xf>
    <xf numFmtId="3" fontId="3" fillId="7" borderId="328" xfId="2" applyNumberFormat="1" applyFont="1" applyFill="1" applyBorder="1" applyAlignment="1" applyProtection="1"/>
    <xf numFmtId="3" fontId="0" fillId="16" borderId="322" xfId="2" applyNumberFormat="1" applyFont="1" applyFill="1" applyBorder="1" applyAlignment="1" applyProtection="1"/>
    <xf numFmtId="3" fontId="3" fillId="33" borderId="323" xfId="2" applyNumberFormat="1" applyFont="1" applyFill="1" applyBorder="1" applyAlignment="1" applyProtection="1">
      <protection locked="0"/>
    </xf>
    <xf numFmtId="3" fontId="3" fillId="7" borderId="323" xfId="2" applyNumberFormat="1" applyFont="1" applyFill="1" applyBorder="1" applyAlignment="1" applyProtection="1"/>
    <xf numFmtId="3" fontId="0" fillId="16" borderId="249" xfId="2" applyNumberFormat="1" applyFont="1" applyFill="1" applyBorder="1" applyAlignment="1" applyProtection="1"/>
    <xf numFmtId="3" fontId="68" fillId="10" borderId="249" xfId="0" applyNumberFormat="1" applyFont="1" applyFill="1" applyBorder="1"/>
    <xf numFmtId="3" fontId="68" fillId="10" borderId="251" xfId="0" applyNumberFormat="1" applyFont="1" applyFill="1" applyBorder="1"/>
    <xf numFmtId="3" fontId="3" fillId="33" borderId="329" xfId="72" applyFill="1" applyBorder="1" applyAlignment="1" applyProtection="1">
      <protection locked="0"/>
    </xf>
    <xf numFmtId="3" fontId="3" fillId="7" borderId="329" xfId="15" applyFont="1" applyFill="1" applyBorder="1" applyAlignment="1" applyProtection="1"/>
    <xf numFmtId="3" fontId="0" fillId="16" borderId="329" xfId="2" applyNumberFormat="1" applyFont="1" applyFill="1" applyBorder="1" applyAlignment="1" applyProtection="1"/>
    <xf numFmtId="3" fontId="0" fillId="16" borderId="323" xfId="2" applyNumberFormat="1" applyFont="1" applyFill="1" applyBorder="1" applyAlignment="1" applyProtection="1"/>
    <xf numFmtId="3" fontId="68" fillId="10" borderId="319" xfId="0" applyNumberFormat="1" applyFont="1" applyFill="1" applyBorder="1"/>
    <xf numFmtId="3" fontId="68" fillId="10" borderId="330" xfId="0" applyNumberFormat="1" applyFont="1" applyFill="1" applyBorder="1"/>
    <xf numFmtId="0" fontId="68" fillId="10" borderId="331" xfId="0" applyFont="1" applyFill="1" applyBorder="1"/>
    <xf numFmtId="0" fontId="68" fillId="10" borderId="318" xfId="0" applyFont="1" applyFill="1" applyBorder="1" applyAlignment="1">
      <alignment vertical="center"/>
    </xf>
    <xf numFmtId="3" fontId="66" fillId="10" borderId="319" xfId="0" applyNumberFormat="1" applyFont="1" applyFill="1" applyBorder="1" applyAlignment="1">
      <alignment vertical="center"/>
    </xf>
    <xf numFmtId="3" fontId="68" fillId="10" borderId="325" xfId="0" applyNumberFormat="1" applyFont="1" applyFill="1" applyBorder="1"/>
    <xf numFmtId="0" fontId="72" fillId="10" borderId="327" xfId="0" applyFont="1" applyFill="1" applyBorder="1" applyAlignment="1">
      <alignment horizontal="center"/>
    </xf>
    <xf numFmtId="0" fontId="73" fillId="10" borderId="189" xfId="0" applyFont="1" applyFill="1" applyBorder="1" applyAlignment="1">
      <alignment horizontal="center"/>
    </xf>
    <xf numFmtId="0" fontId="69" fillId="9" borderId="332" xfId="0" applyFont="1" applyFill="1" applyBorder="1"/>
    <xf numFmtId="3" fontId="69" fillId="9" borderId="333" xfId="15" applyFont="1" applyFill="1" applyBorder="1" applyAlignment="1" applyProtection="1"/>
    <xf numFmtId="3" fontId="66" fillId="10" borderId="189" xfId="2" applyNumberFormat="1" applyFont="1" applyFill="1" applyBorder="1" applyAlignment="1" applyProtection="1"/>
    <xf numFmtId="0" fontId="2" fillId="7" borderId="334" xfId="0" applyFont="1" applyFill="1" applyBorder="1"/>
    <xf numFmtId="3" fontId="26" fillId="7" borderId="335" xfId="15" applyFont="1" applyFill="1" applyBorder="1" applyAlignment="1" applyProtection="1"/>
    <xf numFmtId="3" fontId="27" fillId="7" borderId="335" xfId="15" applyFont="1" applyFill="1" applyBorder="1" applyAlignment="1" applyProtection="1"/>
    <xf numFmtId="3" fontId="0" fillId="7" borderId="335" xfId="2" applyNumberFormat="1" applyFont="1" applyFill="1" applyBorder="1" applyAlignment="1" applyProtection="1"/>
    <xf numFmtId="3" fontId="3" fillId="33" borderId="301" xfId="2" applyNumberFormat="1" applyFont="1" applyFill="1" applyBorder="1" applyAlignment="1" applyProtection="1">
      <protection locked="0"/>
    </xf>
    <xf numFmtId="0" fontId="66" fillId="10" borderId="318" xfId="0" applyFont="1" applyFill="1" applyBorder="1"/>
    <xf numFmtId="3" fontId="0" fillId="16" borderId="300" xfId="2" applyNumberFormat="1" applyFont="1" applyFill="1" applyBorder="1" applyAlignment="1" applyProtection="1"/>
    <xf numFmtId="3" fontId="2" fillId="33" borderId="323" xfId="2" applyNumberFormat="1" applyFont="1" applyFill="1" applyBorder="1" applyAlignment="1" applyProtection="1">
      <protection locked="0"/>
    </xf>
    <xf numFmtId="3" fontId="66" fillId="10" borderId="319" xfId="2" applyNumberFormat="1" applyFont="1" applyFill="1" applyBorder="1" applyAlignment="1" applyProtection="1"/>
    <xf numFmtId="3" fontId="66" fillId="10" borderId="325" xfId="15" applyFont="1" applyFill="1" applyBorder="1" applyAlignment="1" applyProtection="1"/>
    <xf numFmtId="3" fontId="3" fillId="33" borderId="336" xfId="2" applyNumberFormat="1" applyFont="1" applyFill="1" applyBorder="1" applyAlignment="1" applyProtection="1">
      <protection locked="0"/>
    </xf>
    <xf numFmtId="3" fontId="3" fillId="7" borderId="336" xfId="2" applyNumberFormat="1" applyFont="1" applyFill="1" applyBorder="1" applyAlignment="1" applyProtection="1"/>
    <xf numFmtId="3" fontId="0" fillId="16" borderId="337" xfId="2" applyNumberFormat="1" applyFont="1" applyFill="1" applyBorder="1" applyAlignment="1" applyProtection="1"/>
    <xf numFmtId="3" fontId="0" fillId="16" borderId="324" xfId="2" applyNumberFormat="1" applyFont="1" applyFill="1" applyBorder="1" applyAlignment="1" applyProtection="1"/>
    <xf numFmtId="3" fontId="94" fillId="7" borderId="338" xfId="15" applyFont="1" applyFill="1" applyBorder="1" applyAlignment="1" applyProtection="1"/>
    <xf numFmtId="3" fontId="3" fillId="33" borderId="315" xfId="2" applyNumberFormat="1" applyFont="1" applyFill="1" applyBorder="1" applyAlignment="1" applyProtection="1">
      <protection locked="0"/>
    </xf>
    <xf numFmtId="3" fontId="3" fillId="33" borderId="339" xfId="2" applyNumberFormat="1" applyFont="1" applyFill="1" applyBorder="1" applyAlignment="1" applyProtection="1">
      <protection locked="0"/>
    </xf>
    <xf numFmtId="3" fontId="0" fillId="16" borderId="340" xfId="2" applyNumberFormat="1" applyFont="1" applyFill="1" applyBorder="1" applyAlignment="1" applyProtection="1"/>
    <xf numFmtId="3" fontId="66" fillId="10" borderId="249" xfId="15" applyFont="1" applyFill="1" applyBorder="1" applyAlignment="1" applyProtection="1"/>
    <xf numFmtId="0" fontId="66" fillId="10" borderId="331" xfId="0" applyFont="1" applyFill="1" applyBorder="1"/>
    <xf numFmtId="3" fontId="0" fillId="7" borderId="341" xfId="2" applyNumberFormat="1" applyFont="1" applyFill="1" applyBorder="1" applyAlignment="1" applyProtection="1"/>
    <xf numFmtId="0" fontId="0" fillId="7" borderId="342" xfId="0" applyFill="1" applyBorder="1" applyAlignment="1">
      <alignment horizontal="left"/>
    </xf>
    <xf numFmtId="3" fontId="3" fillId="7" borderId="319" xfId="17" applyNumberFormat="1" applyFont="1" applyFill="1" applyBorder="1" applyAlignment="1" applyProtection="1"/>
    <xf numFmtId="0" fontId="0" fillId="7" borderId="332" xfId="0" applyFill="1" applyBorder="1"/>
    <xf numFmtId="4" fontId="3" fillId="7" borderId="333" xfId="17" applyFont="1" applyFill="1" applyBorder="1" applyAlignment="1" applyProtection="1"/>
    <xf numFmtId="0" fontId="0" fillId="11" borderId="327" xfId="0" applyFill="1" applyBorder="1" applyAlignment="1">
      <alignment horizontal="center"/>
    </xf>
    <xf numFmtId="0" fontId="0" fillId="11" borderId="189" xfId="0" applyFill="1" applyBorder="1" applyAlignment="1">
      <alignment horizontal="center"/>
    </xf>
    <xf numFmtId="3" fontId="0" fillId="7" borderId="189" xfId="15" applyFont="1" applyFill="1" applyBorder="1" applyAlignment="1" applyProtection="1"/>
    <xf numFmtId="0" fontId="0" fillId="7" borderId="189" xfId="0" applyFill="1" applyBorder="1"/>
    <xf numFmtId="0" fontId="2" fillId="55" borderId="234" xfId="0" applyFont="1" applyFill="1" applyBorder="1" applyAlignment="1">
      <alignment horizontal="center"/>
    </xf>
    <xf numFmtId="0" fontId="2" fillId="55" borderId="231" xfId="0" applyFont="1" applyFill="1" applyBorder="1" applyAlignment="1">
      <alignment horizontal="center"/>
    </xf>
    <xf numFmtId="0" fontId="171" fillId="55" borderId="343" xfId="0" applyFont="1" applyFill="1" applyBorder="1"/>
    <xf numFmtId="3" fontId="2" fillId="53" borderId="344" xfId="0" applyNumberFormat="1" applyFont="1" applyFill="1" applyBorder="1"/>
    <xf numFmtId="3" fontId="2" fillId="53" borderId="345" xfId="0" applyNumberFormat="1" applyFont="1" applyFill="1" applyBorder="1"/>
    <xf numFmtId="3" fontId="102" fillId="42" borderId="234" xfId="0" applyNumberFormat="1" applyFont="1" applyFill="1" applyBorder="1"/>
    <xf numFmtId="3" fontId="102" fillId="42" borderId="231" xfId="0" applyNumberFormat="1" applyFont="1" applyFill="1" applyBorder="1"/>
    <xf numFmtId="0" fontId="171" fillId="55" borderId="346" xfId="0" applyFont="1" applyFill="1" applyBorder="1"/>
    <xf numFmtId="3" fontId="0" fillId="7" borderId="347" xfId="0" applyNumberFormat="1" applyFill="1" applyBorder="1"/>
    <xf numFmtId="3" fontId="0" fillId="7" borderId="348" xfId="0" applyNumberFormat="1" applyFill="1" applyBorder="1"/>
    <xf numFmtId="0" fontId="171" fillId="55" borderId="349" xfId="0" applyFont="1" applyFill="1" applyBorder="1"/>
    <xf numFmtId="3" fontId="0" fillId="7" borderId="350" xfId="0" applyNumberFormat="1" applyFill="1" applyBorder="1"/>
    <xf numFmtId="3" fontId="0" fillId="7" borderId="351" xfId="0" applyNumberFormat="1" applyFill="1" applyBorder="1"/>
    <xf numFmtId="0" fontId="171" fillId="55" borderId="352" xfId="0" applyFont="1" applyFill="1" applyBorder="1"/>
    <xf numFmtId="3" fontId="0" fillId="7" borderId="353" xfId="0" applyNumberFormat="1" applyFill="1" applyBorder="1"/>
    <xf numFmtId="3" fontId="0" fillId="7" borderId="354" xfId="0" applyNumberFormat="1" applyFill="1" applyBorder="1"/>
    <xf numFmtId="3" fontId="2" fillId="53" borderId="231" xfId="0" applyNumberFormat="1" applyFont="1" applyFill="1" applyBorder="1" applyProtection="1">
      <protection locked="0"/>
    </xf>
    <xf numFmtId="0" fontId="2" fillId="55" borderId="234" xfId="0" applyFont="1" applyFill="1" applyBorder="1" applyAlignment="1" applyProtection="1">
      <alignment horizontal="center"/>
      <protection locked="0"/>
    </xf>
    <xf numFmtId="0" fontId="2" fillId="55" borderId="231" xfId="0" applyFont="1" applyFill="1" applyBorder="1" applyAlignment="1" applyProtection="1">
      <alignment horizontal="center"/>
      <protection locked="0"/>
    </xf>
    <xf numFmtId="3" fontId="2" fillId="53" borderId="234" xfId="0" applyNumberFormat="1" applyFont="1" applyFill="1" applyBorder="1" applyProtection="1">
      <protection locked="0"/>
    </xf>
    <xf numFmtId="3" fontId="2" fillId="7" borderId="264" xfId="0" applyNumberFormat="1" applyFont="1" applyFill="1" applyBorder="1"/>
    <xf numFmtId="3" fontId="2" fillId="7" borderId="355" xfId="0" applyNumberFormat="1" applyFont="1" applyFill="1" applyBorder="1"/>
    <xf numFmtId="3" fontId="2" fillId="55" borderId="234" xfId="0" applyNumberFormat="1" applyFont="1" applyFill="1" applyBorder="1"/>
    <xf numFmtId="3" fontId="2" fillId="55" borderId="231" xfId="0" applyNumberFormat="1" applyFont="1" applyFill="1" applyBorder="1"/>
    <xf numFmtId="0" fontId="2" fillId="0" borderId="356" xfId="0" applyFont="1" applyBorder="1"/>
    <xf numFmtId="0" fontId="2" fillId="0" borderId="357" xfId="0" applyFont="1" applyBorder="1" applyAlignment="1">
      <alignment wrapText="1"/>
    </xf>
    <xf numFmtId="0" fontId="2" fillId="0" borderId="358" xfId="0" applyFont="1" applyBorder="1"/>
    <xf numFmtId="0" fontId="0" fillId="0" borderId="359" xfId="0" applyBorder="1" applyAlignment="1">
      <alignment horizontal="center"/>
    </xf>
    <xf numFmtId="0" fontId="0" fillId="0" borderId="360" xfId="0" applyBorder="1" applyAlignment="1">
      <alignment horizontal="center"/>
    </xf>
    <xf numFmtId="14" fontId="0" fillId="40" borderId="360" xfId="0" applyNumberFormat="1" applyFill="1" applyBorder="1" applyAlignment="1" applyProtection="1">
      <alignment horizontal="center"/>
      <protection locked="0"/>
    </xf>
    <xf numFmtId="0" fontId="0" fillId="40" borderId="360" xfId="0" applyFill="1" applyBorder="1" applyAlignment="1" applyProtection="1">
      <alignment horizontal="center"/>
      <protection locked="0"/>
    </xf>
    <xf numFmtId="0" fontId="112" fillId="0" borderId="360" xfId="0" applyFont="1" applyBorder="1" applyAlignment="1">
      <alignment horizontal="center"/>
    </xf>
    <xf numFmtId="0" fontId="112" fillId="0" borderId="361" xfId="0" applyFont="1" applyBorder="1" applyAlignment="1">
      <alignment horizontal="center"/>
    </xf>
    <xf numFmtId="0" fontId="0" fillId="0" borderId="362" xfId="0" applyBorder="1" applyAlignment="1">
      <alignment horizontal="center"/>
    </xf>
    <xf numFmtId="0" fontId="0" fillId="0" borderId="363" xfId="0" applyBorder="1" applyAlignment="1">
      <alignment horizontal="center"/>
    </xf>
    <xf numFmtId="14" fontId="0" fillId="40" borderId="363" xfId="0" applyNumberFormat="1" applyFill="1" applyBorder="1" applyAlignment="1" applyProtection="1">
      <alignment horizontal="center"/>
      <protection locked="0"/>
    </xf>
    <xf numFmtId="0" fontId="0" fillId="40" borderId="363" xfId="0" applyFill="1" applyBorder="1" applyAlignment="1" applyProtection="1">
      <alignment horizontal="center"/>
      <protection locked="0"/>
    </xf>
    <xf numFmtId="0" fontId="112" fillId="0" borderId="363" xfId="0" applyFont="1" applyBorder="1" applyAlignment="1">
      <alignment horizontal="center"/>
    </xf>
    <xf numFmtId="0" fontId="0" fillId="0" borderId="189" xfId="21" applyFont="1" applyBorder="1"/>
    <xf numFmtId="0" fontId="63" fillId="9" borderId="364" xfId="21" applyFont="1" applyFill="1" applyBorder="1"/>
    <xf numFmtId="0" fontId="66" fillId="9" borderId="365" xfId="21" applyFont="1" applyFill="1" applyBorder="1"/>
    <xf numFmtId="0" fontId="66" fillId="10" borderId="366" xfId="21" applyFont="1" applyFill="1" applyBorder="1"/>
    <xf numFmtId="3" fontId="38" fillId="7" borderId="367" xfId="0" applyNumberFormat="1" applyFont="1" applyFill="1" applyBorder="1"/>
    <xf numFmtId="3" fontId="0" fillId="7" borderId="368" xfId="0" applyNumberFormat="1" applyFill="1" applyBorder="1"/>
    <xf numFmtId="3" fontId="0" fillId="7" borderId="368" xfId="0" applyNumberFormat="1" applyFill="1" applyBorder="1" applyAlignment="1">
      <alignment horizontal="center"/>
    </xf>
    <xf numFmtId="0" fontId="0" fillId="7" borderId="368" xfId="21" applyFont="1" applyFill="1" applyBorder="1"/>
    <xf numFmtId="3" fontId="40" fillId="16" borderId="369" xfId="0" applyNumberFormat="1" applyFont="1" applyFill="1" applyBorder="1"/>
    <xf numFmtId="3" fontId="42" fillId="7" borderId="370" xfId="22" applyNumberFormat="1" applyFont="1" applyFill="1" applyBorder="1"/>
    <xf numFmtId="0" fontId="0" fillId="7" borderId="367" xfId="21" applyFont="1" applyFill="1" applyBorder="1"/>
    <xf numFmtId="0" fontId="30" fillId="7" borderId="368" xfId="21" applyFont="1" applyFill="1" applyBorder="1" applyAlignment="1">
      <alignment horizontal="right"/>
    </xf>
    <xf numFmtId="3" fontId="31" fillId="7" borderId="369" xfId="21" applyNumberFormat="1" applyFont="1" applyFill="1" applyBorder="1"/>
    <xf numFmtId="0" fontId="30" fillId="7" borderId="368" xfId="21" applyFont="1" applyFill="1" applyBorder="1"/>
    <xf numFmtId="0" fontId="30" fillId="17" borderId="371" xfId="0" applyFont="1" applyFill="1" applyBorder="1"/>
    <xf numFmtId="0" fontId="30" fillId="17" borderId="372" xfId="21" applyFont="1" applyFill="1" applyBorder="1"/>
    <xf numFmtId="3" fontId="43" fillId="17" borderId="369" xfId="21" applyNumberFormat="1" applyFont="1" applyFill="1" applyBorder="1"/>
    <xf numFmtId="0" fontId="16" fillId="7" borderId="373" xfId="21" applyFont="1" applyFill="1" applyBorder="1" applyAlignment="1">
      <alignment horizontal="center"/>
    </xf>
    <xf numFmtId="3" fontId="40" fillId="7" borderId="369" xfId="21" applyNumberFormat="1" applyFont="1" applyFill="1" applyBorder="1"/>
    <xf numFmtId="0" fontId="0" fillId="7" borderId="372" xfId="21" applyFont="1" applyFill="1" applyBorder="1"/>
    <xf numFmtId="3" fontId="43" fillId="17" borderId="377" xfId="21" applyNumberFormat="1" applyFont="1" applyFill="1" applyBorder="1" applyAlignment="1">
      <alignment horizontal="right"/>
    </xf>
    <xf numFmtId="0" fontId="16" fillId="7" borderId="380" xfId="21" applyFont="1" applyFill="1" applyBorder="1" applyAlignment="1">
      <alignment horizontal="center"/>
    </xf>
    <xf numFmtId="4" fontId="30" fillId="17" borderId="381" xfId="0" applyNumberFormat="1" applyFont="1" applyFill="1" applyBorder="1"/>
    <xf numFmtId="0" fontId="0" fillId="17" borderId="382" xfId="0" applyFill="1" applyBorder="1"/>
    <xf numFmtId="0" fontId="0" fillId="17" borderId="382" xfId="21" applyFont="1" applyFill="1" applyBorder="1"/>
    <xf numFmtId="3" fontId="43" fillId="17" borderId="377" xfId="0" applyNumberFormat="1" applyFont="1" applyFill="1" applyBorder="1"/>
    <xf numFmtId="0" fontId="16" fillId="7" borderId="377" xfId="21" applyFont="1" applyFill="1" applyBorder="1" applyAlignment="1">
      <alignment horizontal="center"/>
    </xf>
    <xf numFmtId="0" fontId="42" fillId="7" borderId="377" xfId="21" applyFont="1" applyFill="1" applyBorder="1"/>
    <xf numFmtId="3" fontId="40" fillId="16" borderId="377" xfId="21" applyNumberFormat="1" applyFont="1" applyFill="1" applyBorder="1"/>
    <xf numFmtId="0" fontId="38" fillId="7" borderId="367" xfId="21" applyFont="1" applyFill="1" applyBorder="1"/>
    <xf numFmtId="0" fontId="5" fillId="7" borderId="368" xfId="21" applyFont="1" applyFill="1" applyBorder="1" applyAlignment="1">
      <alignment horizontal="center"/>
    </xf>
    <xf numFmtId="0" fontId="0" fillId="7" borderId="383" xfId="21" applyFont="1" applyFill="1" applyBorder="1"/>
    <xf numFmtId="3" fontId="42" fillId="7" borderId="377" xfId="21" applyNumberFormat="1" applyFont="1" applyFill="1" applyBorder="1"/>
    <xf numFmtId="3" fontId="32" fillId="7" borderId="384" xfId="21" applyNumberFormat="1" applyFont="1" applyFill="1" applyBorder="1" applyAlignment="1">
      <alignment horizontal="center"/>
    </xf>
    <xf numFmtId="0" fontId="0" fillId="7" borderId="368" xfId="21" applyFont="1" applyFill="1" applyBorder="1" applyAlignment="1">
      <alignment horizontal="center"/>
    </xf>
    <xf numFmtId="0" fontId="105" fillId="7" borderId="384" xfId="21" applyFont="1" applyFill="1" applyBorder="1" applyAlignment="1">
      <alignment horizontal="center"/>
    </xf>
    <xf numFmtId="1" fontId="13" fillId="7" borderId="384" xfId="21" applyNumberFormat="1" applyFont="1" applyFill="1" applyBorder="1" applyAlignment="1">
      <alignment horizontal="center"/>
    </xf>
    <xf numFmtId="0" fontId="13" fillId="7" borderId="384" xfId="21" applyFont="1" applyFill="1" applyBorder="1" applyAlignment="1">
      <alignment horizontal="center"/>
    </xf>
    <xf numFmtId="4" fontId="13" fillId="7" borderId="384" xfId="21" applyNumberFormat="1" applyFont="1" applyFill="1" applyBorder="1" applyAlignment="1">
      <alignment horizontal="center"/>
    </xf>
    <xf numFmtId="0" fontId="46" fillId="8" borderId="368" xfId="21" applyFont="1" applyFill="1" applyBorder="1" applyAlignment="1">
      <alignment horizontal="center"/>
    </xf>
    <xf numFmtId="3" fontId="40" fillId="16" borderId="385" xfId="21" applyNumberFormat="1" applyFont="1" applyFill="1" applyBorder="1"/>
    <xf numFmtId="0" fontId="64" fillId="23" borderId="386" xfId="21" applyFont="1" applyFill="1" applyBorder="1"/>
    <xf numFmtId="0" fontId="65" fillId="23" borderId="387" xfId="21" applyFont="1" applyFill="1" applyBorder="1" applyAlignment="1">
      <alignment horizontal="right"/>
    </xf>
    <xf numFmtId="4" fontId="64" fillId="23" borderId="387" xfId="21" applyNumberFormat="1" applyFont="1" applyFill="1" applyBorder="1" applyAlignment="1">
      <alignment horizontal="center"/>
    </xf>
    <xf numFmtId="0" fontId="66" fillId="10" borderId="335" xfId="21" applyFont="1" applyFill="1" applyBorder="1"/>
    <xf numFmtId="0" fontId="65" fillId="23" borderId="388" xfId="21" applyFont="1" applyFill="1" applyBorder="1" applyAlignment="1">
      <alignment horizontal="right"/>
    </xf>
    <xf numFmtId="3" fontId="64" fillId="23" borderId="387" xfId="21" applyNumberFormat="1" applyFont="1" applyFill="1" applyBorder="1" applyAlignment="1">
      <alignment horizontal="center"/>
    </xf>
    <xf numFmtId="0" fontId="64" fillId="23" borderId="388" xfId="21" applyFont="1" applyFill="1" applyBorder="1"/>
    <xf numFmtId="0" fontId="66" fillId="23" borderId="389" xfId="21" applyFont="1" applyFill="1" applyBorder="1"/>
    <xf numFmtId="3" fontId="67" fillId="23" borderId="390" xfId="21" applyNumberFormat="1" applyFont="1" applyFill="1" applyBorder="1" applyAlignment="1">
      <alignment horizontal="right"/>
    </xf>
    <xf numFmtId="3" fontId="13" fillId="7" borderId="384" xfId="21" applyNumberFormat="1" applyFont="1" applyFill="1" applyBorder="1"/>
    <xf numFmtId="3" fontId="24" fillId="7" borderId="377" xfId="21" applyNumberFormat="1" applyFont="1" applyFill="1" applyBorder="1"/>
    <xf numFmtId="3" fontId="13" fillId="7" borderId="377" xfId="21" applyNumberFormat="1" applyFont="1" applyFill="1" applyBorder="1"/>
    <xf numFmtId="3" fontId="24" fillId="7" borderId="399" xfId="21" applyNumberFormat="1" applyFont="1" applyFill="1" applyBorder="1"/>
    <xf numFmtId="3" fontId="13" fillId="33" borderId="401" xfId="21" applyNumberFormat="1" applyFont="1" applyFill="1" applyBorder="1" applyProtection="1">
      <protection locked="0"/>
    </xf>
    <xf numFmtId="3" fontId="21" fillId="7" borderId="215" xfId="15" applyFont="1" applyFill="1" applyBorder="1" applyAlignment="1" applyProtection="1"/>
    <xf numFmtId="3" fontId="2" fillId="7" borderId="402" xfId="15" applyFont="1" applyFill="1" applyBorder="1" applyAlignment="1" applyProtection="1">
      <alignment horizontal="right"/>
    </xf>
    <xf numFmtId="3" fontId="2" fillId="7" borderId="402" xfId="21" applyNumberFormat="1" applyFont="1" applyFill="1" applyBorder="1"/>
    <xf numFmtId="3" fontId="2" fillId="7" borderId="403" xfId="21" applyNumberFormat="1" applyFont="1" applyFill="1" applyBorder="1"/>
    <xf numFmtId="3" fontId="24" fillId="7" borderId="404" xfId="21" applyNumberFormat="1" applyFont="1" applyFill="1" applyBorder="1"/>
    <xf numFmtId="3" fontId="27" fillId="7" borderId="378" xfId="15" applyFont="1" applyFill="1" applyBorder="1" applyAlignment="1" applyProtection="1"/>
    <xf numFmtId="3" fontId="16" fillId="7" borderId="405" xfId="15" applyFont="1" applyFill="1" applyBorder="1" applyAlignment="1" applyProtection="1"/>
    <xf numFmtId="3" fontId="16" fillId="7" borderId="405" xfId="21" applyNumberFormat="1" applyFont="1" applyFill="1" applyBorder="1"/>
    <xf numFmtId="3" fontId="0" fillId="7" borderId="368" xfId="21" applyNumberFormat="1" applyFont="1" applyFill="1" applyBorder="1"/>
    <xf numFmtId="3" fontId="6" fillId="7" borderId="368" xfId="7" applyNumberFormat="1" applyFill="1" applyBorder="1" applyAlignment="1" applyProtection="1"/>
    <xf numFmtId="3" fontId="13" fillId="7" borderId="405" xfId="21" applyNumberFormat="1" applyFont="1" applyFill="1" applyBorder="1"/>
    <xf numFmtId="3" fontId="16" fillId="7" borderId="406" xfId="15" applyFont="1" applyFill="1" applyBorder="1" applyAlignment="1" applyProtection="1"/>
    <xf numFmtId="3" fontId="27" fillId="7" borderId="407" xfId="21" applyNumberFormat="1" applyFont="1" applyFill="1" applyBorder="1"/>
    <xf numFmtId="3" fontId="0" fillId="7" borderId="408" xfId="21" applyNumberFormat="1" applyFont="1" applyFill="1" applyBorder="1"/>
    <xf numFmtId="3" fontId="27" fillId="14" borderId="406" xfId="21" applyNumberFormat="1" applyFont="1" applyFill="1" applyBorder="1"/>
    <xf numFmtId="0" fontId="64" fillId="18" borderId="409" xfId="21" applyFont="1" applyFill="1" applyBorder="1"/>
    <xf numFmtId="3" fontId="70" fillId="18" borderId="335" xfId="15" applyFont="1" applyFill="1" applyBorder="1" applyAlignment="1" applyProtection="1"/>
    <xf numFmtId="3" fontId="70" fillId="18" borderId="335" xfId="21" applyNumberFormat="1" applyFont="1" applyFill="1" applyBorder="1"/>
    <xf numFmtId="0" fontId="70" fillId="18" borderId="335" xfId="21" applyFont="1" applyFill="1" applyBorder="1"/>
    <xf numFmtId="3" fontId="64" fillId="10" borderId="319" xfId="21" applyNumberFormat="1" applyFont="1" applyFill="1" applyBorder="1"/>
    <xf numFmtId="0" fontId="0" fillId="12" borderId="365" xfId="21" applyFont="1" applyFill="1" applyBorder="1"/>
    <xf numFmtId="0" fontId="0" fillId="13" borderId="366" xfId="21" applyFont="1" applyFill="1" applyBorder="1"/>
    <xf numFmtId="3" fontId="40" fillId="16" borderId="410" xfId="0" applyNumberFormat="1" applyFont="1" applyFill="1" applyBorder="1"/>
    <xf numFmtId="3" fontId="43" fillId="7" borderId="406" xfId="21" applyNumberFormat="1" applyFont="1" applyFill="1" applyBorder="1"/>
    <xf numFmtId="0" fontId="0" fillId="7" borderId="406" xfId="21" applyFont="1" applyFill="1" applyBorder="1" applyAlignment="1">
      <alignment horizontal="center"/>
    </xf>
    <xf numFmtId="3" fontId="40" fillId="7" borderId="411" xfId="21" applyNumberFormat="1" applyFont="1" applyFill="1" applyBorder="1"/>
    <xf numFmtId="3" fontId="43" fillId="17" borderId="406" xfId="0" applyNumberFormat="1" applyFont="1" applyFill="1" applyBorder="1" applyAlignment="1">
      <alignment horizontal="right"/>
    </xf>
    <xf numFmtId="3" fontId="40" fillId="7" borderId="412" xfId="21" applyNumberFormat="1" applyFont="1" applyFill="1" applyBorder="1" applyAlignment="1">
      <alignment horizontal="right"/>
    </xf>
    <xf numFmtId="3" fontId="40" fillId="7" borderId="408" xfId="21" applyNumberFormat="1" applyFont="1" applyFill="1" applyBorder="1"/>
    <xf numFmtId="3" fontId="40" fillId="16" borderId="410" xfId="21" applyNumberFormat="1" applyFont="1" applyFill="1" applyBorder="1"/>
    <xf numFmtId="0" fontId="13" fillId="7" borderId="383" xfId="21" applyFont="1" applyFill="1" applyBorder="1"/>
    <xf numFmtId="3" fontId="32" fillId="7" borderId="406" xfId="21" applyNumberFormat="1" applyFont="1" applyFill="1" applyBorder="1" applyAlignment="1">
      <alignment horizontal="center"/>
    </xf>
    <xf numFmtId="0" fontId="13" fillId="7" borderId="406" xfId="21" applyFont="1" applyFill="1" applyBorder="1" applyAlignment="1">
      <alignment horizontal="center"/>
    </xf>
    <xf numFmtId="2" fontId="13" fillId="7" borderId="406" xfId="21" applyNumberFormat="1" applyFont="1" applyFill="1" applyBorder="1" applyAlignment="1">
      <alignment horizontal="center"/>
    </xf>
    <xf numFmtId="0" fontId="0" fillId="8" borderId="368" xfId="21" applyFont="1" applyFill="1" applyBorder="1" applyAlignment="1">
      <alignment horizontal="center"/>
    </xf>
    <xf numFmtId="3" fontId="40" fillId="16" borderId="413" xfId="21" applyNumberFormat="1" applyFont="1" applyFill="1" applyBorder="1"/>
    <xf numFmtId="0" fontId="38" fillId="7" borderId="364" xfId="21" applyFont="1" applyFill="1" applyBorder="1"/>
    <xf numFmtId="0" fontId="0" fillId="7" borderId="365" xfId="21" applyFont="1" applyFill="1" applyBorder="1"/>
    <xf numFmtId="3" fontId="66" fillId="18" borderId="335" xfId="15" applyFont="1" applyFill="1" applyBorder="1" applyAlignment="1" applyProtection="1"/>
    <xf numFmtId="3" fontId="66" fillId="18" borderId="335" xfId="15" applyFont="1" applyFill="1" applyBorder="1" applyAlignment="1" applyProtection="1">
      <alignment horizontal="right"/>
    </xf>
    <xf numFmtId="3" fontId="66" fillId="18" borderId="335" xfId="21" applyNumberFormat="1" applyFont="1" applyFill="1" applyBorder="1"/>
    <xf numFmtId="0" fontId="66" fillId="18" borderId="335" xfId="21" applyFont="1" applyFill="1" applyBorder="1"/>
    <xf numFmtId="3" fontId="0" fillId="0" borderId="418" xfId="15" applyFont="1" applyFill="1" applyBorder="1" applyAlignment="1" applyProtection="1"/>
    <xf numFmtId="3" fontId="3" fillId="0" borderId="418" xfId="15" applyFont="1" applyFill="1" applyBorder="1" applyAlignment="1" applyProtection="1"/>
    <xf numFmtId="0" fontId="113" fillId="33" borderId="422" xfId="0" applyFont="1" applyFill="1" applyBorder="1" applyAlignment="1" applyProtection="1">
      <alignment horizontal="center"/>
      <protection locked="0"/>
    </xf>
    <xf numFmtId="3" fontId="2" fillId="21" borderId="424" xfId="15" applyFont="1" applyFill="1" applyBorder="1" applyAlignment="1" applyProtection="1">
      <alignment horizontal="center"/>
    </xf>
    <xf numFmtId="3" fontId="2" fillId="3" borderId="424" xfId="15" applyFont="1" applyFill="1" applyBorder="1" applyAlignment="1" applyProtection="1">
      <alignment horizontal="center"/>
    </xf>
    <xf numFmtId="3" fontId="2" fillId="3" borderId="425" xfId="15" applyFont="1" applyFill="1" applyBorder="1" applyAlignment="1" applyProtection="1">
      <alignment horizontal="center"/>
    </xf>
    <xf numFmtId="3" fontId="0" fillId="3" borderId="426" xfId="15" applyFont="1" applyFill="1" applyBorder="1" applyAlignment="1" applyProtection="1">
      <alignment horizontal="center" vertical="top" wrapText="1"/>
    </xf>
    <xf numFmtId="3" fontId="0" fillId="3" borderId="427" xfId="15" applyFont="1" applyFill="1" applyBorder="1" applyAlignment="1" applyProtection="1">
      <alignment horizontal="center" vertical="top" wrapText="1"/>
    </xf>
    <xf numFmtId="3" fontId="0" fillId="3" borderId="428" xfId="15" applyFont="1" applyFill="1" applyBorder="1" applyAlignment="1" applyProtection="1">
      <alignment horizontal="center" vertical="top" wrapText="1"/>
    </xf>
    <xf numFmtId="3" fontId="0" fillId="3" borderId="429" xfId="15" applyFont="1" applyFill="1" applyBorder="1" applyAlignment="1" applyProtection="1">
      <alignment horizontal="center" vertical="top" wrapText="1"/>
    </xf>
    <xf numFmtId="3" fontId="0" fillId="3" borderId="430" xfId="15" applyFont="1" applyFill="1" applyBorder="1" applyAlignment="1" applyProtection="1">
      <alignment horizontal="center" vertical="top" wrapText="1"/>
    </xf>
    <xf numFmtId="3" fontId="34" fillId="33" borderId="431" xfId="0" applyNumberFormat="1" applyFont="1" applyFill="1" applyBorder="1" applyProtection="1">
      <protection locked="0"/>
    </xf>
    <xf numFmtId="3" fontId="0" fillId="11" borderId="432" xfId="15" applyFont="1" applyFill="1" applyBorder="1" applyAlignment="1" applyProtection="1"/>
    <xf numFmtId="3" fontId="27" fillId="3" borderId="418" xfId="0" applyNumberFormat="1" applyFont="1" applyFill="1" applyBorder="1"/>
    <xf numFmtId="3" fontId="19" fillId="11" borderId="433" xfId="0" applyNumberFormat="1" applyFont="1" applyFill="1" applyBorder="1"/>
    <xf numFmtId="3" fontId="27" fillId="3" borderId="434" xfId="0" applyNumberFormat="1" applyFont="1" applyFill="1" applyBorder="1"/>
    <xf numFmtId="3" fontId="13" fillId="11" borderId="435" xfId="0" applyNumberFormat="1" applyFont="1" applyFill="1" applyBorder="1"/>
    <xf numFmtId="3" fontId="13" fillId="11" borderId="436" xfId="0" applyNumberFormat="1" applyFont="1" applyFill="1" applyBorder="1"/>
    <xf numFmtId="3" fontId="13" fillId="11" borderId="432" xfId="15" applyFont="1" applyFill="1" applyBorder="1" applyAlignment="1" applyProtection="1"/>
    <xf numFmtId="3" fontId="0" fillId="11" borderId="437" xfId="15" applyFont="1" applyFill="1" applyBorder="1" applyAlignment="1" applyProtection="1"/>
    <xf numFmtId="3" fontId="3" fillId="3" borderId="438" xfId="15" applyFont="1" applyFill="1" applyBorder="1" applyAlignment="1" applyProtection="1">
      <alignment horizontal="center" vertical="top" wrapText="1"/>
    </xf>
    <xf numFmtId="3" fontId="0" fillId="11" borderId="439" xfId="15" applyFont="1" applyFill="1" applyBorder="1" applyAlignment="1" applyProtection="1"/>
    <xf numFmtId="3" fontId="27" fillId="3" borderId="439" xfId="0" applyNumberFormat="1" applyFont="1" applyFill="1" applyBorder="1"/>
    <xf numFmtId="3" fontId="27" fillId="3" borderId="419" xfId="0" applyNumberFormat="1" applyFont="1" applyFill="1" applyBorder="1"/>
    <xf numFmtId="3" fontId="19" fillId="11" borderId="440" xfId="0" applyNumberFormat="1" applyFont="1" applyFill="1" applyBorder="1"/>
    <xf numFmtId="3" fontId="27" fillId="3" borderId="440" xfId="0" applyNumberFormat="1" applyFont="1" applyFill="1" applyBorder="1"/>
    <xf numFmtId="3" fontId="13" fillId="11" borderId="440" xfId="0" applyNumberFormat="1" applyFont="1" applyFill="1" applyBorder="1"/>
    <xf numFmtId="3" fontId="13" fillId="11" borderId="441" xfId="0" applyNumberFormat="1" applyFont="1" applyFill="1" applyBorder="1"/>
    <xf numFmtId="3" fontId="13" fillId="11" borderId="183" xfId="15" applyFont="1" applyFill="1" applyBorder="1" applyAlignment="1" applyProtection="1"/>
    <xf numFmtId="3" fontId="13" fillId="11" borderId="442" xfId="15" applyFont="1" applyFill="1" applyBorder="1" applyAlignment="1" applyProtection="1"/>
    <xf numFmtId="182" fontId="13" fillId="33" borderId="442" xfId="15" applyNumberFormat="1" applyFont="1" applyFill="1" applyBorder="1" applyAlignment="1" applyProtection="1">
      <protection locked="0"/>
    </xf>
    <xf numFmtId="3" fontId="66" fillId="10" borderId="444" xfId="1" applyNumberFormat="1" applyFont="1" applyFill="1" applyBorder="1" applyAlignment="1" applyProtection="1"/>
    <xf numFmtId="3" fontId="66" fillId="10" borderId="445" xfId="1" applyNumberFormat="1" applyFont="1" applyFill="1" applyBorder="1" applyAlignment="1" applyProtection="1"/>
    <xf numFmtId="3" fontId="68" fillId="10" borderId="446" xfId="15" applyFont="1" applyFill="1" applyBorder="1" applyAlignment="1" applyProtection="1"/>
    <xf numFmtId="3" fontId="0" fillId="0" borderId="447" xfId="15" applyFont="1" applyFill="1" applyBorder="1" applyAlignment="1" applyProtection="1"/>
    <xf numFmtId="3" fontId="2" fillId="3" borderId="405" xfId="15" applyFont="1" applyFill="1" applyBorder="1" applyAlignment="1" applyProtection="1">
      <alignment horizontal="center"/>
    </xf>
    <xf numFmtId="3" fontId="2" fillId="3" borderId="378" xfId="15" applyFont="1" applyFill="1" applyBorder="1" applyAlignment="1" applyProtection="1">
      <alignment horizontal="center"/>
    </xf>
    <xf numFmtId="3" fontId="0" fillId="3" borderId="448" xfId="15" applyFont="1" applyFill="1" applyBorder="1" applyAlignment="1" applyProtection="1">
      <alignment horizontal="center" vertical="top" wrapText="1"/>
    </xf>
    <xf numFmtId="3" fontId="0" fillId="3" borderId="406" xfId="15" applyFont="1" applyFill="1" applyBorder="1" applyAlignment="1" applyProtection="1">
      <alignment horizontal="center" vertical="top" wrapText="1"/>
    </xf>
    <xf numFmtId="3" fontId="0" fillId="3" borderId="411" xfId="15" applyFont="1" applyFill="1" applyBorder="1" applyAlignment="1" applyProtection="1">
      <alignment horizontal="center" vertical="top" wrapText="1"/>
    </xf>
    <xf numFmtId="3" fontId="3" fillId="3" borderId="406" xfId="15" applyFont="1" applyFill="1" applyBorder="1" applyAlignment="1" applyProtection="1">
      <alignment horizontal="center" vertical="top" wrapText="1"/>
    </xf>
    <xf numFmtId="3" fontId="0" fillId="3" borderId="449" xfId="15" applyFont="1" applyFill="1" applyBorder="1" applyAlignment="1" applyProtection="1">
      <alignment horizontal="center" vertical="top" wrapText="1"/>
    </xf>
    <xf numFmtId="3" fontId="0" fillId="11" borderId="450" xfId="15" applyFont="1" applyFill="1" applyBorder="1" applyAlignment="1" applyProtection="1"/>
    <xf numFmtId="3" fontId="19" fillId="11" borderId="451" xfId="1" applyNumberFormat="1" applyFont="1" applyFill="1" applyBorder="1" applyAlignment="1" applyProtection="1"/>
    <xf numFmtId="3" fontId="13" fillId="11" borderId="451" xfId="1" applyNumberFormat="1" applyFont="1" applyFill="1" applyBorder="1" applyAlignment="1" applyProtection="1"/>
    <xf numFmtId="3" fontId="13" fillId="11" borderId="452" xfId="1" applyNumberFormat="1" applyFont="1" applyFill="1" applyBorder="1" applyAlignment="1" applyProtection="1"/>
    <xf numFmtId="0" fontId="0" fillId="3" borderId="453" xfId="0" applyFill="1" applyBorder="1" applyAlignment="1">
      <alignment horizontal="center"/>
    </xf>
    <xf numFmtId="3" fontId="2" fillId="3" borderId="454" xfId="15" applyFont="1" applyFill="1" applyBorder="1" applyAlignment="1" applyProtection="1">
      <alignment horizontal="center"/>
    </xf>
    <xf numFmtId="3" fontId="2" fillId="3" borderId="455" xfId="15" applyFont="1" applyFill="1" applyBorder="1" applyAlignment="1" applyProtection="1">
      <alignment horizontal="center"/>
    </xf>
    <xf numFmtId="3" fontId="19" fillId="11" borderId="440" xfId="1" applyNumberFormat="1" applyFont="1" applyFill="1" applyBorder="1" applyAlignment="1" applyProtection="1"/>
    <xf numFmtId="3" fontId="27" fillId="3" borderId="441" xfId="0" applyNumberFormat="1" applyFont="1" applyFill="1" applyBorder="1"/>
    <xf numFmtId="3" fontId="13" fillId="11" borderId="456" xfId="1" applyNumberFormat="1" applyFont="1" applyFill="1" applyBorder="1" applyAlignment="1" applyProtection="1"/>
    <xf numFmtId="3" fontId="13" fillId="11" borderId="457" xfId="1" applyNumberFormat="1" applyFont="1" applyFill="1" applyBorder="1" applyAlignment="1" applyProtection="1"/>
    <xf numFmtId="3" fontId="13" fillId="11" borderId="458" xfId="15" applyFont="1" applyFill="1" applyBorder="1" applyAlignment="1" applyProtection="1">
      <protection locked="0"/>
    </xf>
    <xf numFmtId="0" fontId="0" fillId="11" borderId="432" xfId="0" applyFill="1" applyBorder="1"/>
    <xf numFmtId="3" fontId="66" fillId="18" borderId="443" xfId="15" applyFont="1" applyFill="1" applyBorder="1" applyAlignment="1" applyProtection="1"/>
    <xf numFmtId="0" fontId="0" fillId="0" borderId="419" xfId="0" applyBorder="1"/>
    <xf numFmtId="3" fontId="19" fillId="11" borderId="459" xfId="1" applyNumberFormat="1" applyFont="1" applyFill="1" applyBorder="1" applyAlignment="1" applyProtection="1"/>
    <xf numFmtId="3" fontId="27" fillId="3" borderId="460" xfId="0" applyNumberFormat="1" applyFont="1" applyFill="1" applyBorder="1"/>
    <xf numFmtId="3" fontId="13" fillId="11" borderId="461" xfId="1" applyNumberFormat="1" applyFont="1" applyFill="1" applyBorder="1" applyAlignment="1" applyProtection="1"/>
    <xf numFmtId="3" fontId="13" fillId="11" borderId="462" xfId="1" applyNumberFormat="1" applyFont="1" applyFill="1" applyBorder="1" applyAlignment="1" applyProtection="1"/>
    <xf numFmtId="3" fontId="13" fillId="11" borderId="440" xfId="1" applyNumberFormat="1" applyFont="1" applyFill="1" applyBorder="1" applyAlignment="1" applyProtection="1"/>
    <xf numFmtId="3" fontId="13" fillId="11" borderId="463" xfId="15" applyFont="1" applyFill="1" applyBorder="1" applyAlignment="1" applyProtection="1"/>
    <xf numFmtId="3" fontId="2" fillId="3" borderId="466" xfId="15" applyFont="1" applyFill="1" applyBorder="1" applyAlignment="1" applyProtection="1">
      <alignment horizontal="center"/>
    </xf>
    <xf numFmtId="3" fontId="2" fillId="3" borderId="460" xfId="15" applyFont="1" applyFill="1" applyBorder="1" applyAlignment="1" applyProtection="1"/>
    <xf numFmtId="0" fontId="2" fillId="5" borderId="467" xfId="0" applyFont="1" applyFill="1" applyBorder="1"/>
    <xf numFmtId="0" fontId="2" fillId="5" borderId="468" xfId="0" applyFont="1" applyFill="1" applyBorder="1"/>
    <xf numFmtId="3" fontId="3" fillId="3" borderId="412" xfId="15" applyFont="1" applyFill="1" applyBorder="1" applyAlignment="1" applyProtection="1">
      <alignment horizontal="center"/>
    </xf>
    <xf numFmtId="0" fontId="0" fillId="33" borderId="412" xfId="0" applyFill="1" applyBorder="1" applyProtection="1">
      <protection locked="0"/>
    </xf>
    <xf numFmtId="3" fontId="59" fillId="33" borderId="412" xfId="1" applyNumberFormat="1" applyFill="1" applyBorder="1" applyAlignment="1" applyProtection="1">
      <alignment horizontal="right"/>
      <protection locked="0"/>
    </xf>
    <xf numFmtId="0" fontId="2" fillId="33" borderId="412" xfId="0" applyFont="1" applyFill="1" applyBorder="1" applyProtection="1">
      <protection locked="0"/>
    </xf>
    <xf numFmtId="3" fontId="0" fillId="5" borderId="412" xfId="0" applyNumberFormat="1" applyFill="1" applyBorder="1" applyAlignment="1">
      <alignment horizontal="right"/>
    </xf>
    <xf numFmtId="3" fontId="59" fillId="5" borderId="412" xfId="1" applyNumberFormat="1" applyFill="1" applyBorder="1" applyAlignment="1" applyProtection="1">
      <alignment horizontal="right"/>
    </xf>
    <xf numFmtId="3" fontId="3" fillId="5" borderId="412" xfId="1" applyNumberFormat="1" applyFont="1" applyFill="1" applyBorder="1" applyAlignment="1" applyProtection="1">
      <alignment horizontal="right"/>
    </xf>
    <xf numFmtId="0" fontId="2" fillId="33" borderId="470" xfId="0" applyFont="1" applyFill="1" applyBorder="1" applyProtection="1">
      <protection locked="0"/>
    </xf>
    <xf numFmtId="3" fontId="0" fillId="5" borderId="470" xfId="0" applyNumberFormat="1" applyFill="1" applyBorder="1" applyAlignment="1">
      <alignment horizontal="right"/>
    </xf>
    <xf numFmtId="3" fontId="102" fillId="5" borderId="412" xfId="1" applyNumberFormat="1" applyFont="1" applyFill="1" applyBorder="1" applyAlignment="1" applyProtection="1">
      <alignment horizontal="right"/>
    </xf>
    <xf numFmtId="0" fontId="0" fillId="33" borderId="470" xfId="0" applyFill="1" applyBorder="1" applyProtection="1">
      <protection locked="0"/>
    </xf>
    <xf numFmtId="3" fontId="59" fillId="33" borderId="470" xfId="1" applyNumberFormat="1" applyFill="1" applyBorder="1" applyAlignment="1" applyProtection="1">
      <alignment horizontal="right"/>
      <protection locked="0"/>
    </xf>
    <xf numFmtId="3" fontId="66" fillId="10" borderId="432" xfId="15" applyFont="1" applyFill="1" applyBorder="1" applyAlignment="1" applyProtection="1">
      <alignment horizontal="center"/>
    </xf>
    <xf numFmtId="3" fontId="70" fillId="18" borderId="464" xfId="15" applyFont="1" applyFill="1" applyBorder="1" applyAlignment="1" applyProtection="1"/>
    <xf numFmtId="0" fontId="70" fillId="18" borderId="419" xfId="0" applyFont="1" applyFill="1" applyBorder="1"/>
    <xf numFmtId="3" fontId="68" fillId="10" borderId="419" xfId="0" applyNumberFormat="1" applyFont="1" applyFill="1" applyBorder="1"/>
    <xf numFmtId="0" fontId="2" fillId="5" borderId="471" xfId="0" applyFont="1" applyFill="1" applyBorder="1"/>
    <xf numFmtId="0" fontId="2" fillId="5" borderId="472" xfId="0" applyFont="1" applyFill="1" applyBorder="1"/>
    <xf numFmtId="3" fontId="0" fillId="11" borderId="473" xfId="15" applyFont="1" applyFill="1" applyBorder="1" applyAlignment="1" applyProtection="1">
      <alignment horizontal="center"/>
    </xf>
    <xf numFmtId="3" fontId="0" fillId="11" borderId="403" xfId="11" applyFont="1" applyFill="1" applyBorder="1" applyAlignment="1" applyProtection="1"/>
    <xf numFmtId="3" fontId="0" fillId="11" borderId="216" xfId="11" applyFont="1" applyFill="1" applyBorder="1" applyAlignment="1" applyProtection="1"/>
    <xf numFmtId="0" fontId="34" fillId="33" borderId="412" xfId="0" applyFont="1" applyFill="1" applyBorder="1" applyProtection="1">
      <protection locked="0"/>
    </xf>
    <xf numFmtId="3" fontId="34" fillId="11" borderId="412" xfId="0" applyNumberFormat="1" applyFont="1" applyFill="1" applyBorder="1" applyAlignment="1">
      <alignment horizontal="right"/>
    </xf>
    <xf numFmtId="3" fontId="3" fillId="11" borderId="469" xfId="11" applyFont="1" applyFill="1" applyBorder="1" applyAlignment="1" applyProtection="1"/>
    <xf numFmtId="3" fontId="34" fillId="11" borderId="412" xfId="0" applyNumberFormat="1" applyFont="1" applyFill="1" applyBorder="1"/>
    <xf numFmtId="3" fontId="102" fillId="11" borderId="412" xfId="0" applyNumberFormat="1" applyFont="1" applyFill="1" applyBorder="1"/>
    <xf numFmtId="0" fontId="34" fillId="33" borderId="470" xfId="0" applyFont="1" applyFill="1" applyBorder="1" applyProtection="1">
      <protection locked="0"/>
    </xf>
    <xf numFmtId="3" fontId="102" fillId="33" borderId="470" xfId="0" applyNumberFormat="1" applyFont="1" applyFill="1" applyBorder="1" applyAlignment="1" applyProtection="1">
      <alignment horizontal="right"/>
      <protection locked="0"/>
    </xf>
    <xf numFmtId="3" fontId="0" fillId="33" borderId="469" xfId="11" applyFont="1" applyFill="1" applyBorder="1" applyAlignment="1" applyProtection="1">
      <protection locked="0"/>
    </xf>
    <xf numFmtId="3" fontId="102" fillId="33" borderId="412" xfId="0" applyNumberFormat="1" applyFont="1" applyFill="1" applyBorder="1" applyAlignment="1" applyProtection="1">
      <alignment horizontal="right"/>
      <protection locked="0"/>
    </xf>
    <xf numFmtId="3" fontId="0" fillId="33" borderId="469" xfId="15" applyFont="1" applyFill="1" applyBorder="1" applyAlignment="1" applyProtection="1">
      <protection locked="0"/>
    </xf>
    <xf numFmtId="3" fontId="3" fillId="33" borderId="403" xfId="15" applyFont="1" applyFill="1" applyBorder="1" applyAlignment="1" applyProtection="1">
      <protection locked="0"/>
    </xf>
    <xf numFmtId="3" fontId="3" fillId="33" borderId="216" xfId="15" applyFont="1" applyFill="1" applyBorder="1" applyAlignment="1" applyProtection="1">
      <protection locked="0"/>
    </xf>
    <xf numFmtId="3" fontId="3" fillId="33" borderId="469" xfId="11" applyFont="1" applyFill="1" applyBorder="1" applyAlignment="1" applyProtection="1">
      <protection locked="0"/>
    </xf>
    <xf numFmtId="3" fontId="0" fillId="33" borderId="403" xfId="11" applyFont="1" applyFill="1" applyBorder="1" applyAlignment="1" applyProtection="1">
      <protection locked="0"/>
    </xf>
    <xf numFmtId="3" fontId="0" fillId="33" borderId="216" xfId="11" applyFont="1" applyFill="1" applyBorder="1" applyAlignment="1" applyProtection="1">
      <protection locked="0"/>
    </xf>
    <xf numFmtId="0" fontId="34" fillId="33" borderId="478" xfId="0" applyFont="1" applyFill="1" applyBorder="1" applyProtection="1">
      <protection locked="0"/>
    </xf>
    <xf numFmtId="3" fontId="102" fillId="33" borderId="478" xfId="0" applyNumberFormat="1" applyFont="1" applyFill="1" applyBorder="1" applyAlignment="1" applyProtection="1">
      <alignment horizontal="right"/>
      <protection locked="0"/>
    </xf>
    <xf numFmtId="3" fontId="66" fillId="10" borderId="465" xfId="15" applyFont="1" applyFill="1" applyBorder="1" applyAlignment="1" applyProtection="1"/>
    <xf numFmtId="0" fontId="75" fillId="0" borderId="418" xfId="45" applyBorder="1"/>
    <xf numFmtId="0" fontId="151" fillId="33" borderId="482" xfId="45" applyFont="1" applyFill="1" applyBorder="1" applyAlignment="1" applyProtection="1">
      <alignment horizontal="center" wrapText="1"/>
      <protection locked="0"/>
    </xf>
    <xf numFmtId="0" fontId="151" fillId="33" borderId="482" xfId="45" applyFont="1" applyFill="1" applyBorder="1" applyAlignment="1" applyProtection="1">
      <alignment horizontal="center"/>
      <protection locked="0"/>
    </xf>
    <xf numFmtId="3" fontId="174" fillId="33" borderId="482" xfId="45" applyNumberFormat="1" applyFont="1" applyFill="1" applyBorder="1" applyAlignment="1" applyProtection="1">
      <alignment horizontal="center"/>
      <protection locked="0"/>
    </xf>
    <xf numFmtId="3" fontId="97" fillId="33" borderId="482" xfId="45" applyNumberFormat="1" applyFont="1" applyFill="1" applyBorder="1" applyAlignment="1" applyProtection="1">
      <alignment horizontal="center"/>
      <protection locked="0"/>
    </xf>
    <xf numFmtId="0" fontId="174" fillId="33" borderId="482" xfId="45" applyFont="1" applyFill="1" applyBorder="1" applyAlignment="1" applyProtection="1">
      <alignment horizontal="center"/>
      <protection locked="0"/>
    </xf>
    <xf numFmtId="0" fontId="175" fillId="33" borderId="482" xfId="45" applyFont="1" applyFill="1" applyBorder="1" applyAlignment="1" applyProtection="1">
      <alignment horizontal="center"/>
      <protection locked="0"/>
    </xf>
    <xf numFmtId="0" fontId="176" fillId="33" borderId="482" xfId="45" applyFont="1" applyFill="1" applyBorder="1" applyAlignment="1" applyProtection="1">
      <alignment horizontal="center"/>
      <protection locked="0"/>
    </xf>
    <xf numFmtId="0" fontId="97" fillId="33" borderId="482" xfId="45" applyFont="1" applyFill="1" applyBorder="1" applyAlignment="1" applyProtection="1">
      <alignment horizontal="center"/>
      <protection locked="0"/>
    </xf>
    <xf numFmtId="0" fontId="76" fillId="7" borderId="482" xfId="45" applyFont="1" applyFill="1" applyBorder="1" applyAlignment="1">
      <alignment wrapText="1"/>
    </xf>
    <xf numFmtId="0" fontId="76" fillId="7" borderId="482" xfId="45" applyFont="1" applyFill="1" applyBorder="1"/>
    <xf numFmtId="0" fontId="97" fillId="7" borderId="481" xfId="45" applyFont="1" applyFill="1" applyBorder="1" applyAlignment="1">
      <alignment horizontal="left"/>
    </xf>
    <xf numFmtId="0" fontId="97" fillId="7" borderId="216" xfId="45" applyFont="1" applyFill="1" applyBorder="1" applyAlignment="1">
      <alignment horizontal="left"/>
    </xf>
    <xf numFmtId="3" fontId="97" fillId="48" borderId="482" xfId="45" applyNumberFormat="1" applyFont="1" applyFill="1" applyBorder="1" applyAlignment="1">
      <alignment horizontal="center"/>
    </xf>
    <xf numFmtId="0" fontId="97" fillId="48" borderId="482" xfId="45" applyFont="1" applyFill="1" applyBorder="1" applyAlignment="1">
      <alignment horizontal="center"/>
    </xf>
    <xf numFmtId="0" fontId="75" fillId="63" borderId="482" xfId="45" applyFill="1" applyBorder="1"/>
    <xf numFmtId="0" fontId="75" fillId="33" borderId="482" xfId="45" applyFill="1" applyBorder="1" applyProtection="1">
      <protection locked="0"/>
    </xf>
    <xf numFmtId="4" fontId="59" fillId="63" borderId="482" xfId="1" applyFill="1" applyBorder="1"/>
    <xf numFmtId="2" fontId="97" fillId="33" borderId="482" xfId="45" applyNumberFormat="1" applyFont="1" applyFill="1" applyBorder="1" applyAlignment="1" applyProtection="1">
      <alignment horizontal="center"/>
      <protection locked="0"/>
    </xf>
    <xf numFmtId="2" fontId="97" fillId="7" borderId="482" xfId="45" applyNumberFormat="1" applyFont="1" applyFill="1" applyBorder="1" applyAlignment="1">
      <alignment horizontal="center"/>
    </xf>
    <xf numFmtId="0" fontId="114" fillId="63" borderId="482" xfId="45" applyFont="1" applyFill="1" applyBorder="1"/>
    <xf numFmtId="4" fontId="97" fillId="7" borderId="482" xfId="45" applyNumberFormat="1" applyFont="1" applyFill="1" applyBorder="1" applyAlignment="1">
      <alignment horizontal="center"/>
    </xf>
    <xf numFmtId="3" fontId="97" fillId="7" borderId="482" xfId="45" applyNumberFormat="1" applyFont="1" applyFill="1" applyBorder="1" applyAlignment="1">
      <alignment horizontal="center"/>
    </xf>
    <xf numFmtId="4" fontId="97" fillId="33" borderId="482" xfId="46" applyNumberFormat="1" applyFont="1" applyFill="1" applyBorder="1" applyAlignment="1" applyProtection="1">
      <alignment horizontal="center"/>
      <protection locked="0"/>
    </xf>
    <xf numFmtId="170" fontId="97" fillId="49" borderId="482" xfId="45" applyNumberFormat="1" applyFont="1" applyFill="1" applyBorder="1" applyAlignment="1" applyProtection="1">
      <alignment horizontal="center"/>
      <protection locked="0"/>
    </xf>
    <xf numFmtId="4" fontId="97" fillId="49" borderId="482" xfId="45" applyNumberFormat="1" applyFont="1" applyFill="1" applyBorder="1" applyAlignment="1" applyProtection="1">
      <alignment horizontal="center"/>
      <protection locked="0"/>
    </xf>
    <xf numFmtId="170" fontId="97" fillId="33" borderId="482" xfId="45" applyNumberFormat="1" applyFont="1" applyFill="1" applyBorder="1" applyAlignment="1" applyProtection="1">
      <alignment horizontal="center"/>
      <protection locked="0"/>
    </xf>
    <xf numFmtId="0" fontId="114" fillId="7" borderId="482" xfId="45" applyFont="1" applyFill="1" applyBorder="1"/>
    <xf numFmtId="0" fontId="75" fillId="7" borderId="482" xfId="45" applyFill="1" applyBorder="1"/>
    <xf numFmtId="176" fontId="97" fillId="7" borderId="482" xfId="45" applyNumberFormat="1" applyFont="1" applyFill="1" applyBorder="1" applyAlignment="1">
      <alignment horizontal="center"/>
    </xf>
    <xf numFmtId="0" fontId="75" fillId="42" borderId="482" xfId="45" applyFill="1" applyBorder="1"/>
    <xf numFmtId="4" fontId="59" fillId="42" borderId="482" xfId="1" applyFill="1" applyBorder="1"/>
    <xf numFmtId="170" fontId="174" fillId="33" borderId="482" xfId="45" applyNumberFormat="1" applyFont="1" applyFill="1" applyBorder="1" applyAlignment="1" applyProtection="1">
      <alignment horizontal="center"/>
      <protection locked="0"/>
    </xf>
    <xf numFmtId="170" fontId="97" fillId="49" borderId="482" xfId="45" applyNumberFormat="1" applyFont="1" applyFill="1" applyBorder="1" applyAlignment="1">
      <alignment horizontal="center"/>
    </xf>
    <xf numFmtId="170" fontId="97" fillId="62" borderId="482" xfId="45" applyNumberFormat="1" applyFont="1" applyFill="1" applyBorder="1" applyAlignment="1" applyProtection="1">
      <alignment horizontal="center"/>
      <protection locked="0"/>
    </xf>
    <xf numFmtId="4" fontId="97" fillId="30" borderId="482" xfId="45" applyNumberFormat="1" applyFont="1" applyFill="1" applyBorder="1" applyAlignment="1">
      <alignment horizontal="center"/>
    </xf>
    <xf numFmtId="4" fontId="97" fillId="33" borderId="482" xfId="45" applyNumberFormat="1" applyFont="1" applyFill="1" applyBorder="1" applyAlignment="1" applyProtection="1">
      <alignment horizontal="center"/>
      <protection locked="0"/>
    </xf>
    <xf numFmtId="4" fontId="174" fillId="33" borderId="482" xfId="45" applyNumberFormat="1" applyFont="1" applyFill="1" applyBorder="1" applyAlignment="1" applyProtection="1">
      <alignment horizontal="center"/>
      <protection locked="0"/>
    </xf>
    <xf numFmtId="4" fontId="97" fillId="49" borderId="482" xfId="45" applyNumberFormat="1" applyFont="1" applyFill="1" applyBorder="1" applyAlignment="1">
      <alignment horizontal="center"/>
    </xf>
    <xf numFmtId="4" fontId="97" fillId="7" borderId="482" xfId="46" applyNumberFormat="1" applyFont="1" applyFill="1" applyBorder="1" applyAlignment="1">
      <alignment horizontal="right"/>
    </xf>
    <xf numFmtId="4" fontId="97" fillId="30" borderId="478" xfId="45" applyNumberFormat="1" applyFont="1" applyFill="1" applyBorder="1" applyAlignment="1">
      <alignment horizontal="center"/>
    </xf>
    <xf numFmtId="4" fontId="97" fillId="7" borderId="478" xfId="46" applyNumberFormat="1" applyFont="1" applyFill="1" applyBorder="1" applyAlignment="1">
      <alignment horizontal="right"/>
    </xf>
    <xf numFmtId="4" fontId="97" fillId="30" borderId="478" xfId="46" applyNumberFormat="1" applyFont="1" applyFill="1" applyBorder="1" applyAlignment="1"/>
    <xf numFmtId="4" fontId="97" fillId="7" borderId="478" xfId="46" applyNumberFormat="1" applyFont="1" applyFill="1" applyBorder="1" applyAlignment="1"/>
    <xf numFmtId="4" fontId="97" fillId="33" borderId="482" xfId="46" applyNumberFormat="1" applyFont="1" applyFill="1" applyBorder="1" applyAlignment="1" applyProtection="1">
      <protection locked="0"/>
    </xf>
    <xf numFmtId="4" fontId="97" fillId="33" borderId="470" xfId="46" applyNumberFormat="1" applyFont="1" applyFill="1" applyBorder="1" applyAlignment="1" applyProtection="1">
      <protection locked="0"/>
    </xf>
    <xf numFmtId="4" fontId="97" fillId="30" borderId="483" xfId="46" applyNumberFormat="1" applyFont="1" applyFill="1" applyBorder="1" applyAlignment="1"/>
    <xf numFmtId="4" fontId="97" fillId="33" borderId="483" xfId="46" applyNumberFormat="1" applyFont="1" applyFill="1" applyBorder="1" applyAlignment="1" applyProtection="1">
      <protection locked="0"/>
    </xf>
    <xf numFmtId="4" fontId="97" fillId="33" borderId="478" xfId="46" applyNumberFormat="1" applyFont="1" applyFill="1" applyBorder="1" applyAlignment="1" applyProtection="1">
      <protection locked="0"/>
    </xf>
    <xf numFmtId="0" fontId="75" fillId="7" borderId="482" xfId="45" applyFill="1" applyBorder="1" applyAlignment="1">
      <alignment wrapText="1"/>
    </xf>
    <xf numFmtId="0" fontId="75" fillId="64" borderId="482" xfId="45" applyFill="1" applyBorder="1"/>
    <xf numFmtId="4" fontId="59" fillId="64" borderId="482" xfId="1" applyFill="1" applyBorder="1"/>
    <xf numFmtId="4" fontId="97" fillId="30" borderId="482" xfId="46" applyNumberFormat="1" applyFont="1" applyFill="1" applyBorder="1" applyAlignment="1"/>
    <xf numFmtId="4" fontId="97" fillId="33" borderId="216" xfId="110" applyNumberFormat="1" applyFont="1" applyFill="1" applyBorder="1" applyAlignment="1" applyProtection="1">
      <alignment horizontal="center"/>
      <protection locked="0"/>
    </xf>
    <xf numFmtId="4" fontId="97" fillId="30" borderId="216" xfId="110" applyNumberFormat="1" applyFont="1" applyFill="1" applyBorder="1" applyAlignment="1" applyProtection="1">
      <alignment horizontal="center"/>
    </xf>
    <xf numFmtId="4" fontId="97" fillId="30" borderId="482" xfId="46" applyNumberFormat="1" applyFont="1" applyFill="1" applyBorder="1" applyAlignment="1" applyProtection="1">
      <alignment horizontal="center"/>
    </xf>
    <xf numFmtId="4" fontId="97" fillId="30" borderId="216" xfId="110" applyNumberFormat="1" applyFont="1" applyFill="1" applyBorder="1" applyAlignment="1" applyProtection="1">
      <alignment horizontal="center"/>
      <protection locked="0"/>
    </xf>
    <xf numFmtId="0" fontId="75" fillId="7" borderId="482" xfId="45" applyFill="1" applyBorder="1" applyAlignment="1">
      <alignment horizontal="left" wrapText="1"/>
    </xf>
    <xf numFmtId="0" fontId="75" fillId="44" borderId="482" xfId="45" applyFill="1" applyBorder="1"/>
    <xf numFmtId="4" fontId="59" fillId="44" borderId="482" xfId="1" applyFill="1" applyBorder="1"/>
    <xf numFmtId="4" fontId="97" fillId="7" borderId="482" xfId="46" applyNumberFormat="1" applyFont="1" applyFill="1" applyBorder="1" applyAlignment="1"/>
    <xf numFmtId="0" fontId="75" fillId="0" borderId="474" xfId="45" applyBorder="1"/>
    <xf numFmtId="0" fontId="75" fillId="0" borderId="403" xfId="45" applyBorder="1"/>
    <xf numFmtId="4" fontId="75" fillId="0" borderId="482" xfId="45" applyNumberFormat="1" applyBorder="1"/>
    <xf numFmtId="4" fontId="75" fillId="65" borderId="482" xfId="45" applyNumberFormat="1" applyFill="1" applyBorder="1"/>
    <xf numFmtId="4" fontId="59" fillId="65" borderId="482" xfId="1" applyFill="1" applyBorder="1"/>
    <xf numFmtId="4" fontId="97" fillId="7" borderId="483" xfId="46" applyNumberFormat="1" applyFont="1" applyFill="1" applyBorder="1" applyAlignment="1"/>
    <xf numFmtId="4" fontId="97" fillId="7" borderId="484" xfId="46" applyNumberFormat="1" applyFont="1" applyFill="1" applyBorder="1" applyAlignment="1"/>
    <xf numFmtId="4" fontId="111" fillId="30" borderId="470" xfId="46" applyNumberFormat="1" applyFont="1" applyFill="1" applyBorder="1" applyAlignment="1"/>
    <xf numFmtId="4" fontId="111" fillId="33" borderId="470" xfId="46" applyNumberFormat="1" applyFont="1" applyFill="1" applyBorder="1" applyAlignment="1" applyProtection="1">
      <protection locked="0"/>
    </xf>
    <xf numFmtId="4" fontId="111" fillId="33" borderId="400" xfId="46" applyNumberFormat="1" applyFont="1" applyFill="1" applyBorder="1" applyAlignment="1" applyProtection="1">
      <protection locked="0"/>
    </xf>
    <xf numFmtId="4" fontId="111" fillId="30" borderId="482" xfId="46" applyNumberFormat="1" applyFont="1" applyFill="1" applyBorder="1" applyAlignment="1"/>
    <xf numFmtId="4" fontId="111" fillId="33" borderId="482" xfId="46" applyNumberFormat="1" applyFont="1" applyFill="1" applyBorder="1" applyAlignment="1" applyProtection="1">
      <protection locked="0"/>
    </xf>
    <xf numFmtId="4" fontId="111" fillId="33" borderId="474" xfId="46" applyNumberFormat="1" applyFont="1" applyFill="1" applyBorder="1" applyAlignment="1" applyProtection="1">
      <protection locked="0"/>
    </xf>
    <xf numFmtId="4" fontId="111" fillId="30" borderId="478" xfId="46" applyNumberFormat="1" applyFont="1" applyFill="1" applyBorder="1" applyAlignment="1"/>
    <xf numFmtId="4" fontId="97" fillId="49" borderId="474" xfId="45" applyNumberFormat="1" applyFont="1" applyFill="1" applyBorder="1" applyAlignment="1">
      <alignment horizontal="center"/>
    </xf>
    <xf numFmtId="4" fontId="111" fillId="30" borderId="483" xfId="46" applyNumberFormat="1" applyFont="1" applyFill="1" applyBorder="1" applyAlignment="1"/>
    <xf numFmtId="4" fontId="97" fillId="49" borderId="470" xfId="45" applyNumberFormat="1" applyFont="1" applyFill="1" applyBorder="1" applyAlignment="1">
      <alignment horizontal="center"/>
    </xf>
    <xf numFmtId="4" fontId="97" fillId="49" borderId="400" xfId="45" applyNumberFormat="1" applyFont="1" applyFill="1" applyBorder="1" applyAlignment="1">
      <alignment horizontal="center"/>
    </xf>
    <xf numFmtId="4" fontId="111" fillId="7" borderId="470" xfId="46" applyNumberFormat="1" applyFont="1" applyFill="1" applyBorder="1" applyAlignment="1"/>
    <xf numFmtId="4" fontId="111" fillId="7" borderId="471" xfId="46" applyNumberFormat="1" applyFont="1" applyFill="1" applyBorder="1" applyAlignment="1"/>
    <xf numFmtId="4" fontId="97" fillId="33" borderId="470" xfId="46" applyNumberFormat="1" applyFont="1" applyFill="1" applyBorder="1" applyAlignment="1" applyProtection="1">
      <alignment horizontal="center"/>
      <protection locked="0"/>
    </xf>
    <xf numFmtId="4" fontId="111" fillId="7" borderId="482" xfId="46" applyNumberFormat="1" applyFont="1" applyFill="1" applyBorder="1" applyAlignment="1" applyProtection="1"/>
    <xf numFmtId="4" fontId="152" fillId="10" borderId="482" xfId="46" applyNumberFormat="1" applyFont="1" applyFill="1" applyBorder="1" applyAlignment="1"/>
    <xf numFmtId="3" fontId="152" fillId="10" borderId="437" xfId="45" applyNumberFormat="1" applyFont="1" applyFill="1" applyBorder="1" applyAlignment="1">
      <alignment horizontal="left"/>
    </xf>
    <xf numFmtId="4" fontId="152" fillId="10" borderId="418" xfId="46" applyNumberFormat="1" applyFont="1" applyFill="1" applyBorder="1" applyAlignment="1"/>
    <xf numFmtId="3" fontId="152" fillId="10" borderId="465" xfId="45" applyNumberFormat="1" applyFont="1" applyFill="1" applyBorder="1" applyAlignment="1">
      <alignment horizontal="left"/>
    </xf>
    <xf numFmtId="3" fontId="111" fillId="7" borderId="486" xfId="0" applyNumberFormat="1" applyFont="1" applyFill="1" applyBorder="1" applyAlignment="1">
      <alignment horizontal="center"/>
    </xf>
    <xf numFmtId="3" fontId="111" fillId="7" borderId="487" xfId="0" applyNumberFormat="1" applyFont="1" applyFill="1" applyBorder="1" applyAlignment="1">
      <alignment horizontal="center"/>
    </xf>
    <xf numFmtId="3" fontId="97" fillId="7" borderId="482" xfId="0" applyNumberFormat="1" applyFont="1" applyFill="1" applyBorder="1"/>
    <xf numFmtId="0" fontId="152" fillId="9" borderId="488" xfId="21" applyFont="1" applyFill="1" applyBorder="1"/>
    <xf numFmtId="3" fontId="152" fillId="10" borderId="489" xfId="0" applyNumberFormat="1" applyFont="1" applyFill="1" applyBorder="1"/>
    <xf numFmtId="0" fontId="159" fillId="27" borderId="490" xfId="21" applyFont="1" applyFill="1" applyBorder="1"/>
    <xf numFmtId="9" fontId="97" fillId="33" borderId="478" xfId="26" applyFont="1" applyFill="1" applyBorder="1" applyAlignment="1" applyProtection="1">
      <alignment horizontal="center"/>
      <protection locked="0"/>
    </xf>
    <xf numFmtId="0" fontId="154" fillId="14" borderId="493" xfId="45" applyFont="1" applyFill="1" applyBorder="1" applyAlignment="1">
      <alignment vertical="center" textRotation="90" wrapText="1"/>
    </xf>
    <xf numFmtId="0" fontId="97" fillId="14" borderId="494" xfId="45" applyFont="1" applyFill="1" applyBorder="1" applyAlignment="1">
      <alignment horizontal="left" wrapText="1"/>
    </xf>
    <xf numFmtId="4" fontId="97" fillId="33" borderId="494" xfId="45" applyNumberFormat="1" applyFont="1" applyFill="1" applyBorder="1" applyAlignment="1" applyProtection="1">
      <alignment horizontal="center"/>
      <protection locked="0"/>
    </xf>
    <xf numFmtId="4" fontId="97" fillId="62" borderId="494" xfId="45" applyNumberFormat="1" applyFont="1" applyFill="1" applyBorder="1" applyAlignment="1">
      <alignment horizontal="center"/>
    </xf>
    <xf numFmtId="0" fontId="154" fillId="14" borderId="495" xfId="45" applyFont="1" applyFill="1" applyBorder="1" applyAlignment="1">
      <alignment vertical="center" textRotation="90" wrapText="1"/>
    </xf>
    <xf numFmtId="0" fontId="97" fillId="14" borderId="482" xfId="45" applyFont="1" applyFill="1" applyBorder="1" applyAlignment="1">
      <alignment horizontal="left" wrapText="1"/>
    </xf>
    <xf numFmtId="4" fontId="97" fillId="62" borderId="482" xfId="45" applyNumberFormat="1" applyFont="1" applyFill="1" applyBorder="1" applyAlignment="1">
      <alignment horizontal="center"/>
    </xf>
    <xf numFmtId="4" fontId="97" fillId="33" borderId="482" xfId="45" applyNumberFormat="1" applyFont="1" applyFill="1" applyBorder="1" applyAlignment="1">
      <alignment horizontal="center"/>
    </xf>
    <xf numFmtId="0" fontId="97" fillId="14" borderId="496" xfId="45" applyFont="1" applyFill="1" applyBorder="1" applyAlignment="1">
      <alignment horizontal="left" wrapText="1"/>
    </xf>
    <xf numFmtId="4" fontId="97" fillId="14" borderId="496" xfId="1" applyFont="1" applyFill="1" applyBorder="1" applyAlignment="1" applyProtection="1">
      <alignment horizontal="center"/>
    </xf>
    <xf numFmtId="0" fontId="97" fillId="7" borderId="482" xfId="45" applyFont="1" applyFill="1" applyBorder="1" applyAlignment="1">
      <alignment horizontal="left" wrapText="1"/>
    </xf>
    <xf numFmtId="2" fontId="97" fillId="33" borderId="494" xfId="45" applyNumberFormat="1" applyFont="1" applyFill="1" applyBorder="1" applyAlignment="1" applyProtection="1">
      <alignment horizontal="center"/>
      <protection locked="0"/>
    </xf>
    <xf numFmtId="4" fontId="97" fillId="33" borderId="470" xfId="45" applyNumberFormat="1" applyFont="1" applyFill="1" applyBorder="1" applyAlignment="1" applyProtection="1">
      <alignment horizontal="center"/>
      <protection locked="0"/>
    </xf>
    <xf numFmtId="2" fontId="97" fillId="33" borderId="494" xfId="45" applyNumberFormat="1" applyFont="1" applyFill="1" applyBorder="1" applyAlignment="1">
      <alignment horizontal="center"/>
    </xf>
    <xf numFmtId="2" fontId="97" fillId="62" borderId="494" xfId="45" applyNumberFormat="1" applyFont="1" applyFill="1" applyBorder="1" applyAlignment="1">
      <alignment horizontal="center"/>
    </xf>
    <xf numFmtId="3" fontId="87" fillId="10" borderId="497" xfId="45" applyNumberFormat="1" applyFont="1" applyFill="1" applyBorder="1"/>
    <xf numFmtId="0" fontId="97" fillId="7" borderId="496" xfId="45" applyFont="1" applyFill="1" applyBorder="1" applyAlignment="1">
      <alignment horizontal="left" wrapText="1"/>
    </xf>
    <xf numFmtId="4" fontId="97" fillId="7" borderId="496" xfId="1" applyFont="1" applyFill="1" applyBorder="1" applyAlignment="1" applyProtection="1">
      <alignment horizontal="center"/>
    </xf>
    <xf numFmtId="0" fontId="97" fillId="30" borderId="482" xfId="45" applyFont="1" applyFill="1" applyBorder="1" applyAlignment="1">
      <alignment horizontal="left" wrapText="1"/>
    </xf>
    <xf numFmtId="0" fontId="97" fillId="30" borderId="496" xfId="45" applyFont="1" applyFill="1" applyBorder="1" applyAlignment="1">
      <alignment horizontal="left" wrapText="1"/>
    </xf>
    <xf numFmtId="4" fontId="97" fillId="30" borderId="496" xfId="1" applyFont="1" applyFill="1" applyBorder="1" applyAlignment="1" applyProtection="1">
      <alignment horizontal="center"/>
    </xf>
    <xf numFmtId="0" fontId="111" fillId="7" borderId="498" xfId="45" applyFont="1" applyFill="1" applyBorder="1"/>
    <xf numFmtId="0" fontId="111" fillId="7" borderId="494" xfId="0" applyFont="1" applyFill="1" applyBorder="1"/>
    <xf numFmtId="0" fontId="111" fillId="7" borderId="473" xfId="45" applyFont="1" applyFill="1" applyBorder="1" applyAlignment="1">
      <alignment horizontal="center"/>
    </xf>
    <xf numFmtId="0" fontId="111" fillId="7" borderId="482" xfId="0" applyFont="1" applyFill="1" applyBorder="1"/>
    <xf numFmtId="0" fontId="114" fillId="7" borderId="473" xfId="45" applyFont="1" applyFill="1" applyBorder="1" applyAlignment="1">
      <alignment horizontal="center"/>
    </xf>
    <xf numFmtId="3" fontId="102" fillId="7" borderId="482" xfId="0" applyNumberFormat="1" applyFont="1" applyFill="1" applyBorder="1"/>
    <xf numFmtId="0" fontId="118" fillId="7" borderId="482" xfId="45" applyFont="1" applyFill="1" applyBorder="1"/>
    <xf numFmtId="0" fontId="151" fillId="33" borderId="499" xfId="45" applyFont="1" applyFill="1" applyBorder="1" applyAlignment="1" applyProtection="1">
      <alignment horizontal="center"/>
      <protection locked="0"/>
    </xf>
    <xf numFmtId="0" fontId="151" fillId="33" borderId="500" xfId="45" applyFont="1" applyFill="1" applyBorder="1" applyAlignment="1" applyProtection="1">
      <alignment horizontal="center"/>
      <protection locked="0"/>
    </xf>
    <xf numFmtId="0" fontId="151" fillId="33" borderId="498" xfId="45" applyFont="1" applyFill="1" applyBorder="1" applyAlignment="1" applyProtection="1">
      <alignment horizontal="center"/>
      <protection locked="0"/>
    </xf>
    <xf numFmtId="0" fontId="151" fillId="33" borderId="494" xfId="45" applyFont="1" applyFill="1" applyBorder="1" applyAlignment="1" applyProtection="1">
      <alignment horizontal="center"/>
      <protection locked="0"/>
    </xf>
    <xf numFmtId="0" fontId="151" fillId="33" borderId="467" xfId="45" applyFont="1" applyFill="1" applyBorder="1" applyAlignment="1" applyProtection="1">
      <alignment horizontal="center"/>
      <protection locked="0"/>
    </xf>
    <xf numFmtId="0" fontId="151" fillId="33" borderId="501" xfId="45" applyFont="1" applyFill="1" applyBorder="1" applyAlignment="1" applyProtection="1">
      <alignment horizontal="center"/>
      <protection locked="0"/>
    </xf>
    <xf numFmtId="0" fontId="151" fillId="33" borderId="502" xfId="45" applyFont="1" applyFill="1" applyBorder="1" applyAlignment="1" applyProtection="1">
      <alignment horizontal="center"/>
      <protection locked="0"/>
    </xf>
    <xf numFmtId="0" fontId="151" fillId="33" borderId="498" xfId="45" applyFont="1" applyFill="1" applyBorder="1" applyAlignment="1" applyProtection="1">
      <alignment horizontal="center" wrapText="1"/>
      <protection locked="0"/>
    </xf>
    <xf numFmtId="0" fontId="151" fillId="33" borderId="502" xfId="45" applyFont="1" applyFill="1" applyBorder="1" applyAlignment="1" applyProtection="1">
      <alignment horizontal="center" wrapText="1"/>
      <protection locked="0"/>
    </xf>
    <xf numFmtId="0" fontId="151" fillId="33" borderId="503" xfId="45" applyFont="1" applyFill="1" applyBorder="1" applyAlignment="1" applyProtection="1">
      <alignment horizontal="center"/>
      <protection locked="0"/>
    </xf>
    <xf numFmtId="0" fontId="151" fillId="33" borderId="500" xfId="45" applyFont="1" applyFill="1" applyBorder="1" applyAlignment="1" applyProtection="1">
      <alignment horizontal="center" wrapText="1"/>
      <protection locked="0"/>
    </xf>
    <xf numFmtId="0" fontId="84" fillId="55" borderId="482" xfId="45" applyFont="1" applyFill="1" applyBorder="1" applyAlignment="1">
      <alignment wrapText="1"/>
    </xf>
    <xf numFmtId="0" fontId="84" fillId="55" borderId="482" xfId="45" applyFont="1" applyFill="1" applyBorder="1"/>
    <xf numFmtId="0" fontId="84" fillId="66" borderId="482" xfId="45" applyFont="1" applyFill="1" applyBorder="1" applyAlignment="1">
      <alignment wrapText="1"/>
    </xf>
    <xf numFmtId="0" fontId="84" fillId="66" borderId="482" xfId="45" applyFont="1" applyFill="1" applyBorder="1"/>
    <xf numFmtId="0" fontId="84" fillId="67" borderId="482" xfId="45" applyFont="1" applyFill="1" applyBorder="1" applyAlignment="1">
      <alignment wrapText="1"/>
    </xf>
    <xf numFmtId="0" fontId="84" fillId="67" borderId="482" xfId="45" applyFont="1" applyFill="1" applyBorder="1"/>
    <xf numFmtId="0" fontId="84" fillId="68" borderId="482" xfId="45" applyFont="1" applyFill="1" applyBorder="1" applyAlignment="1">
      <alignment wrapText="1"/>
    </xf>
    <xf numFmtId="0" fontId="84" fillId="68" borderId="482" xfId="45" applyFont="1" applyFill="1" applyBorder="1" applyAlignment="1">
      <alignment horizontal="center" wrapText="1"/>
    </xf>
    <xf numFmtId="0" fontId="84" fillId="68" borderId="482" xfId="45" applyFont="1" applyFill="1" applyBorder="1"/>
    <xf numFmtId="0" fontId="84" fillId="70" borderId="482" xfId="45" applyFont="1" applyFill="1" applyBorder="1" applyAlignment="1">
      <alignment wrapText="1"/>
    </xf>
    <xf numFmtId="0" fontId="84" fillId="70" borderId="482" xfId="45" applyFont="1" applyFill="1" applyBorder="1" applyAlignment="1">
      <alignment horizontal="center" wrapText="1"/>
    </xf>
    <xf numFmtId="0" fontId="84" fillId="70" borderId="482" xfId="45" applyFont="1" applyFill="1" applyBorder="1"/>
    <xf numFmtId="0" fontId="84" fillId="72" borderId="482" xfId="45" applyFont="1" applyFill="1" applyBorder="1" applyAlignment="1">
      <alignment wrapText="1"/>
    </xf>
    <xf numFmtId="0" fontId="84" fillId="72" borderId="482" xfId="45" applyFont="1" applyFill="1" applyBorder="1" applyAlignment="1">
      <alignment horizontal="center" wrapText="1"/>
    </xf>
    <xf numFmtId="0" fontId="84" fillId="72" borderId="482" xfId="45" applyFont="1" applyFill="1" applyBorder="1"/>
    <xf numFmtId="0" fontId="84" fillId="66" borderId="482" xfId="45" applyFont="1" applyFill="1" applyBorder="1" applyAlignment="1">
      <alignment horizontal="center" wrapText="1"/>
    </xf>
    <xf numFmtId="0" fontId="97" fillId="33" borderId="473" xfId="45" applyFont="1" applyFill="1" applyBorder="1" applyAlignment="1" applyProtection="1">
      <alignment horizontal="center" wrapText="1"/>
      <protection locked="0"/>
    </xf>
    <xf numFmtId="0" fontId="97" fillId="33" borderId="505" xfId="45" applyFont="1" applyFill="1" applyBorder="1" applyAlignment="1" applyProtection="1">
      <alignment horizontal="center" wrapText="1"/>
      <protection locked="0"/>
    </xf>
    <xf numFmtId="0" fontId="97" fillId="33" borderId="470" xfId="45" applyFont="1" applyFill="1" applyBorder="1" applyAlignment="1" applyProtection="1">
      <alignment horizontal="center" wrapText="1"/>
      <protection locked="0"/>
    </xf>
    <xf numFmtId="0" fontId="97" fillId="33" borderId="506" xfId="45" applyFont="1" applyFill="1" applyBorder="1" applyAlignment="1" applyProtection="1">
      <alignment horizontal="center" wrapText="1"/>
      <protection locked="0"/>
    </xf>
    <xf numFmtId="0" fontId="97" fillId="47" borderId="477" xfId="45" applyFont="1" applyFill="1" applyBorder="1" applyAlignment="1">
      <alignment horizontal="center"/>
    </xf>
    <xf numFmtId="0" fontId="97" fillId="47" borderId="507" xfId="45" applyFont="1" applyFill="1" applyBorder="1" applyAlignment="1">
      <alignment horizontal="center"/>
    </xf>
    <xf numFmtId="0" fontId="97" fillId="33" borderId="400" xfId="45" applyFont="1" applyFill="1" applyBorder="1" applyAlignment="1" applyProtection="1">
      <alignment horizontal="center" wrapText="1"/>
      <protection locked="0"/>
    </xf>
    <xf numFmtId="0" fontId="97" fillId="33" borderId="508" xfId="45" applyFont="1" applyFill="1" applyBorder="1" applyAlignment="1" applyProtection="1">
      <alignment horizontal="center"/>
      <protection locked="0"/>
    </xf>
    <xf numFmtId="0" fontId="97" fillId="33" borderId="506" xfId="45" applyFont="1" applyFill="1" applyBorder="1" applyAlignment="1" applyProtection="1">
      <alignment horizontal="center"/>
      <protection locked="0"/>
    </xf>
    <xf numFmtId="0" fontId="97" fillId="33" borderId="505" xfId="45" applyFont="1" applyFill="1" applyBorder="1" applyAlignment="1" applyProtection="1">
      <alignment horizontal="center"/>
      <protection locked="0"/>
    </xf>
    <xf numFmtId="0" fontId="97" fillId="33" borderId="482" xfId="45" applyFont="1" applyFill="1" applyBorder="1" applyAlignment="1" applyProtection="1">
      <alignment horizontal="center" wrapText="1"/>
      <protection locked="0"/>
    </xf>
    <xf numFmtId="0" fontId="97" fillId="33" borderId="509" xfId="45" applyFont="1" applyFill="1" applyBorder="1" applyAlignment="1" applyProtection="1">
      <alignment horizontal="center" wrapText="1"/>
      <protection locked="0"/>
    </xf>
    <xf numFmtId="0" fontId="97" fillId="33" borderId="495" xfId="45" applyFont="1" applyFill="1" applyBorder="1" applyAlignment="1" applyProtection="1">
      <alignment horizontal="center"/>
      <protection locked="0"/>
    </xf>
    <xf numFmtId="0" fontId="97" fillId="33" borderId="510" xfId="45" applyFont="1" applyFill="1" applyBorder="1" applyAlignment="1" applyProtection="1">
      <alignment horizontal="center"/>
      <protection locked="0"/>
    </xf>
    <xf numFmtId="0" fontId="97" fillId="33" borderId="470" xfId="45" applyFont="1" applyFill="1" applyBorder="1" applyAlignment="1" applyProtection="1">
      <alignment horizontal="center"/>
      <protection locked="0"/>
    </xf>
    <xf numFmtId="0" fontId="97" fillId="33" borderId="400" xfId="45" applyFont="1" applyFill="1" applyBorder="1" applyAlignment="1" applyProtection="1">
      <alignment horizontal="center"/>
      <protection locked="0"/>
    </xf>
    <xf numFmtId="0" fontId="75" fillId="42" borderId="482" xfId="45" applyFill="1" applyBorder="1" applyAlignment="1">
      <alignment horizontal="left" wrapText="1"/>
    </xf>
    <xf numFmtId="0" fontId="75" fillId="33" borderId="482" xfId="45" applyFill="1" applyBorder="1" applyAlignment="1" applyProtection="1">
      <alignment horizontal="left" wrapText="1"/>
      <protection locked="0"/>
    </xf>
    <xf numFmtId="4" fontId="59" fillId="42" borderId="482" xfId="1" applyFill="1" applyBorder="1" applyProtection="1">
      <protection locked="0"/>
    </xf>
    <xf numFmtId="0" fontId="75" fillId="41" borderId="482" xfId="45" applyFill="1" applyBorder="1" applyAlignment="1">
      <alignment horizontal="left" wrapText="1"/>
    </xf>
    <xf numFmtId="4" fontId="59" fillId="41" borderId="482" xfId="1" applyFill="1" applyBorder="1" applyProtection="1">
      <protection locked="0"/>
    </xf>
    <xf numFmtId="4" fontId="59" fillId="64" borderId="482" xfId="1" applyFill="1" applyBorder="1" applyProtection="1">
      <protection locked="0"/>
    </xf>
    <xf numFmtId="0" fontId="75" fillId="65" borderId="482" xfId="45" applyFill="1" applyBorder="1"/>
    <xf numFmtId="4" fontId="59" fillId="65" borderId="482" xfId="1" applyFill="1" applyBorder="1" applyProtection="1">
      <protection locked="0"/>
    </xf>
    <xf numFmtId="0" fontId="75" fillId="69" borderId="482" xfId="45" applyFill="1" applyBorder="1"/>
    <xf numFmtId="4" fontId="59" fillId="69" borderId="482" xfId="1" applyFill="1" applyBorder="1" applyProtection="1">
      <protection locked="0"/>
    </xf>
    <xf numFmtId="0" fontId="75" fillId="71" borderId="482" xfId="45" applyFill="1" applyBorder="1"/>
    <xf numFmtId="4" fontId="59" fillId="71" borderId="482" xfId="1" applyFill="1" applyBorder="1" applyProtection="1">
      <protection locked="0"/>
    </xf>
    <xf numFmtId="0" fontId="75" fillId="75" borderId="482" xfId="45" applyFill="1" applyBorder="1"/>
    <xf numFmtId="4" fontId="59" fillId="75" borderId="482" xfId="1" applyFill="1" applyBorder="1" applyProtection="1">
      <protection locked="0"/>
    </xf>
    <xf numFmtId="0" fontId="97" fillId="7" borderId="482" xfId="45" applyFont="1" applyFill="1" applyBorder="1" applyAlignment="1">
      <alignment horizontal="left"/>
    </xf>
    <xf numFmtId="0" fontId="97" fillId="33" borderId="216" xfId="45" applyFont="1" applyFill="1" applyBorder="1" applyAlignment="1" applyProtection="1">
      <alignment horizontal="center"/>
      <protection locked="0"/>
    </xf>
    <xf numFmtId="0" fontId="97" fillId="33" borderId="509" xfId="45" applyFont="1" applyFill="1" applyBorder="1" applyAlignment="1" applyProtection="1">
      <alignment horizontal="center"/>
      <protection locked="0"/>
    </xf>
    <xf numFmtId="0" fontId="97" fillId="33" borderId="473" xfId="45" applyFont="1" applyFill="1" applyBorder="1" applyAlignment="1" applyProtection="1">
      <alignment horizontal="center"/>
      <protection locked="0"/>
    </xf>
    <xf numFmtId="0" fontId="97" fillId="47" borderId="473" xfId="45" applyFont="1" applyFill="1" applyBorder="1" applyAlignment="1">
      <alignment horizontal="center"/>
    </xf>
    <xf numFmtId="0" fontId="97" fillId="47" borderId="509" xfId="45" applyFont="1" applyFill="1" applyBorder="1" applyAlignment="1">
      <alignment horizontal="center"/>
    </xf>
    <xf numFmtId="0" fontId="97" fillId="33" borderId="217" xfId="45" applyFont="1" applyFill="1" applyBorder="1" applyAlignment="1" applyProtection="1">
      <alignment horizontal="center"/>
      <protection locked="0"/>
    </xf>
    <xf numFmtId="0" fontId="97" fillId="33" borderId="474" xfId="45" applyFont="1" applyFill="1" applyBorder="1" applyAlignment="1" applyProtection="1">
      <alignment horizontal="center"/>
      <protection locked="0"/>
    </xf>
    <xf numFmtId="0" fontId="97" fillId="47" borderId="217" xfId="45" applyFont="1" applyFill="1" applyBorder="1" applyAlignment="1">
      <alignment horizontal="center"/>
    </xf>
    <xf numFmtId="0" fontId="75" fillId="41" borderId="482" xfId="45" applyFill="1" applyBorder="1"/>
    <xf numFmtId="0" fontId="75" fillId="64" borderId="482" xfId="45" applyFill="1" applyBorder="1" applyAlignment="1">
      <alignment horizontal="left" wrapText="1"/>
    </xf>
    <xf numFmtId="0" fontId="75" fillId="65" borderId="482" xfId="45" applyFill="1" applyBorder="1" applyAlignment="1">
      <alignment horizontal="left" wrapText="1"/>
    </xf>
    <xf numFmtId="0" fontId="75" fillId="69" borderId="482" xfId="45" applyFill="1" applyBorder="1" applyAlignment="1">
      <alignment horizontal="left" wrapText="1"/>
    </xf>
    <xf numFmtId="0" fontId="75" fillId="71" borderId="482" xfId="45" applyFill="1" applyBorder="1" applyAlignment="1">
      <alignment horizontal="left" wrapText="1"/>
    </xf>
    <xf numFmtId="0" fontId="75" fillId="75" borderId="482" xfId="45" applyFill="1" applyBorder="1" applyAlignment="1">
      <alignment horizontal="left" wrapText="1"/>
    </xf>
    <xf numFmtId="0" fontId="97" fillId="45" borderId="508" xfId="45" applyFont="1" applyFill="1" applyBorder="1" applyAlignment="1">
      <alignment horizontal="center"/>
    </xf>
    <xf numFmtId="0" fontId="97" fillId="45" borderId="506" xfId="45" applyFont="1" applyFill="1" applyBorder="1" applyAlignment="1">
      <alignment horizontal="center"/>
    </xf>
    <xf numFmtId="0" fontId="97" fillId="45" borderId="505" xfId="45" applyFont="1" applyFill="1" applyBorder="1" applyAlignment="1">
      <alignment horizontal="center"/>
    </xf>
    <xf numFmtId="0" fontId="97" fillId="45" borderId="470" xfId="45" applyFont="1" applyFill="1" applyBorder="1" applyAlignment="1">
      <alignment horizontal="center"/>
    </xf>
    <xf numFmtId="0" fontId="174" fillId="51" borderId="502" xfId="0" applyFont="1" applyFill="1" applyBorder="1" applyAlignment="1" applyProtection="1">
      <alignment horizontal="center"/>
      <protection locked="0"/>
    </xf>
    <xf numFmtId="0" fontId="97" fillId="51" borderId="502" xfId="0" applyFont="1" applyFill="1" applyBorder="1" applyAlignment="1" applyProtection="1">
      <alignment horizontal="center"/>
      <protection locked="0"/>
    </xf>
    <xf numFmtId="0" fontId="97" fillId="45" borderId="400" xfId="45" applyFont="1" applyFill="1" applyBorder="1" applyAlignment="1">
      <alignment horizontal="center"/>
    </xf>
    <xf numFmtId="0" fontId="97" fillId="51" borderId="499" xfId="0" applyFont="1" applyFill="1" applyBorder="1" applyAlignment="1" applyProtection="1">
      <alignment horizontal="center"/>
      <protection locked="0"/>
    </xf>
    <xf numFmtId="0" fontId="97" fillId="51" borderId="473" xfId="0" applyFont="1" applyFill="1" applyBorder="1" applyAlignment="1" applyProtection="1">
      <alignment horizontal="center"/>
      <protection locked="0"/>
    </xf>
    <xf numFmtId="0" fontId="97" fillId="51" borderId="217" xfId="0" applyFont="1" applyFill="1" applyBorder="1" applyAlignment="1" applyProtection="1">
      <alignment horizontal="center"/>
      <protection locked="0"/>
    </xf>
    <xf numFmtId="0" fontId="174" fillId="51" borderId="504" xfId="0" applyFont="1" applyFill="1" applyBorder="1" applyAlignment="1" applyProtection="1">
      <alignment horizontal="center"/>
      <protection locked="0"/>
    </xf>
    <xf numFmtId="0" fontId="97" fillId="51" borderId="504" xfId="0" applyFont="1" applyFill="1" applyBorder="1" applyAlignment="1" applyProtection="1">
      <alignment horizontal="center"/>
      <protection locked="0"/>
    </xf>
    <xf numFmtId="0" fontId="97" fillId="51" borderId="508" xfId="0" applyFont="1" applyFill="1" applyBorder="1" applyAlignment="1" applyProtection="1">
      <alignment horizontal="center"/>
      <protection locked="0"/>
    </xf>
    <xf numFmtId="0" fontId="97" fillId="51" borderId="505" xfId="0" applyFont="1" applyFill="1" applyBorder="1" applyAlignment="1" applyProtection="1">
      <alignment horizontal="center"/>
      <protection locked="0"/>
    </xf>
    <xf numFmtId="0" fontId="97" fillId="33" borderId="504" xfId="45" applyFont="1" applyFill="1" applyBorder="1" applyAlignment="1" applyProtection="1">
      <alignment horizontal="center"/>
      <protection locked="0"/>
    </xf>
    <xf numFmtId="0" fontId="97" fillId="51" borderId="216" xfId="0" applyFont="1" applyFill="1" applyBorder="1" applyAlignment="1" applyProtection="1">
      <alignment horizontal="center"/>
      <protection locked="0"/>
    </xf>
    <xf numFmtId="0" fontId="97" fillId="51" borderId="485" xfId="0" applyFont="1" applyFill="1" applyBorder="1" applyAlignment="1" applyProtection="1">
      <alignment horizontal="center"/>
      <protection locked="0"/>
    </xf>
    <xf numFmtId="0" fontId="97" fillId="51" borderId="482" xfId="0" applyFont="1" applyFill="1" applyBorder="1" applyAlignment="1" applyProtection="1">
      <alignment horizontal="center"/>
      <protection locked="0"/>
    </xf>
    <xf numFmtId="0" fontId="97" fillId="33" borderId="485" xfId="45" applyFont="1" applyFill="1" applyBorder="1" applyAlignment="1" applyProtection="1">
      <alignment horizontal="center"/>
      <protection locked="0"/>
    </xf>
    <xf numFmtId="0" fontId="97" fillId="33" borderId="483" xfId="45" applyFont="1" applyFill="1" applyBorder="1" applyAlignment="1" applyProtection="1">
      <alignment horizontal="center"/>
      <protection locked="0"/>
    </xf>
    <xf numFmtId="0" fontId="174" fillId="51" borderId="217" xfId="0" applyFont="1" applyFill="1" applyBorder="1" applyAlignment="1" applyProtection="1">
      <alignment horizontal="center"/>
      <protection locked="0"/>
    </xf>
    <xf numFmtId="0" fontId="97" fillId="33" borderId="511" xfId="45" applyFont="1" applyFill="1" applyBorder="1" applyAlignment="1" applyProtection="1">
      <alignment horizontal="center"/>
      <protection locked="0"/>
    </xf>
    <xf numFmtId="0" fontId="97" fillId="51" borderId="509" xfId="0" applyFont="1" applyFill="1" applyBorder="1" applyAlignment="1" applyProtection="1">
      <alignment horizontal="center"/>
      <protection locked="0"/>
    </xf>
    <xf numFmtId="0" fontId="97" fillId="51" borderId="481" xfId="0" applyFont="1" applyFill="1" applyBorder="1" applyAlignment="1" applyProtection="1">
      <alignment horizontal="center"/>
      <protection locked="0"/>
    </xf>
    <xf numFmtId="0" fontId="97" fillId="33" borderId="512" xfId="45" applyFont="1" applyFill="1" applyBorder="1" applyAlignment="1" applyProtection="1">
      <alignment horizontal="center"/>
      <protection locked="0"/>
    </xf>
    <xf numFmtId="0" fontId="97" fillId="33" borderId="513" xfId="45" applyFont="1" applyFill="1" applyBorder="1" applyAlignment="1" applyProtection="1">
      <alignment horizontal="center"/>
      <protection locked="0"/>
    </xf>
    <xf numFmtId="0" fontId="97" fillId="33" borderId="514" xfId="45" applyFont="1" applyFill="1" applyBorder="1" applyAlignment="1" applyProtection="1">
      <alignment horizontal="center"/>
      <protection locked="0"/>
    </xf>
    <xf numFmtId="0" fontId="174" fillId="51" borderId="515" xfId="0" applyFont="1" applyFill="1" applyBorder="1" applyAlignment="1" applyProtection="1">
      <alignment horizontal="center"/>
      <protection locked="0"/>
    </xf>
    <xf numFmtId="0" fontId="97" fillId="51" borderId="515" xfId="0" applyFont="1" applyFill="1" applyBorder="1" applyAlignment="1" applyProtection="1">
      <alignment horizontal="center"/>
      <protection locked="0"/>
    </xf>
    <xf numFmtId="0" fontId="97" fillId="33" borderId="516" xfId="45" applyFont="1" applyFill="1" applyBorder="1" applyAlignment="1" applyProtection="1">
      <alignment horizontal="center"/>
      <protection locked="0"/>
    </xf>
    <xf numFmtId="0" fontId="97" fillId="51" borderId="513" xfId="0" applyFont="1" applyFill="1" applyBorder="1" applyAlignment="1" applyProtection="1">
      <alignment horizontal="center"/>
      <protection locked="0"/>
    </xf>
    <xf numFmtId="0" fontId="97" fillId="51" borderId="491" xfId="0" applyFont="1" applyFill="1" applyBorder="1" applyAlignment="1" applyProtection="1">
      <alignment horizontal="center"/>
      <protection locked="0"/>
    </xf>
    <xf numFmtId="0" fontId="97" fillId="51" borderId="496" xfId="0" applyFont="1" applyFill="1" applyBorder="1" applyAlignment="1" applyProtection="1">
      <alignment horizontal="center"/>
      <protection locked="0"/>
    </xf>
    <xf numFmtId="0" fontId="97" fillId="33" borderId="491" xfId="45" applyFont="1" applyFill="1" applyBorder="1" applyAlignment="1" applyProtection="1">
      <alignment horizontal="center"/>
      <protection locked="0"/>
    </xf>
    <xf numFmtId="0" fontId="97" fillId="33" borderId="517" xfId="45" applyFont="1" applyFill="1" applyBorder="1" applyAlignment="1" applyProtection="1">
      <alignment horizontal="center"/>
      <protection locked="0"/>
    </xf>
    <xf numFmtId="0" fontId="97" fillId="7" borderId="493" xfId="45" applyFont="1" applyFill="1" applyBorder="1" applyAlignment="1">
      <alignment horizontal="center"/>
    </xf>
    <xf numFmtId="0" fontId="97" fillId="7" borderId="467" xfId="45" applyFont="1" applyFill="1" applyBorder="1" applyAlignment="1">
      <alignment horizontal="center"/>
    </xf>
    <xf numFmtId="0" fontId="97" fillId="7" borderId="468" xfId="45" applyFont="1" applyFill="1" applyBorder="1" applyAlignment="1">
      <alignment horizontal="center"/>
    </xf>
    <xf numFmtId="0" fontId="97" fillId="33" borderId="499" xfId="45" applyFont="1" applyFill="1" applyBorder="1" applyAlignment="1" applyProtection="1">
      <alignment horizontal="center"/>
      <protection locked="0"/>
    </xf>
    <xf numFmtId="0" fontId="97" fillId="33" borderId="500" xfId="45" applyFont="1" applyFill="1" applyBorder="1" applyAlignment="1" applyProtection="1">
      <alignment horizontal="center"/>
      <protection locked="0"/>
    </xf>
    <xf numFmtId="0" fontId="97" fillId="33" borderId="498" xfId="45" applyFont="1" applyFill="1" applyBorder="1" applyAlignment="1" applyProtection="1">
      <alignment horizontal="center"/>
      <protection locked="0"/>
    </xf>
    <xf numFmtId="0" fontId="97" fillId="33" borderId="494" xfId="45" applyFont="1" applyFill="1" applyBorder="1" applyAlignment="1" applyProtection="1">
      <alignment horizontal="center"/>
      <protection locked="0"/>
    </xf>
    <xf numFmtId="0" fontId="97" fillId="33" borderId="503" xfId="45" applyFont="1" applyFill="1" applyBorder="1" applyAlignment="1" applyProtection="1">
      <alignment horizontal="center"/>
      <protection locked="0"/>
    </xf>
    <xf numFmtId="4" fontId="97" fillId="33" borderId="520" xfId="46" applyNumberFormat="1" applyFont="1" applyFill="1" applyBorder="1" applyAlignment="1" applyProtection="1">
      <alignment horizontal="center"/>
      <protection locked="0"/>
    </xf>
    <xf numFmtId="4" fontId="97" fillId="33" borderId="522" xfId="46" applyNumberFormat="1" applyFont="1" applyFill="1" applyBorder="1" applyAlignment="1" applyProtection="1">
      <alignment horizontal="center"/>
      <protection locked="0"/>
    </xf>
    <xf numFmtId="4" fontId="97" fillId="33" borderId="523" xfId="46" applyNumberFormat="1" applyFont="1" applyFill="1" applyBorder="1" applyAlignment="1" applyProtection="1">
      <alignment horizontal="center"/>
      <protection locked="0"/>
    </xf>
    <xf numFmtId="3" fontId="97" fillId="45" borderId="519" xfId="46" applyNumberFormat="1" applyFont="1" applyFill="1" applyBorder="1" applyAlignment="1" applyProtection="1">
      <alignment horizontal="right"/>
    </xf>
    <xf numFmtId="3" fontId="97" fillId="45" borderId="522" xfId="46" applyNumberFormat="1" applyFont="1" applyFill="1" applyBorder="1" applyAlignment="1" applyProtection="1">
      <alignment horizontal="right"/>
    </xf>
    <xf numFmtId="4" fontId="97" fillId="33" borderId="518" xfId="46" applyNumberFormat="1" applyFont="1" applyFill="1" applyBorder="1" applyAlignment="1" applyProtection="1">
      <alignment horizontal="center"/>
      <protection locked="0"/>
    </xf>
    <xf numFmtId="3" fontId="97" fillId="45" borderId="519" xfId="46" applyNumberFormat="1" applyFont="1" applyFill="1" applyBorder="1" applyAlignment="1" applyProtection="1"/>
    <xf numFmtId="3" fontId="97" fillId="45" borderId="522" xfId="46" applyNumberFormat="1" applyFont="1" applyFill="1" applyBorder="1" applyAlignment="1" applyProtection="1"/>
    <xf numFmtId="3" fontId="97" fillId="45" borderId="523" xfId="46" applyNumberFormat="1" applyFont="1" applyFill="1" applyBorder="1" applyAlignment="1" applyProtection="1"/>
    <xf numFmtId="176" fontId="97" fillId="7" borderId="519" xfId="45" applyNumberFormat="1" applyFont="1" applyFill="1" applyBorder="1" applyAlignment="1">
      <alignment horizontal="center"/>
    </xf>
    <xf numFmtId="176" fontId="97" fillId="7" borderId="522" xfId="45" applyNumberFormat="1" applyFont="1" applyFill="1" applyBorder="1" applyAlignment="1">
      <alignment horizontal="center"/>
    </xf>
    <xf numFmtId="176" fontId="97" fillId="7" borderId="523" xfId="45" applyNumberFormat="1" applyFont="1" applyFill="1" applyBorder="1" applyAlignment="1">
      <alignment horizontal="center"/>
    </xf>
    <xf numFmtId="176" fontId="97" fillId="7" borderId="520" xfId="45" applyNumberFormat="1" applyFont="1" applyFill="1" applyBorder="1" applyAlignment="1">
      <alignment horizontal="center"/>
    </xf>
    <xf numFmtId="176" fontId="97" fillId="7" borderId="518" xfId="45" applyNumberFormat="1" applyFont="1" applyFill="1" applyBorder="1" applyAlignment="1">
      <alignment horizontal="center"/>
    </xf>
    <xf numFmtId="0" fontId="75" fillId="65" borderId="520" xfId="45" applyFill="1" applyBorder="1" applyAlignment="1">
      <alignment wrapText="1"/>
    </xf>
    <xf numFmtId="4" fontId="59" fillId="65" borderId="520" xfId="1" applyFill="1" applyBorder="1"/>
    <xf numFmtId="0" fontId="75" fillId="69" borderId="520" xfId="45" applyFill="1" applyBorder="1" applyAlignment="1">
      <alignment wrapText="1"/>
    </xf>
    <xf numFmtId="4" fontId="59" fillId="69" borderId="520" xfId="1" applyFill="1" applyBorder="1"/>
    <xf numFmtId="0" fontId="75" fillId="71" borderId="520" xfId="45" applyFill="1" applyBorder="1" applyAlignment="1">
      <alignment wrapText="1"/>
    </xf>
    <xf numFmtId="4" fontId="59" fillId="71" borderId="520" xfId="1" applyFill="1" applyBorder="1"/>
    <xf numFmtId="0" fontId="97" fillId="7" borderId="519" xfId="45" applyFont="1" applyFill="1" applyBorder="1" applyAlignment="1">
      <alignment horizontal="center"/>
    </xf>
    <xf numFmtId="0" fontId="97" fillId="7" borderId="522" xfId="45" applyFont="1" applyFill="1" applyBorder="1" applyAlignment="1">
      <alignment horizontal="center"/>
    </xf>
    <xf numFmtId="0" fontId="97" fillId="7" borderId="523" xfId="45" applyFont="1" applyFill="1" applyBorder="1" applyAlignment="1">
      <alignment horizontal="center"/>
    </xf>
    <xf numFmtId="0" fontId="97" fillId="7" borderId="520" xfId="45" applyFont="1" applyFill="1" applyBorder="1" applyAlignment="1">
      <alignment horizontal="center"/>
    </xf>
    <xf numFmtId="0" fontId="97" fillId="7" borderId="518" xfId="45" applyFont="1" applyFill="1" applyBorder="1" applyAlignment="1">
      <alignment horizontal="center"/>
    </xf>
    <xf numFmtId="0" fontId="75" fillId="64" borderId="520" xfId="45" applyFill="1" applyBorder="1" applyAlignment="1">
      <alignment wrapText="1"/>
    </xf>
    <xf numFmtId="4" fontId="59" fillId="64" borderId="520" xfId="1" applyFill="1" applyBorder="1"/>
    <xf numFmtId="0" fontId="75" fillId="75" borderId="520" xfId="45" applyFill="1" applyBorder="1" applyAlignment="1">
      <alignment wrapText="1"/>
    </xf>
    <xf numFmtId="4" fontId="59" fillId="75" borderId="520" xfId="1" applyFill="1" applyBorder="1"/>
    <xf numFmtId="170" fontId="97" fillId="33" borderId="522" xfId="45" applyNumberFormat="1" applyFont="1" applyFill="1" applyBorder="1" applyAlignment="1" applyProtection="1">
      <alignment horizontal="center"/>
      <protection locked="0"/>
    </xf>
    <xf numFmtId="170" fontId="97" fillId="33" borderId="523" xfId="45" applyNumberFormat="1" applyFont="1" applyFill="1" applyBorder="1" applyAlignment="1" applyProtection="1">
      <alignment horizontal="center"/>
      <protection locked="0"/>
    </xf>
    <xf numFmtId="170" fontId="97" fillId="33" borderId="520" xfId="45" applyNumberFormat="1" applyFont="1" applyFill="1" applyBorder="1" applyAlignment="1" applyProtection="1">
      <alignment horizontal="center"/>
      <protection locked="0"/>
    </xf>
    <xf numFmtId="170" fontId="97" fillId="45" borderId="519" xfId="45" applyNumberFormat="1" applyFont="1" applyFill="1" applyBorder="1" applyAlignment="1">
      <alignment horizontal="center"/>
    </xf>
    <xf numFmtId="170" fontId="97" fillId="45" borderId="522" xfId="45" applyNumberFormat="1" applyFont="1" applyFill="1" applyBorder="1" applyAlignment="1">
      <alignment horizontal="center"/>
    </xf>
    <xf numFmtId="170" fontId="97" fillId="33" borderId="518" xfId="45" applyNumberFormat="1" applyFont="1" applyFill="1" applyBorder="1" applyAlignment="1" applyProtection="1">
      <alignment horizontal="center"/>
      <protection locked="0"/>
    </xf>
    <xf numFmtId="170" fontId="79" fillId="33" borderId="523" xfId="45" applyNumberFormat="1" applyFont="1" applyFill="1" applyBorder="1" applyAlignment="1" applyProtection="1">
      <alignment horizontal="center"/>
      <protection locked="0"/>
    </xf>
    <xf numFmtId="170" fontId="79" fillId="33" borderId="520" xfId="45" applyNumberFormat="1" applyFont="1" applyFill="1" applyBorder="1" applyAlignment="1" applyProtection="1">
      <alignment horizontal="center"/>
      <protection locked="0"/>
    </xf>
    <xf numFmtId="170" fontId="97" fillId="45" borderId="523" xfId="45" applyNumberFormat="1" applyFont="1" applyFill="1" applyBorder="1" applyAlignment="1">
      <alignment horizontal="center"/>
    </xf>
    <xf numFmtId="170" fontId="97" fillId="62" borderId="522" xfId="45" applyNumberFormat="1" applyFont="1" applyFill="1" applyBorder="1" applyAlignment="1" applyProtection="1">
      <alignment horizontal="center"/>
      <protection locked="0"/>
    </xf>
    <xf numFmtId="170" fontId="97" fillId="62" borderId="523" xfId="45" applyNumberFormat="1" applyFont="1" applyFill="1" applyBorder="1" applyAlignment="1" applyProtection="1">
      <alignment horizontal="center"/>
      <protection locked="0"/>
    </xf>
    <xf numFmtId="170" fontId="97" fillId="62" borderId="520" xfId="45" applyNumberFormat="1" applyFont="1" applyFill="1" applyBorder="1" applyAlignment="1" applyProtection="1">
      <alignment horizontal="center"/>
      <protection locked="0"/>
    </xf>
    <xf numFmtId="170" fontId="97" fillId="62" borderId="518" xfId="45" applyNumberFormat="1" applyFont="1" applyFill="1" applyBorder="1" applyAlignment="1" applyProtection="1">
      <alignment horizontal="center"/>
      <protection locked="0"/>
    </xf>
    <xf numFmtId="3" fontId="97" fillId="7" borderId="519" xfId="46" applyNumberFormat="1" applyFont="1" applyFill="1" applyBorder="1" applyAlignment="1">
      <alignment horizontal="right"/>
    </xf>
    <xf numFmtId="3" fontId="97" fillId="7" borderId="522" xfId="46" applyNumberFormat="1" applyFont="1" applyFill="1" applyBorder="1" applyAlignment="1">
      <alignment horizontal="right"/>
    </xf>
    <xf numFmtId="3" fontId="97" fillId="7" borderId="523" xfId="46" applyNumberFormat="1" applyFont="1" applyFill="1" applyBorder="1" applyAlignment="1">
      <alignment horizontal="right"/>
    </xf>
    <xf numFmtId="3" fontId="97" fillId="7" borderId="520" xfId="46" applyNumberFormat="1" applyFont="1" applyFill="1" applyBorder="1" applyAlignment="1">
      <alignment horizontal="right"/>
    </xf>
    <xf numFmtId="3" fontId="97" fillId="7" borderId="518" xfId="46" applyNumberFormat="1" applyFont="1" applyFill="1" applyBorder="1" applyAlignment="1">
      <alignment horizontal="right"/>
    </xf>
    <xf numFmtId="3" fontId="97" fillId="45" borderId="523" xfId="46" applyNumberFormat="1" applyFont="1" applyFill="1" applyBorder="1" applyAlignment="1" applyProtection="1">
      <alignment horizontal="right"/>
    </xf>
    <xf numFmtId="3" fontId="97" fillId="61" borderId="522" xfId="46" applyNumberFormat="1" applyFont="1" applyFill="1" applyBorder="1" applyAlignment="1">
      <alignment horizontal="right"/>
    </xf>
    <xf numFmtId="3" fontId="97" fillId="61" borderId="518" xfId="46" applyNumberFormat="1" applyFont="1" applyFill="1" applyBorder="1" applyAlignment="1">
      <alignment horizontal="right"/>
    </xf>
    <xf numFmtId="3" fontId="97" fillId="45" borderId="520" xfId="46" applyNumberFormat="1" applyFont="1" applyFill="1" applyBorder="1" applyAlignment="1" applyProtection="1">
      <alignment horizontal="right"/>
    </xf>
    <xf numFmtId="3" fontId="97" fillId="45" borderId="518" xfId="46" applyNumberFormat="1" applyFont="1" applyFill="1" applyBorder="1" applyAlignment="1" applyProtection="1">
      <alignment horizontal="right"/>
    </xf>
    <xf numFmtId="3" fontId="97" fillId="73" borderId="523" xfId="46" applyNumberFormat="1" applyFont="1" applyFill="1" applyBorder="1" applyAlignment="1" applyProtection="1">
      <alignment horizontal="right"/>
    </xf>
    <xf numFmtId="3" fontId="97" fillId="73" borderId="520" xfId="46" applyNumberFormat="1" applyFont="1" applyFill="1" applyBorder="1" applyAlignment="1" applyProtection="1">
      <alignment horizontal="right"/>
    </xf>
    <xf numFmtId="3" fontId="97" fillId="73" borderId="522" xfId="46" applyNumberFormat="1" applyFont="1" applyFill="1" applyBorder="1" applyAlignment="1" applyProtection="1">
      <alignment horizontal="right"/>
    </xf>
    <xf numFmtId="3" fontId="97" fillId="61" borderId="520" xfId="46" applyNumberFormat="1" applyFont="1" applyFill="1" applyBorder="1" applyAlignment="1">
      <alignment horizontal="right"/>
    </xf>
    <xf numFmtId="3" fontId="111" fillId="7" borderId="518" xfId="46" applyNumberFormat="1" applyFont="1" applyFill="1" applyBorder="1" applyAlignment="1">
      <alignment horizontal="right"/>
    </xf>
    <xf numFmtId="3" fontId="97" fillId="33" borderId="519" xfId="46" applyNumberFormat="1" applyFont="1" applyFill="1" applyBorder="1" applyAlignment="1" applyProtection="1">
      <protection locked="0"/>
    </xf>
    <xf numFmtId="3" fontId="97" fillId="33" borderId="522" xfId="46" applyNumberFormat="1" applyFont="1" applyFill="1" applyBorder="1" applyAlignment="1" applyProtection="1">
      <protection locked="0"/>
    </xf>
    <xf numFmtId="3" fontId="97" fillId="33" borderId="523" xfId="46" applyNumberFormat="1" applyFont="1" applyFill="1" applyBorder="1" applyAlignment="1" applyProtection="1">
      <protection locked="0"/>
    </xf>
    <xf numFmtId="3" fontId="97" fillId="33" borderId="520" xfId="46" applyNumberFormat="1" applyFont="1" applyFill="1" applyBorder="1" applyAlignment="1" applyProtection="1">
      <protection locked="0"/>
    </xf>
    <xf numFmtId="3" fontId="97" fillId="33" borderId="518" xfId="46" applyNumberFormat="1" applyFont="1" applyFill="1" applyBorder="1" applyAlignment="1" applyProtection="1">
      <protection locked="0"/>
    </xf>
    <xf numFmtId="0" fontId="75" fillId="42" borderId="520" xfId="45" applyFill="1" applyBorder="1" applyAlignment="1">
      <alignment wrapText="1"/>
    </xf>
    <xf numFmtId="4" fontId="59" fillId="42" borderId="520" xfId="1" applyFill="1" applyBorder="1"/>
    <xf numFmtId="0" fontId="75" fillId="41" borderId="520" xfId="45" applyFill="1" applyBorder="1" applyAlignment="1">
      <alignment wrapText="1"/>
    </xf>
    <xf numFmtId="4" fontId="59" fillId="41" borderId="520" xfId="1" applyFill="1" applyBorder="1"/>
    <xf numFmtId="4" fontId="97" fillId="33" borderId="520" xfId="46" applyNumberFormat="1" applyFont="1" applyFill="1" applyBorder="1" applyAlignment="1" applyProtection="1">
      <protection locked="0"/>
    </xf>
    <xf numFmtId="0" fontId="75" fillId="42" borderId="520" xfId="45" applyFill="1" applyBorder="1" applyProtection="1">
      <protection locked="0"/>
    </xf>
    <xf numFmtId="3" fontId="97" fillId="51" borderId="523" xfId="0" applyNumberFormat="1" applyFont="1" applyFill="1" applyBorder="1" applyProtection="1">
      <protection locked="0"/>
    </xf>
    <xf numFmtId="3" fontId="97" fillId="51" borderId="520" xfId="0" applyNumberFormat="1" applyFont="1" applyFill="1" applyBorder="1" applyProtection="1">
      <protection locked="0"/>
    </xf>
    <xf numFmtId="3" fontId="97" fillId="51" borderId="522" xfId="0" applyNumberFormat="1" applyFont="1" applyFill="1" applyBorder="1" applyProtection="1">
      <protection locked="0"/>
    </xf>
    <xf numFmtId="3" fontId="97" fillId="7" borderId="520" xfId="46" applyNumberFormat="1" applyFont="1" applyFill="1" applyBorder="1" applyAlignment="1"/>
    <xf numFmtId="3" fontId="97" fillId="7" borderId="523" xfId="46" applyNumberFormat="1" applyFont="1" applyFill="1" applyBorder="1" applyAlignment="1"/>
    <xf numFmtId="3" fontId="97" fillId="7" borderId="522" xfId="46" applyNumberFormat="1" applyFont="1" applyFill="1" applyBorder="1" applyAlignment="1"/>
    <xf numFmtId="3" fontId="97" fillId="7" borderId="519" xfId="46" applyNumberFormat="1" applyFont="1" applyFill="1" applyBorder="1" applyAlignment="1"/>
    <xf numFmtId="3" fontId="97" fillId="7" borderId="518" xfId="46" applyNumberFormat="1" applyFont="1" applyFill="1" applyBorder="1" applyAlignment="1"/>
    <xf numFmtId="4" fontId="77" fillId="0" borderId="420" xfId="45" applyNumberFormat="1" applyFont="1" applyBorder="1" applyAlignment="1">
      <alignment horizontal="left"/>
    </xf>
    <xf numFmtId="3" fontId="97" fillId="46" borderId="519" xfId="46" applyNumberFormat="1" applyFont="1" applyFill="1" applyBorder="1" applyAlignment="1" applyProtection="1">
      <protection locked="0"/>
    </xf>
    <xf numFmtId="3" fontId="97" fillId="46" borderId="522" xfId="46" applyNumberFormat="1" applyFont="1" applyFill="1" applyBorder="1" applyAlignment="1" applyProtection="1">
      <protection locked="0"/>
    </xf>
    <xf numFmtId="3" fontId="97" fillId="46" borderId="523" xfId="46" applyNumberFormat="1" applyFont="1" applyFill="1" applyBorder="1" applyAlignment="1" applyProtection="1">
      <protection locked="0"/>
    </xf>
    <xf numFmtId="4" fontId="97" fillId="33" borderId="522" xfId="46" applyNumberFormat="1" applyFont="1" applyFill="1" applyBorder="1" applyAlignment="1" applyProtection="1">
      <protection locked="0"/>
    </xf>
    <xf numFmtId="4" fontId="97" fillId="33" borderId="523" xfId="46" applyNumberFormat="1" applyFont="1" applyFill="1" applyBorder="1" applyAlignment="1" applyProtection="1">
      <protection locked="0"/>
    </xf>
    <xf numFmtId="4" fontId="97" fillId="46" borderId="519" xfId="46" applyNumberFormat="1" applyFont="1" applyFill="1" applyBorder="1" applyAlignment="1" applyProtection="1">
      <protection locked="0"/>
    </xf>
    <xf numFmtId="4" fontId="97" fillId="46" borderId="522" xfId="46" applyNumberFormat="1" applyFont="1" applyFill="1" applyBorder="1" applyAlignment="1" applyProtection="1">
      <protection locked="0"/>
    </xf>
    <xf numFmtId="4" fontId="97" fillId="33" borderId="518" xfId="46" applyNumberFormat="1" applyFont="1" applyFill="1" applyBorder="1" applyAlignment="1" applyProtection="1">
      <protection locked="0"/>
    </xf>
    <xf numFmtId="4" fontId="97" fillId="46" borderId="523" xfId="46" applyNumberFormat="1" applyFont="1" applyFill="1" applyBorder="1" applyAlignment="1" applyProtection="1">
      <protection locked="0"/>
    </xf>
    <xf numFmtId="3" fontId="97" fillId="7" borderId="519" xfId="46" applyNumberFormat="1" applyFont="1" applyFill="1" applyBorder="1" applyAlignment="1" applyProtection="1"/>
    <xf numFmtId="3" fontId="97" fillId="7" borderId="523" xfId="46" applyNumberFormat="1" applyFont="1" applyFill="1" applyBorder="1" applyAlignment="1" applyProtection="1"/>
    <xf numFmtId="3" fontId="97" fillId="7" borderId="520" xfId="46" applyNumberFormat="1" applyFont="1" applyFill="1" applyBorder="1" applyAlignment="1" applyProtection="1"/>
    <xf numFmtId="3" fontId="97" fillId="7" borderId="522" xfId="46" applyNumberFormat="1" applyFont="1" applyFill="1" applyBorder="1" applyAlignment="1" applyProtection="1"/>
    <xf numFmtId="3" fontId="97" fillId="46" borderId="519" xfId="46" applyNumberFormat="1" applyFont="1" applyFill="1" applyBorder="1" applyAlignment="1" applyProtection="1"/>
    <xf numFmtId="3" fontId="97" fillId="46" borderId="522" xfId="46" applyNumberFormat="1" applyFont="1" applyFill="1" applyBorder="1" applyAlignment="1" applyProtection="1"/>
    <xf numFmtId="3" fontId="97" fillId="7" borderId="518" xfId="46" applyNumberFormat="1" applyFont="1" applyFill="1" applyBorder="1" applyAlignment="1" applyProtection="1"/>
    <xf numFmtId="3" fontId="97" fillId="46" borderId="523" xfId="46" applyNumberFormat="1" applyFont="1" applyFill="1" applyBorder="1" applyAlignment="1" applyProtection="1"/>
    <xf numFmtId="2" fontId="97" fillId="33" borderId="522" xfId="46" applyNumberFormat="1" applyFont="1" applyFill="1" applyBorder="1" applyAlignment="1" applyProtection="1">
      <protection locked="0"/>
    </xf>
    <xf numFmtId="2" fontId="97" fillId="33" borderId="523" xfId="46" applyNumberFormat="1" applyFont="1" applyFill="1" applyBorder="1" applyAlignment="1" applyProtection="1">
      <protection locked="0"/>
    </xf>
    <xf numFmtId="2" fontId="97" fillId="33" borderId="520" xfId="46" applyNumberFormat="1" applyFont="1" applyFill="1" applyBorder="1" applyAlignment="1" applyProtection="1">
      <protection locked="0"/>
    </xf>
    <xf numFmtId="2" fontId="97" fillId="46" borderId="519" xfId="46" applyNumberFormat="1" applyFont="1" applyFill="1" applyBorder="1" applyAlignment="1" applyProtection="1"/>
    <xf numFmtId="2" fontId="97" fillId="46" borderId="522" xfId="46" applyNumberFormat="1" applyFont="1" applyFill="1" applyBorder="1" applyAlignment="1" applyProtection="1"/>
    <xf numFmtId="2" fontId="97" fillId="33" borderId="518" xfId="46" applyNumberFormat="1" applyFont="1" applyFill="1" applyBorder="1" applyAlignment="1" applyProtection="1">
      <protection locked="0"/>
    </xf>
    <xf numFmtId="2" fontId="97" fillId="46" borderId="523" xfId="46" applyNumberFormat="1" applyFont="1" applyFill="1" applyBorder="1" applyAlignment="1" applyProtection="1"/>
    <xf numFmtId="3" fontId="97" fillId="7" borderId="507" xfId="46" applyNumberFormat="1" applyFont="1" applyFill="1" applyBorder="1" applyAlignment="1" applyProtection="1"/>
    <xf numFmtId="3" fontId="97" fillId="7" borderId="525" xfId="46" applyNumberFormat="1" applyFont="1" applyFill="1" applyBorder="1" applyAlignment="1" applyProtection="1"/>
    <xf numFmtId="3" fontId="97" fillId="7" borderId="526" xfId="46" applyNumberFormat="1" applyFont="1" applyFill="1" applyBorder="1" applyAlignment="1" applyProtection="1"/>
    <xf numFmtId="3" fontId="97" fillId="46" borderId="477" xfId="46" applyNumberFormat="1" applyFont="1" applyFill="1" applyBorder="1" applyAlignment="1" applyProtection="1"/>
    <xf numFmtId="3" fontId="97" fillId="46" borderId="507" xfId="46" applyNumberFormat="1" applyFont="1" applyFill="1" applyBorder="1" applyAlignment="1" applyProtection="1"/>
    <xf numFmtId="3" fontId="97" fillId="7" borderId="475" xfId="46" applyNumberFormat="1" applyFont="1" applyFill="1" applyBorder="1" applyAlignment="1" applyProtection="1"/>
    <xf numFmtId="3" fontId="97" fillId="46" borderId="525" xfId="46" applyNumberFormat="1" applyFont="1" applyFill="1" applyBorder="1" applyAlignment="1" applyProtection="1"/>
    <xf numFmtId="3" fontId="163" fillId="7" borderId="529" xfId="0" applyNumberFormat="1" applyFont="1" applyFill="1" applyBorder="1" applyAlignment="1">
      <alignment horizontal="center"/>
    </xf>
    <xf numFmtId="3" fontId="163" fillId="7" borderId="528" xfId="0" applyNumberFormat="1" applyFont="1" applyFill="1" applyBorder="1" applyAlignment="1">
      <alignment horizontal="center"/>
    </xf>
    <xf numFmtId="3" fontId="163" fillId="7" borderId="530" xfId="0" applyNumberFormat="1" applyFont="1" applyFill="1" applyBorder="1" applyAlignment="1">
      <alignment horizontal="center"/>
    </xf>
    <xf numFmtId="0" fontId="152" fillId="10" borderId="531" xfId="0" applyFont="1" applyFill="1" applyBorder="1"/>
    <xf numFmtId="3" fontId="152" fillId="10" borderId="532" xfId="0" applyNumberFormat="1" applyFont="1" applyFill="1" applyBorder="1"/>
    <xf numFmtId="3" fontId="152" fillId="10" borderId="533" xfId="0" applyNumberFormat="1" applyFont="1" applyFill="1" applyBorder="1"/>
    <xf numFmtId="3" fontId="152" fillId="10" borderId="534" xfId="0" applyNumberFormat="1" applyFont="1" applyFill="1" applyBorder="1"/>
    <xf numFmtId="4" fontId="152" fillId="10" borderId="495" xfId="46" applyNumberFormat="1" applyFont="1" applyFill="1" applyBorder="1" applyAlignment="1"/>
    <xf numFmtId="9" fontId="97" fillId="33" borderId="526" xfId="26" applyFont="1" applyFill="1" applyBorder="1" applyAlignment="1" applyProtection="1">
      <alignment horizontal="center"/>
      <protection locked="0"/>
    </xf>
    <xf numFmtId="9" fontId="97" fillId="33" borderId="520" xfId="26" applyFont="1" applyFill="1" applyBorder="1" applyAlignment="1" applyProtection="1">
      <alignment horizontal="center"/>
      <protection locked="0"/>
    </xf>
    <xf numFmtId="4" fontId="97" fillId="33" borderId="494" xfId="45" applyNumberFormat="1" applyFont="1" applyFill="1" applyBorder="1" applyAlignment="1">
      <alignment horizontal="center"/>
    </xf>
    <xf numFmtId="0" fontId="97" fillId="14" borderId="520" xfId="45" applyFont="1" applyFill="1" applyBorder="1" applyAlignment="1">
      <alignment horizontal="left" wrapText="1"/>
    </xf>
    <xf numFmtId="4" fontId="97" fillId="33" borderId="520" xfId="45" applyNumberFormat="1" applyFont="1" applyFill="1" applyBorder="1" applyAlignment="1" applyProtection="1">
      <alignment horizontal="center"/>
      <protection locked="0"/>
    </xf>
    <xf numFmtId="4" fontId="97" fillId="62" borderId="520" xfId="45" applyNumberFormat="1" applyFont="1" applyFill="1" applyBorder="1" applyAlignment="1">
      <alignment horizontal="center"/>
    </xf>
    <xf numFmtId="4" fontId="97" fillId="33" borderId="520" xfId="45" applyNumberFormat="1" applyFont="1" applyFill="1" applyBorder="1" applyAlignment="1">
      <alignment horizontal="center"/>
    </xf>
    <xf numFmtId="2" fontId="97" fillId="33" borderId="520" xfId="45" applyNumberFormat="1" applyFont="1" applyFill="1" applyBorder="1" applyAlignment="1" applyProtection="1">
      <alignment horizontal="center"/>
      <protection locked="0"/>
    </xf>
    <xf numFmtId="0" fontId="97" fillId="14" borderId="537" xfId="45" applyFont="1" applyFill="1" applyBorder="1" applyAlignment="1">
      <alignment horizontal="left" wrapText="1"/>
    </xf>
    <xf numFmtId="4" fontId="97" fillId="14" borderId="537" xfId="1" applyFont="1" applyFill="1" applyBorder="1" applyAlignment="1" applyProtection="1">
      <alignment horizontal="center"/>
    </xf>
    <xf numFmtId="4" fontId="97" fillId="62" borderId="537" xfId="1" applyFont="1" applyFill="1" applyBorder="1" applyAlignment="1" applyProtection="1">
      <alignment horizontal="center"/>
    </xf>
    <xf numFmtId="0" fontId="97" fillId="7" borderId="494" xfId="45" applyFont="1" applyFill="1" applyBorder="1" applyAlignment="1">
      <alignment horizontal="left" wrapText="1"/>
    </xf>
    <xf numFmtId="3" fontId="87" fillId="0" borderId="538" xfId="45" applyNumberFormat="1" applyFont="1" applyBorder="1"/>
    <xf numFmtId="0" fontId="97" fillId="7" borderId="526" xfId="45" applyFont="1" applyFill="1" applyBorder="1" applyAlignment="1">
      <alignment horizontal="left" wrapText="1"/>
    </xf>
    <xf numFmtId="4" fontId="97" fillId="7" borderId="514" xfId="1" applyFont="1" applyFill="1" applyBorder="1" applyAlignment="1" applyProtection="1">
      <alignment horizontal="center"/>
    </xf>
    <xf numFmtId="0" fontId="97" fillId="30" borderId="539" xfId="45" applyFont="1" applyFill="1" applyBorder="1" applyAlignment="1">
      <alignment horizontal="left" wrapText="1"/>
    </xf>
    <xf numFmtId="4" fontId="97" fillId="30" borderId="539" xfId="1" applyFont="1" applyFill="1" applyBorder="1" applyAlignment="1" applyProtection="1">
      <alignment horizontal="center"/>
    </xf>
    <xf numFmtId="4" fontId="155" fillId="10" borderId="470" xfId="1" applyFont="1" applyFill="1" applyBorder="1" applyAlignment="1" applyProtection="1"/>
    <xf numFmtId="4" fontId="155" fillId="30" borderId="470" xfId="1" applyFont="1" applyFill="1" applyBorder="1" applyAlignment="1" applyProtection="1"/>
    <xf numFmtId="4" fontId="155" fillId="10" borderId="539" xfId="1" applyFont="1" applyFill="1" applyBorder="1" applyAlignment="1" applyProtection="1"/>
    <xf numFmtId="4" fontId="155" fillId="30" borderId="539" xfId="1" applyFont="1" applyFill="1" applyBorder="1" applyAlignment="1" applyProtection="1"/>
    <xf numFmtId="0" fontId="101" fillId="0" borderId="541" xfId="0" applyFont="1" applyBorder="1" applyAlignment="1">
      <alignment horizontal="center" wrapText="1"/>
    </xf>
    <xf numFmtId="1" fontId="4" fillId="3" borderId="542" xfId="0" applyNumberFormat="1" applyFont="1" applyFill="1" applyBorder="1" applyAlignment="1">
      <alignment horizontal="center"/>
    </xf>
    <xf numFmtId="1" fontId="4" fillId="3" borderId="447" xfId="0" applyNumberFormat="1" applyFont="1" applyFill="1" applyBorder="1" applyAlignment="1">
      <alignment horizontal="left"/>
    </xf>
    <xf numFmtId="0" fontId="38" fillId="3" borderId="441" xfId="0" applyFont="1" applyFill="1" applyBorder="1"/>
    <xf numFmtId="1" fontId="42" fillId="3" borderId="440" xfId="15" applyNumberFormat="1" applyFont="1" applyFill="1" applyBorder="1" applyAlignment="1" applyProtection="1">
      <alignment horizontal="center"/>
    </xf>
    <xf numFmtId="1" fontId="132" fillId="3" borderId="447" xfId="15" applyNumberFormat="1" applyFont="1" applyFill="1" applyBorder="1" applyAlignment="1" applyProtection="1">
      <alignment horizontal="center"/>
    </xf>
    <xf numFmtId="3" fontId="140" fillId="0" borderId="543" xfId="1" applyNumberFormat="1" applyFont="1" applyFill="1" applyBorder="1" applyAlignment="1" applyProtection="1">
      <protection locked="0"/>
    </xf>
    <xf numFmtId="3" fontId="140" fillId="0" borderId="544" xfId="1" applyNumberFormat="1" applyFont="1" applyFill="1" applyBorder="1" applyAlignment="1" applyProtection="1">
      <protection locked="0"/>
    </xf>
    <xf numFmtId="0" fontId="140" fillId="0" borderId="544" xfId="0" applyFont="1" applyBorder="1" applyProtection="1">
      <protection locked="0"/>
    </xf>
    <xf numFmtId="0" fontId="70" fillId="10" borderId="545" xfId="0" applyFont="1" applyFill="1" applyBorder="1" applyAlignment="1">
      <alignment horizontal="center"/>
    </xf>
    <xf numFmtId="0" fontId="70" fillId="10" borderId="546" xfId="0" applyFont="1" applyFill="1" applyBorder="1" applyAlignment="1">
      <alignment horizontal="left"/>
    </xf>
    <xf numFmtId="0" fontId="64" fillId="10" borderId="547" xfId="0" applyFont="1" applyFill="1" applyBorder="1"/>
    <xf numFmtId="3" fontId="70" fillId="10" borderId="548" xfId="1" applyNumberFormat="1" applyFont="1" applyFill="1" applyBorder="1" applyAlignment="1" applyProtection="1"/>
    <xf numFmtId="3" fontId="70" fillId="10" borderId="549" xfId="1" applyNumberFormat="1" applyFont="1" applyFill="1" applyBorder="1" applyAlignment="1" applyProtection="1">
      <protection locked="0"/>
    </xf>
    <xf numFmtId="0" fontId="4" fillId="3" borderId="550" xfId="0" applyFont="1" applyFill="1" applyBorder="1" applyAlignment="1">
      <alignment horizontal="center"/>
    </xf>
    <xf numFmtId="1" fontId="4" fillId="3" borderId="551" xfId="0" applyNumberFormat="1" applyFont="1" applyFill="1" applyBorder="1" applyAlignment="1">
      <alignment horizontal="left"/>
    </xf>
    <xf numFmtId="0" fontId="38" fillId="3" borderId="552" xfId="0" applyFont="1" applyFill="1" applyBorder="1"/>
    <xf numFmtId="1" fontId="42" fillId="3" borderId="553" xfId="15" applyNumberFormat="1" applyFont="1" applyFill="1" applyBorder="1" applyAlignment="1" applyProtection="1">
      <alignment horizontal="center"/>
    </xf>
    <xf numFmtId="1" fontId="42" fillId="3" borderId="554" xfId="15" applyNumberFormat="1" applyFont="1" applyFill="1" applyBorder="1" applyAlignment="1" applyProtection="1">
      <alignment horizontal="center"/>
    </xf>
    <xf numFmtId="0" fontId="4" fillId="33" borderId="555" xfId="0" applyFont="1" applyFill="1" applyBorder="1" applyAlignment="1" applyProtection="1">
      <alignment horizontal="left"/>
      <protection locked="0"/>
    </xf>
    <xf numFmtId="3" fontId="131" fillId="33" borderId="556" xfId="1" applyNumberFormat="1" applyFont="1" applyFill="1" applyBorder="1" applyAlignment="1" applyProtection="1">
      <protection locked="0"/>
    </xf>
    <xf numFmtId="3" fontId="132" fillId="0" borderId="557" xfId="1" applyNumberFormat="1" applyFont="1" applyFill="1" applyBorder="1" applyAlignment="1" applyProtection="1">
      <protection locked="0"/>
    </xf>
    <xf numFmtId="0" fontId="70" fillId="10" borderId="550" xfId="0" applyFont="1" applyFill="1" applyBorder="1" applyAlignment="1">
      <alignment horizontal="center"/>
    </xf>
    <xf numFmtId="0" fontId="70" fillId="10" borderId="551" xfId="0" applyFont="1" applyFill="1" applyBorder="1" applyAlignment="1">
      <alignment horizontal="left"/>
    </xf>
    <xf numFmtId="0" fontId="64" fillId="10" borderId="552" xfId="0" applyFont="1" applyFill="1" applyBorder="1"/>
    <xf numFmtId="3" fontId="70" fillId="10" borderId="558" xfId="1" applyNumberFormat="1" applyFont="1" applyFill="1" applyBorder="1" applyAlignment="1" applyProtection="1"/>
    <xf numFmtId="3" fontId="70" fillId="10" borderId="549" xfId="1" applyNumberFormat="1" applyFont="1" applyFill="1" applyBorder="1" applyAlignment="1" applyProtection="1"/>
    <xf numFmtId="0" fontId="4" fillId="3" borderId="559" xfId="0" applyFont="1" applyFill="1" applyBorder="1" applyAlignment="1">
      <alignment horizontal="center"/>
    </xf>
    <xf numFmtId="0" fontId="132" fillId="11" borderId="560" xfId="0" applyFont="1" applyFill="1" applyBorder="1" applyAlignment="1">
      <alignment horizontal="center"/>
    </xf>
    <xf numFmtId="0" fontId="132" fillId="0" borderId="544" xfId="0" applyFont="1" applyBorder="1" applyProtection="1">
      <protection locked="0"/>
    </xf>
    <xf numFmtId="3" fontId="131" fillId="33" borderId="561" xfId="1" applyNumberFormat="1" applyFont="1" applyFill="1" applyBorder="1" applyAlignment="1" applyProtection="1">
      <protection locked="0"/>
    </xf>
    <xf numFmtId="0" fontId="4" fillId="3" borderId="545" xfId="0" applyFont="1" applyFill="1" applyBorder="1" applyAlignment="1">
      <alignment horizontal="center"/>
    </xf>
    <xf numFmtId="1" fontId="4" fillId="3" borderId="546" xfId="0" applyNumberFormat="1" applyFont="1" applyFill="1" applyBorder="1" applyAlignment="1">
      <alignment horizontal="left"/>
    </xf>
    <xf numFmtId="0" fontId="38" fillId="3" borderId="547" xfId="0" applyFont="1" applyFill="1" applyBorder="1"/>
    <xf numFmtId="0" fontId="4" fillId="0" borderId="562" xfId="0" applyFont="1" applyBorder="1" applyAlignment="1">
      <alignment horizontal="center"/>
    </xf>
    <xf numFmtId="0" fontId="4" fillId="33" borderId="563" xfId="0" applyFont="1" applyFill="1" applyBorder="1" applyAlignment="1" applyProtection="1">
      <alignment horizontal="left"/>
      <protection locked="0"/>
    </xf>
    <xf numFmtId="3" fontId="131" fillId="11" borderId="561" xfId="1" applyNumberFormat="1" applyFont="1" applyFill="1" applyBorder="1" applyAlignment="1" applyProtection="1"/>
    <xf numFmtId="0" fontId="70" fillId="10" borderId="559" xfId="0" applyFont="1" applyFill="1" applyBorder="1" applyAlignment="1">
      <alignment horizontal="center"/>
    </xf>
    <xf numFmtId="0" fontId="64" fillId="10" borderId="564" xfId="0" applyFont="1" applyFill="1" applyBorder="1"/>
    <xf numFmtId="3" fontId="70" fillId="10" borderId="564" xfId="1" applyNumberFormat="1" applyFont="1" applyFill="1" applyBorder="1" applyAlignment="1" applyProtection="1"/>
    <xf numFmtId="3" fontId="70" fillId="10" borderId="565" xfId="1" applyNumberFormat="1" applyFont="1" applyFill="1" applyBorder="1" applyAlignment="1" applyProtection="1"/>
    <xf numFmtId="0" fontId="4" fillId="3" borderId="566" xfId="0" applyFont="1" applyFill="1" applyBorder="1" applyAlignment="1">
      <alignment horizontal="center"/>
    </xf>
    <xf numFmtId="1" fontId="4" fillId="3" borderId="501" xfId="0" applyNumberFormat="1" applyFont="1" applyFill="1" applyBorder="1" applyAlignment="1">
      <alignment horizontal="left"/>
    </xf>
    <xf numFmtId="0" fontId="38" fillId="3" borderId="567" xfId="0" applyFont="1" applyFill="1" applyBorder="1"/>
    <xf numFmtId="1" fontId="42" fillId="3" borderId="568" xfId="15" applyNumberFormat="1" applyFont="1" applyFill="1" applyBorder="1" applyAlignment="1" applyProtection="1">
      <alignment horizontal="center"/>
    </xf>
    <xf numFmtId="1" fontId="42" fillId="3" borderId="567" xfId="15" applyNumberFormat="1" applyFont="1" applyFill="1" applyBorder="1" applyAlignment="1" applyProtection="1">
      <alignment horizontal="center"/>
    </xf>
    <xf numFmtId="0" fontId="70" fillId="10" borderId="569" xfId="0" applyFont="1" applyFill="1" applyBorder="1" applyAlignment="1">
      <alignment horizontal="left"/>
    </xf>
    <xf numFmtId="0" fontId="70" fillId="10" borderId="570" xfId="0" applyFont="1" applyFill="1" applyBorder="1" applyAlignment="1">
      <alignment horizontal="left"/>
    </xf>
    <xf numFmtId="0" fontId="70" fillId="10" borderId="570" xfId="0" applyFont="1" applyFill="1" applyBorder="1"/>
    <xf numFmtId="3" fontId="70" fillId="10" borderId="571" xfId="1" applyNumberFormat="1" applyFont="1" applyFill="1" applyBorder="1" applyAlignment="1" applyProtection="1"/>
    <xf numFmtId="3" fontId="141" fillId="3" borderId="564" xfId="1" applyNumberFormat="1" applyFont="1" applyFill="1" applyBorder="1" applyAlignment="1" applyProtection="1">
      <protection locked="0"/>
    </xf>
    <xf numFmtId="3" fontId="70" fillId="10" borderId="425" xfId="1" applyNumberFormat="1" applyFont="1" applyFill="1" applyBorder="1" applyAlignment="1" applyProtection="1"/>
    <xf numFmtId="1" fontId="42" fillId="3" borderId="572" xfId="15" applyNumberFormat="1" applyFont="1" applyFill="1" applyBorder="1" applyAlignment="1" applyProtection="1">
      <alignment horizontal="center"/>
    </xf>
    <xf numFmtId="3" fontId="135" fillId="33" borderId="555" xfId="1" applyNumberFormat="1" applyFont="1" applyFill="1" applyBorder="1" applyAlignment="1" applyProtection="1">
      <protection locked="0"/>
    </xf>
    <xf numFmtId="3" fontId="135" fillId="33" borderId="561" xfId="1" applyNumberFormat="1" applyFont="1" applyFill="1" applyBorder="1" applyAlignment="1" applyProtection="1">
      <protection locked="0"/>
    </xf>
    <xf numFmtId="1" fontId="4" fillId="3" borderId="573" xfId="0" applyNumberFormat="1" applyFont="1" applyFill="1" applyBorder="1" applyAlignment="1">
      <alignment horizontal="center"/>
    </xf>
    <xf numFmtId="1" fontId="4" fillId="3" borderId="574" xfId="0" applyNumberFormat="1" applyFont="1" applyFill="1" applyBorder="1" applyAlignment="1">
      <alignment horizontal="left"/>
    </xf>
    <xf numFmtId="0" fontId="38" fillId="3" borderId="575" xfId="0" applyFont="1" applyFill="1" applyBorder="1"/>
    <xf numFmtId="1" fontId="42" fillId="3" borderId="576" xfId="15" applyNumberFormat="1" applyFont="1" applyFill="1" applyBorder="1" applyAlignment="1" applyProtection="1">
      <alignment horizontal="center"/>
    </xf>
    <xf numFmtId="1" fontId="42" fillId="3" borderId="577" xfId="15" applyNumberFormat="1" applyFont="1" applyFill="1" applyBorder="1" applyAlignment="1" applyProtection="1">
      <alignment horizontal="center"/>
    </xf>
    <xf numFmtId="0" fontId="38" fillId="3" borderId="551" xfId="0" applyFont="1" applyFill="1" applyBorder="1"/>
    <xf numFmtId="3" fontId="43" fillId="7" borderId="578" xfId="1" applyNumberFormat="1" applyFont="1" applyFill="1" applyBorder="1" applyAlignment="1" applyProtection="1"/>
    <xf numFmtId="3" fontId="43" fillId="7" borderId="552" xfId="1" applyNumberFormat="1" applyFont="1" applyFill="1" applyBorder="1" applyAlignment="1" applyProtection="1"/>
    <xf numFmtId="0" fontId="64" fillId="10" borderId="561" xfId="0" applyFont="1" applyFill="1" applyBorder="1"/>
    <xf numFmtId="0" fontId="70" fillId="10" borderId="313" xfId="0" applyFont="1" applyFill="1" applyBorder="1"/>
    <xf numFmtId="0" fontId="4" fillId="3" borderId="421" xfId="0" applyFont="1" applyFill="1" applyBorder="1" applyAlignment="1">
      <alignment horizontal="center"/>
    </xf>
    <xf numFmtId="1" fontId="4" fillId="3" borderId="579" xfId="0" applyNumberFormat="1" applyFont="1" applyFill="1" applyBorder="1" applyAlignment="1">
      <alignment horizontal="left"/>
    </xf>
    <xf numFmtId="0" fontId="38" fillId="3" borderId="540" xfId="0" applyFont="1" applyFill="1" applyBorder="1"/>
    <xf numFmtId="1" fontId="42" fillId="3" borderId="540" xfId="15" applyNumberFormat="1" applyFont="1" applyFill="1" applyBorder="1" applyAlignment="1" applyProtection="1">
      <alignment horizontal="center"/>
    </xf>
    <xf numFmtId="1" fontId="42" fillId="3" borderId="447" xfId="15" applyNumberFormat="1" applyFont="1" applyFill="1" applyBorder="1" applyAlignment="1" applyProtection="1">
      <alignment horizontal="center"/>
    </xf>
    <xf numFmtId="0" fontId="4" fillId="33" borderId="240" xfId="0" applyFont="1" applyFill="1" applyBorder="1" applyAlignment="1" applyProtection="1">
      <alignment horizontal="left"/>
      <protection locked="0"/>
    </xf>
    <xf numFmtId="0" fontId="140" fillId="0" borderId="580" xfId="0" applyFont="1" applyBorder="1" applyProtection="1">
      <protection locked="0"/>
    </xf>
    <xf numFmtId="0" fontId="140" fillId="0" borderId="581" xfId="0" applyFont="1" applyBorder="1" applyProtection="1">
      <protection locked="0"/>
    </xf>
    <xf numFmtId="0" fontId="64" fillId="18" borderId="582" xfId="0" applyFont="1" applyFill="1" applyBorder="1"/>
    <xf numFmtId="0" fontId="4" fillId="22" borderId="583" xfId="0" applyFont="1" applyFill="1" applyBorder="1"/>
    <xf numFmtId="3" fontId="38" fillId="3" borderId="313" xfId="15" applyFont="1" applyFill="1" applyBorder="1" applyAlignment="1" applyProtection="1">
      <alignment horizontal="center"/>
    </xf>
    <xf numFmtId="3" fontId="4" fillId="3" borderId="584" xfId="15" applyFont="1" applyFill="1" applyBorder="1" applyAlignment="1" applyProtection="1">
      <alignment horizontal="center" vertical="center" wrapText="1"/>
    </xf>
    <xf numFmtId="3" fontId="4" fillId="3" borderId="585" xfId="15" applyFont="1" applyFill="1" applyBorder="1" applyAlignment="1" applyProtection="1">
      <alignment horizontal="center" vertical="center" wrapText="1"/>
    </xf>
    <xf numFmtId="3" fontId="4" fillId="3" borderId="586" xfId="15" applyFont="1" applyFill="1" applyBorder="1" applyAlignment="1" applyProtection="1">
      <alignment horizontal="center" vertical="center" wrapText="1"/>
    </xf>
    <xf numFmtId="3" fontId="3" fillId="3" borderId="586" xfId="15" applyFont="1" applyFill="1" applyBorder="1" applyAlignment="1" applyProtection="1">
      <alignment horizontal="center" vertical="center" wrapText="1"/>
    </xf>
    <xf numFmtId="3" fontId="4" fillId="3" borderId="587" xfId="15" applyFont="1" applyFill="1" applyBorder="1" applyAlignment="1" applyProtection="1">
      <alignment horizontal="center" vertical="center" wrapText="1"/>
    </xf>
    <xf numFmtId="3" fontId="4" fillId="3" borderId="588" xfId="15" applyFont="1" applyFill="1" applyBorder="1" applyAlignment="1" applyProtection="1">
      <alignment horizontal="center" vertical="center" wrapText="1"/>
    </xf>
    <xf numFmtId="0" fontId="0" fillId="33" borderId="589" xfId="0" applyFill="1" applyBorder="1" applyProtection="1">
      <protection locked="0"/>
    </xf>
    <xf numFmtId="4" fontId="136" fillId="51" borderId="590" xfId="0" applyNumberFormat="1" applyFont="1" applyFill="1" applyBorder="1" applyProtection="1">
      <protection locked="0"/>
    </xf>
    <xf numFmtId="4" fontId="137" fillId="51" borderId="590" xfId="0" applyNumberFormat="1" applyFont="1" applyFill="1" applyBorder="1" applyProtection="1">
      <protection locked="0"/>
    </xf>
    <xf numFmtId="3" fontId="137" fillId="51" borderId="590" xfId="0" applyNumberFormat="1" applyFont="1" applyFill="1" applyBorder="1" applyProtection="1">
      <protection locked="0"/>
    </xf>
    <xf numFmtId="4" fontId="134" fillId="11" borderId="590" xfId="0" applyNumberFormat="1" applyFont="1" applyFill="1" applyBorder="1"/>
    <xf numFmtId="4" fontId="134" fillId="11" borderId="591" xfId="0" applyNumberFormat="1" applyFont="1" applyFill="1" applyBorder="1"/>
    <xf numFmtId="0" fontId="0" fillId="33" borderId="544" xfId="0" applyFill="1" applyBorder="1" applyProtection="1">
      <protection locked="0"/>
    </xf>
    <xf numFmtId="3" fontId="137" fillId="51" borderId="592" xfId="0" applyNumberFormat="1" applyFont="1" applyFill="1" applyBorder="1" applyProtection="1">
      <protection locked="0"/>
    </xf>
    <xf numFmtId="3" fontId="137" fillId="51" borderId="539" xfId="0" applyNumberFormat="1" applyFont="1" applyFill="1" applyBorder="1" applyProtection="1">
      <protection locked="0"/>
    </xf>
    <xf numFmtId="4" fontId="134" fillId="11" borderId="592" xfId="0" applyNumberFormat="1" applyFont="1" applyFill="1" applyBorder="1"/>
    <xf numFmtId="4" fontId="134" fillId="11" borderId="593" xfId="0" applyNumberFormat="1" applyFont="1" applyFill="1" applyBorder="1"/>
    <xf numFmtId="4" fontId="136" fillId="51" borderId="592" xfId="0" applyNumberFormat="1" applyFont="1" applyFill="1" applyBorder="1" applyProtection="1">
      <protection locked="0"/>
    </xf>
    <xf numFmtId="4" fontId="137" fillId="51" borderId="592" xfId="0" applyNumberFormat="1" applyFont="1" applyFill="1" applyBorder="1" applyProtection="1">
      <protection locked="0"/>
    </xf>
    <xf numFmtId="0" fontId="0" fillId="33" borderId="581" xfId="0" applyFill="1" applyBorder="1" applyProtection="1">
      <protection locked="0"/>
    </xf>
    <xf numFmtId="4" fontId="135" fillId="33" borderId="513" xfId="11" applyNumberFormat="1" applyFont="1" applyFill="1" applyBorder="1" applyAlignment="1" applyProtection="1">
      <protection locked="0"/>
    </xf>
    <xf numFmtId="4" fontId="135" fillId="33" borderId="513" xfId="0" applyNumberFormat="1" applyFont="1" applyFill="1" applyBorder="1" applyProtection="1">
      <protection locked="0"/>
    </xf>
    <xf numFmtId="3" fontId="135" fillId="33" borderId="594" xfId="0" applyNumberFormat="1" applyFont="1" applyFill="1" applyBorder="1" applyProtection="1">
      <protection locked="0"/>
    </xf>
    <xf numFmtId="3" fontId="135" fillId="33" borderId="595" xfId="0" applyNumberFormat="1" applyFont="1" applyFill="1" applyBorder="1" applyProtection="1">
      <protection locked="0"/>
    </xf>
    <xf numFmtId="0" fontId="0" fillId="33" borderId="580" xfId="0" applyFill="1" applyBorder="1" applyProtection="1">
      <protection locked="0"/>
    </xf>
    <xf numFmtId="3" fontId="4" fillId="33" borderId="400" xfId="15" applyFont="1" applyFill="1" applyBorder="1" applyAlignment="1" applyProtection="1">
      <protection locked="0"/>
    </xf>
    <xf numFmtId="3" fontId="4" fillId="33" borderId="596" xfId="15" applyFont="1" applyFill="1" applyBorder="1" applyAlignment="1" applyProtection="1">
      <alignment horizontal="left"/>
      <protection locked="0"/>
    </xf>
    <xf numFmtId="3" fontId="4" fillId="33" borderId="597" xfId="15" applyFont="1" applyFill="1" applyBorder="1" applyAlignment="1" applyProtection="1">
      <alignment horizontal="left"/>
      <protection locked="0"/>
    </xf>
    <xf numFmtId="0" fontId="4" fillId="7" borderId="603" xfId="0" applyFont="1" applyFill="1" applyBorder="1"/>
    <xf numFmtId="0" fontId="4" fillId="33" borderId="590" xfId="0" applyFont="1" applyFill="1" applyBorder="1" applyAlignment="1" applyProtection="1">
      <alignment horizontal="left"/>
      <protection locked="0"/>
    </xf>
    <xf numFmtId="0" fontId="4" fillId="33" borderId="598" xfId="0" applyFont="1" applyFill="1" applyBorder="1" applyAlignment="1" applyProtection="1">
      <alignment horizontal="left"/>
      <protection locked="0"/>
    </xf>
    <xf numFmtId="0" fontId="38" fillId="33" borderId="525" xfId="0" applyFont="1" applyFill="1" applyBorder="1" applyAlignment="1" applyProtection="1">
      <alignment horizontal="left"/>
      <protection locked="0"/>
    </xf>
    <xf numFmtId="3" fontId="4" fillId="33" borderId="494" xfId="15" applyFont="1" applyFill="1" applyBorder="1" applyAlignment="1" applyProtection="1">
      <alignment horizontal="center" vertical="center"/>
      <protection locked="0"/>
    </xf>
    <xf numFmtId="3" fontId="4" fillId="33" borderId="500" xfId="15" applyFont="1" applyFill="1" applyBorder="1" applyAlignment="1" applyProtection="1">
      <alignment horizontal="center"/>
      <protection locked="0"/>
    </xf>
    <xf numFmtId="3" fontId="4" fillId="33" borderId="514" xfId="15" applyFont="1" applyFill="1" applyBorder="1" applyAlignment="1" applyProtection="1">
      <alignment horizontal="center" vertical="center"/>
      <protection locked="0"/>
    </xf>
    <xf numFmtId="3" fontId="4" fillId="33" borderId="600" xfId="15" applyFont="1" applyFill="1" applyBorder="1" applyAlignment="1" applyProtection="1">
      <alignment horizontal="center"/>
      <protection locked="0"/>
    </xf>
    <xf numFmtId="3" fontId="38" fillId="21" borderId="584" xfId="15" applyFont="1" applyFill="1" applyBorder="1" applyAlignment="1" applyProtection="1">
      <alignment horizontal="center" wrapText="1"/>
    </xf>
    <xf numFmtId="3" fontId="38" fillId="21" borderId="584" xfId="15" applyFont="1" applyFill="1" applyBorder="1" applyAlignment="1" applyProtection="1">
      <alignment horizontal="left" wrapText="1"/>
    </xf>
    <xf numFmtId="0" fontId="4" fillId="35" borderId="584" xfId="15" applyNumberFormat="1" applyFont="1" applyFill="1" applyBorder="1" applyAlignment="1" applyProtection="1">
      <alignment horizontal="center" wrapText="1"/>
      <protection locked="0"/>
    </xf>
    <xf numFmtId="3" fontId="4" fillId="3" borderId="608" xfId="15" applyFont="1" applyFill="1" applyBorder="1" applyAlignment="1" applyProtection="1">
      <alignment horizontal="center" vertical="center" wrapText="1"/>
    </xf>
    <xf numFmtId="3" fontId="4" fillId="3" borderId="424" xfId="15" applyFont="1" applyFill="1" applyBorder="1" applyAlignment="1" applyProtection="1">
      <alignment horizontal="center" vertical="center" wrapText="1"/>
    </xf>
    <xf numFmtId="3" fontId="4" fillId="3" borderId="618" xfId="15" applyFont="1" applyFill="1" applyBorder="1" applyAlignment="1" applyProtection="1">
      <alignment horizontal="center" vertical="center" wrapText="1"/>
    </xf>
    <xf numFmtId="3" fontId="4" fillId="3" borderId="460" xfId="15" applyFont="1" applyFill="1" applyBorder="1" applyAlignment="1" applyProtection="1">
      <alignment horizontal="center" vertical="center" wrapText="1"/>
    </xf>
    <xf numFmtId="3" fontId="4" fillId="3" borderId="462" xfId="15" applyFont="1" applyFill="1" applyBorder="1" applyAlignment="1" applyProtection="1">
      <alignment horizontal="center" vertical="center" wrapText="1"/>
    </xf>
    <xf numFmtId="3" fontId="4" fillId="3" borderId="466" xfId="15" applyFont="1" applyFill="1" applyBorder="1" applyAlignment="1" applyProtection="1">
      <alignment horizontal="center" vertical="center" wrapText="1"/>
    </xf>
    <xf numFmtId="3" fontId="136" fillId="51" borderId="598" xfId="0" applyNumberFormat="1" applyFont="1" applyFill="1" applyBorder="1" applyProtection="1">
      <protection locked="0"/>
    </xf>
    <xf numFmtId="3" fontId="137" fillId="51" borderId="598" xfId="0" applyNumberFormat="1" applyFont="1" applyFill="1" applyBorder="1" applyProtection="1">
      <protection locked="0"/>
    </xf>
    <xf numFmtId="3" fontId="137" fillId="51" borderId="619" xfId="0" applyNumberFormat="1" applyFont="1" applyFill="1" applyBorder="1" applyProtection="1">
      <protection locked="0"/>
    </xf>
    <xf numFmtId="3" fontId="137" fillId="51" borderId="620" xfId="0" applyNumberFormat="1" applyFont="1" applyFill="1" applyBorder="1" applyProtection="1">
      <protection locked="0"/>
    </xf>
    <xf numFmtId="3" fontId="137" fillId="51" borderId="621" xfId="0" applyNumberFormat="1" applyFont="1" applyFill="1" applyBorder="1" applyProtection="1">
      <protection locked="0"/>
    </xf>
    <xf numFmtId="3" fontId="137" fillId="51" borderId="599" xfId="0" applyNumberFormat="1" applyFont="1" applyFill="1" applyBorder="1" applyProtection="1">
      <protection locked="0"/>
    </xf>
    <xf numFmtId="3" fontId="134" fillId="11" borderId="598" xfId="0" applyNumberFormat="1" applyFont="1" applyFill="1" applyBorder="1"/>
    <xf numFmtId="3" fontId="134" fillId="11" borderId="599" xfId="0" applyNumberFormat="1" applyFont="1" applyFill="1" applyBorder="1"/>
    <xf numFmtId="3" fontId="136" fillId="51" borderId="590" xfId="0" applyNumberFormat="1" applyFont="1" applyFill="1" applyBorder="1" applyProtection="1">
      <protection locked="0"/>
    </xf>
    <xf numFmtId="3" fontId="135" fillId="33" borderId="513" xfId="11" applyFont="1" applyFill="1" applyBorder="1" applyAlignment="1" applyProtection="1">
      <protection locked="0"/>
    </xf>
    <xf numFmtId="3" fontId="135" fillId="33" borderId="513" xfId="0" applyNumberFormat="1" applyFont="1" applyFill="1" applyBorder="1" applyProtection="1">
      <protection locked="0"/>
    </xf>
    <xf numFmtId="3" fontId="135" fillId="33" borderId="514" xfId="0" applyNumberFormat="1" applyFont="1" applyFill="1" applyBorder="1" applyProtection="1">
      <protection locked="0"/>
    </xf>
    <xf numFmtId="3" fontId="135" fillId="33" borderId="600" xfId="0" applyNumberFormat="1" applyFont="1" applyFill="1" applyBorder="1" applyProtection="1">
      <protection locked="0"/>
    </xf>
    <xf numFmtId="3" fontId="70" fillId="10" borderId="585" xfId="15" applyFont="1" applyFill="1" applyBorder="1" applyAlignment="1" applyProtection="1"/>
    <xf numFmtId="3" fontId="70" fillId="10" borderId="601" xfId="15" applyFont="1" applyFill="1" applyBorder="1" applyAlignment="1" applyProtection="1"/>
    <xf numFmtId="3" fontId="4" fillId="6" borderId="601" xfId="15" applyFont="1" applyFill="1" applyBorder="1" applyAlignment="1" applyProtection="1"/>
    <xf numFmtId="3" fontId="4" fillId="3" borderId="425" xfId="15" applyFont="1" applyFill="1" applyBorder="1" applyAlignment="1" applyProtection="1">
      <alignment horizontal="center" vertical="center" wrapText="1"/>
    </xf>
    <xf numFmtId="3" fontId="134" fillId="11" borderId="513" xfId="0" applyNumberFormat="1" applyFont="1" applyFill="1" applyBorder="1"/>
    <xf numFmtId="3" fontId="134" fillId="11" borderId="600" xfId="0" applyNumberFormat="1" applyFont="1" applyFill="1" applyBorder="1"/>
    <xf numFmtId="1" fontId="43" fillId="16" borderId="623" xfId="0" applyNumberFormat="1" applyFont="1" applyFill="1" applyBorder="1" applyAlignment="1">
      <alignment horizontal="center"/>
    </xf>
    <xf numFmtId="0" fontId="4" fillId="33" borderId="621" xfId="0" applyFont="1" applyFill="1" applyBorder="1" applyProtection="1">
      <protection locked="0"/>
    </xf>
    <xf numFmtId="0" fontId="4" fillId="27" borderId="597" xfId="0" applyFont="1" applyFill="1" applyBorder="1" applyAlignment="1">
      <alignment horizontal="left"/>
    </xf>
    <xf numFmtId="0" fontId="4" fillId="27" borderId="619" xfId="0" applyFont="1" applyFill="1" applyBorder="1" applyAlignment="1">
      <alignment horizontal="left"/>
    </xf>
    <xf numFmtId="3" fontId="134" fillId="15" borderId="621" xfId="0" applyNumberFormat="1" applyFont="1" applyFill="1" applyBorder="1" applyAlignment="1">
      <alignment horizontal="center"/>
    </xf>
    <xf numFmtId="0" fontId="4" fillId="10" borderId="621" xfId="0" applyFont="1" applyFill="1" applyBorder="1"/>
    <xf numFmtId="0" fontId="4" fillId="7" borderId="598" xfId="0" applyFont="1" applyFill="1" applyBorder="1"/>
    <xf numFmtId="1" fontId="43" fillId="16" borderId="596" xfId="0" applyNumberFormat="1" applyFont="1" applyFill="1" applyBorder="1" applyAlignment="1">
      <alignment horizontal="center"/>
    </xf>
    <xf numFmtId="0" fontId="4" fillId="33" borderId="590" xfId="0" applyFont="1" applyFill="1" applyBorder="1" applyProtection="1">
      <protection locked="0"/>
    </xf>
    <xf numFmtId="3" fontId="131" fillId="33" borderId="629" xfId="0" applyNumberFormat="1" applyFont="1" applyFill="1" applyBorder="1" applyProtection="1">
      <protection locked="0"/>
    </xf>
    <xf numFmtId="0" fontId="4" fillId="33" borderId="598" xfId="0" applyFont="1" applyFill="1" applyBorder="1" applyProtection="1">
      <protection locked="0"/>
    </xf>
    <xf numFmtId="3" fontId="131" fillId="33" borderId="632" xfId="0" applyNumberFormat="1" applyFont="1" applyFill="1" applyBorder="1" applyProtection="1">
      <protection locked="0"/>
    </xf>
    <xf numFmtId="3" fontId="131" fillId="33" borderId="633" xfId="0" applyNumberFormat="1" applyFont="1" applyFill="1" applyBorder="1" applyProtection="1">
      <protection locked="0"/>
    </xf>
    <xf numFmtId="0" fontId="4" fillId="33" borderId="634" xfId="0" applyFont="1" applyFill="1" applyBorder="1" applyProtection="1">
      <protection locked="0"/>
    </xf>
    <xf numFmtId="0" fontId="4" fillId="33" borderId="635" xfId="0" applyFont="1" applyFill="1" applyBorder="1" applyProtection="1">
      <protection locked="0"/>
    </xf>
    <xf numFmtId="3" fontId="131" fillId="33" borderId="607" xfId="0" applyNumberFormat="1" applyFont="1" applyFill="1" applyBorder="1" applyProtection="1">
      <protection locked="0"/>
    </xf>
    <xf numFmtId="0" fontId="4" fillId="10" borderId="513" xfId="0" applyFont="1" applyFill="1" applyBorder="1"/>
    <xf numFmtId="0" fontId="4" fillId="7" borderId="498" xfId="0" applyFont="1" applyFill="1" applyBorder="1"/>
    <xf numFmtId="1" fontId="43" fillId="16" borderId="638" xfId="0" applyNumberFormat="1" applyFont="1" applyFill="1" applyBorder="1" applyAlignment="1">
      <alignment horizontal="center"/>
    </xf>
    <xf numFmtId="3" fontId="131" fillId="33" borderId="640" xfId="0" applyNumberFormat="1" applyFont="1" applyFill="1" applyBorder="1" applyProtection="1">
      <protection locked="0"/>
    </xf>
    <xf numFmtId="1" fontId="43" fillId="16" borderId="642" xfId="0" applyNumberFormat="1" applyFont="1" applyFill="1" applyBorder="1" applyAlignment="1">
      <alignment horizontal="center"/>
    </xf>
    <xf numFmtId="3" fontId="131" fillId="33" borderId="634" xfId="0" applyNumberFormat="1" applyFont="1" applyFill="1" applyBorder="1" applyProtection="1">
      <protection locked="0"/>
    </xf>
    <xf numFmtId="0" fontId="64" fillId="10" borderId="643" xfId="0" applyFont="1" applyFill="1" applyBorder="1"/>
    <xf numFmtId="0" fontId="64" fillId="10" borderId="644" xfId="0" applyFont="1" applyFill="1" applyBorder="1"/>
    <xf numFmtId="1" fontId="43" fillId="16" borderId="645" xfId="0" applyNumberFormat="1" applyFont="1" applyFill="1" applyBorder="1" applyAlignment="1">
      <alignment horizontal="center"/>
    </xf>
    <xf numFmtId="1" fontId="43" fillId="16" borderId="460" xfId="0" applyNumberFormat="1" applyFont="1" applyFill="1" applyBorder="1" applyAlignment="1">
      <alignment horizontal="center"/>
    </xf>
    <xf numFmtId="3" fontId="131" fillId="33" borderId="650" xfId="0" applyNumberFormat="1" applyFont="1" applyFill="1" applyBorder="1" applyProtection="1">
      <protection locked="0"/>
    </xf>
    <xf numFmtId="0" fontId="43" fillId="33" borderId="403" xfId="0" applyFont="1" applyFill="1" applyBorder="1" applyProtection="1">
      <protection locked="0"/>
    </xf>
    <xf numFmtId="3" fontId="43" fillId="33" borderId="425" xfId="0" applyNumberFormat="1" applyFont="1" applyFill="1" applyBorder="1" applyProtection="1">
      <protection locked="0"/>
    </xf>
    <xf numFmtId="3" fontId="64" fillId="10" borderId="644" xfId="0" applyNumberFormat="1" applyFont="1" applyFill="1" applyBorder="1"/>
    <xf numFmtId="3" fontId="131" fillId="33" borderId="653" xfId="0" applyNumberFormat="1" applyFont="1" applyFill="1" applyBorder="1" applyProtection="1">
      <protection locked="0"/>
    </xf>
    <xf numFmtId="0" fontId="4" fillId="10" borderId="657" xfId="0" applyFont="1" applyFill="1" applyBorder="1"/>
    <xf numFmtId="0" fontId="64" fillId="10" borderId="403" xfId="0" applyFont="1" applyFill="1" applyBorder="1"/>
    <xf numFmtId="0" fontId="64" fillId="10" borderId="658" xfId="0" applyFont="1" applyFill="1" applyBorder="1"/>
    <xf numFmtId="3" fontId="70" fillId="9" borderId="607" xfId="0" applyNumberFormat="1" applyFont="1" applyFill="1" applyBorder="1"/>
    <xf numFmtId="1" fontId="43" fillId="16" borderId="459" xfId="0" applyNumberFormat="1" applyFont="1" applyFill="1" applyBorder="1" applyAlignment="1">
      <alignment horizontal="center"/>
    </xf>
    <xf numFmtId="3" fontId="38" fillId="16" borderId="520" xfId="1" applyNumberFormat="1" applyFont="1" applyFill="1" applyBorder="1" applyAlignment="1">
      <alignment horizontal="right"/>
    </xf>
    <xf numFmtId="3" fontId="131" fillId="7" borderId="659" xfId="0" applyNumberFormat="1" applyFont="1" applyFill="1" applyBorder="1"/>
    <xf numFmtId="0" fontId="4" fillId="33" borderId="660" xfId="0" applyFont="1" applyFill="1" applyBorder="1" applyProtection="1">
      <protection locked="0"/>
    </xf>
    <xf numFmtId="3" fontId="131" fillId="7" borderId="663" xfId="0" applyNumberFormat="1" applyFont="1" applyFill="1" applyBorder="1"/>
    <xf numFmtId="1" fontId="43" fillId="16" borderId="664" xfId="0" applyNumberFormat="1" applyFont="1" applyFill="1" applyBorder="1" applyAlignment="1">
      <alignment horizontal="center"/>
    </xf>
    <xf numFmtId="3" fontId="4" fillId="7" borderId="665" xfId="0" applyNumberFormat="1" applyFont="1" applyFill="1" applyBorder="1"/>
    <xf numFmtId="3" fontId="4" fillId="7" borderId="666" xfId="0" applyNumberFormat="1" applyFont="1" applyFill="1" applyBorder="1"/>
    <xf numFmtId="0" fontId="64" fillId="10" borderId="661" xfId="0" applyFont="1" applyFill="1" applyBorder="1"/>
    <xf numFmtId="0" fontId="64" fillId="10" borderId="667" xfId="0" applyFont="1" applyFill="1" applyBorder="1"/>
    <xf numFmtId="1" fontId="43" fillId="16" borderId="668" xfId="0" applyNumberFormat="1" applyFont="1" applyFill="1" applyBorder="1" applyAlignment="1">
      <alignment horizontal="center"/>
    </xf>
    <xf numFmtId="3" fontId="101" fillId="33" borderId="669" xfId="0" applyNumberFormat="1" applyFont="1" applyFill="1" applyBorder="1" applyProtection="1">
      <protection locked="0"/>
    </xf>
    <xf numFmtId="3" fontId="101" fillId="33" borderId="520" xfId="0" applyNumberFormat="1" applyFont="1" applyFill="1" applyBorder="1" applyProtection="1">
      <protection locked="0"/>
    </xf>
    <xf numFmtId="3" fontId="131" fillId="33" borderId="628" xfId="0" applyNumberFormat="1" applyFont="1" applyFill="1" applyBorder="1" applyProtection="1">
      <protection locked="0"/>
    </xf>
    <xf numFmtId="3" fontId="70" fillId="9" borderId="671" xfId="0" applyNumberFormat="1" applyFont="1" applyFill="1" applyBorder="1"/>
    <xf numFmtId="0" fontId="4" fillId="10" borderId="654" xfId="0" applyFont="1" applyFill="1" applyBorder="1"/>
    <xf numFmtId="3" fontId="88" fillId="11" borderId="501" xfId="0" applyNumberFormat="1" applyFont="1" applyFill="1" applyBorder="1"/>
    <xf numFmtId="0" fontId="70" fillId="76" borderId="313" xfId="0" applyFont="1" applyFill="1" applyBorder="1"/>
    <xf numFmtId="0" fontId="101" fillId="0" borderId="625" xfId="0" applyFont="1" applyBorder="1" applyAlignment="1">
      <alignment horizontal="center" wrapText="1"/>
    </xf>
    <xf numFmtId="0" fontId="30" fillId="0" borderId="625" xfId="0" applyFont="1" applyBorder="1" applyAlignment="1">
      <alignment horizontal="center"/>
    </xf>
    <xf numFmtId="0" fontId="38" fillId="0" borderId="602" xfId="0" applyFont="1" applyBorder="1" applyAlignment="1">
      <alignment horizontal="center" wrapText="1"/>
    </xf>
    <xf numFmtId="0" fontId="4" fillId="3" borderId="608" xfId="0" applyFont="1" applyFill="1" applyBorder="1" applyAlignment="1">
      <alignment horizontal="center"/>
    </xf>
    <xf numFmtId="0" fontId="4" fillId="3" borderId="607" xfId="0" applyFont="1" applyFill="1" applyBorder="1" applyAlignment="1">
      <alignment horizontal="center"/>
    </xf>
    <xf numFmtId="0" fontId="38" fillId="3" borderId="629" xfId="0" applyFont="1" applyFill="1" applyBorder="1"/>
    <xf numFmtId="1" fontId="42" fillId="3" borderId="659" xfId="15" applyNumberFormat="1" applyFont="1" applyFill="1" applyBorder="1" applyAlignment="1" applyProtection="1">
      <alignment horizontal="center"/>
    </xf>
    <xf numFmtId="1" fontId="42" fillId="3" borderId="629" xfId="15" applyNumberFormat="1" applyFont="1" applyFill="1" applyBorder="1" applyAlignment="1" applyProtection="1">
      <alignment horizontal="center"/>
    </xf>
    <xf numFmtId="3" fontId="132" fillId="0" borderId="544" xfId="1" applyNumberFormat="1" applyFont="1" applyFill="1" applyBorder="1" applyAlignment="1" applyProtection="1">
      <protection locked="0"/>
    </xf>
    <xf numFmtId="0" fontId="70" fillId="24" borderId="674" xfId="0" applyFont="1" applyFill="1" applyBorder="1" applyAlignment="1">
      <alignment horizontal="left"/>
    </xf>
    <xf numFmtId="0" fontId="70" fillId="24" borderId="675" xfId="0" applyFont="1" applyFill="1" applyBorder="1" applyAlignment="1">
      <alignment horizontal="left"/>
    </xf>
    <xf numFmtId="0" fontId="64" fillId="24" borderId="675" xfId="0" applyFont="1" applyFill="1" applyBorder="1"/>
    <xf numFmtId="3" fontId="70" fillId="10" borderId="676" xfId="1" applyNumberFormat="1" applyFont="1" applyFill="1" applyBorder="1" applyAlignment="1" applyProtection="1"/>
    <xf numFmtId="3" fontId="64" fillId="10" borderId="676" xfId="1" applyNumberFormat="1" applyFont="1" applyFill="1" applyBorder="1" applyAlignment="1" applyProtection="1"/>
    <xf numFmtId="10" fontId="70" fillId="10" borderId="598" xfId="0" applyNumberFormat="1" applyFont="1" applyFill="1" applyBorder="1"/>
    <xf numFmtId="3" fontId="70" fillId="10" borderId="677" xfId="1" applyNumberFormat="1" applyFont="1" applyFill="1" applyBorder="1" applyAlignment="1" applyProtection="1"/>
    <xf numFmtId="0" fontId="4" fillId="3" borderId="678" xfId="0" applyFont="1" applyFill="1" applyBorder="1" applyAlignment="1">
      <alignment horizontal="center"/>
    </xf>
    <xf numFmtId="0" fontId="4" fillId="3" borderId="679" xfId="0" applyFont="1" applyFill="1" applyBorder="1" applyAlignment="1">
      <alignment horizontal="center"/>
    </xf>
    <xf numFmtId="0" fontId="38" fillId="3" borderId="680" xfId="0" applyFont="1" applyFill="1" applyBorder="1"/>
    <xf numFmtId="1" fontId="42" fillId="3" borderId="680" xfId="15" applyNumberFormat="1" applyFont="1" applyFill="1" applyBorder="1" applyAlignment="1" applyProtection="1">
      <alignment horizontal="center"/>
    </xf>
    <xf numFmtId="1" fontId="42" fillId="3" borderId="681" xfId="15" applyNumberFormat="1" applyFont="1" applyFill="1" applyBorder="1" applyAlignment="1" applyProtection="1">
      <alignment horizontal="center"/>
    </xf>
    <xf numFmtId="10" fontId="4" fillId="7" borderId="682" xfId="0" applyNumberFormat="1" applyFont="1" applyFill="1" applyBorder="1"/>
    <xf numFmtId="3" fontId="4" fillId="7" borderId="677" xfId="1" applyNumberFormat="1" applyFont="1" applyFill="1" applyBorder="1" applyAlignment="1" applyProtection="1"/>
    <xf numFmtId="3" fontId="131" fillId="33" borderId="683" xfId="1" applyNumberFormat="1" applyFont="1" applyFill="1" applyBorder="1" applyAlignment="1" applyProtection="1">
      <protection locked="0"/>
    </xf>
    <xf numFmtId="3" fontId="131" fillId="33" borderId="684" xfId="1" applyNumberFormat="1" applyFont="1" applyFill="1" applyBorder="1" applyAlignment="1" applyProtection="1">
      <protection locked="0"/>
    </xf>
    <xf numFmtId="0" fontId="70" fillId="18" borderId="685" xfId="0" applyFont="1" applyFill="1" applyBorder="1"/>
    <xf numFmtId="0" fontId="70" fillId="18" borderId="686" xfId="0" applyFont="1" applyFill="1" applyBorder="1"/>
    <xf numFmtId="0" fontId="64" fillId="18" borderId="686" xfId="0" applyFont="1" applyFill="1" applyBorder="1"/>
    <xf numFmtId="3" fontId="70" fillId="10" borderId="687" xfId="1" applyNumberFormat="1" applyFont="1" applyFill="1" applyBorder="1" applyAlignment="1" applyProtection="1"/>
    <xf numFmtId="3" fontId="64" fillId="10" borderId="688" xfId="1" applyNumberFormat="1" applyFont="1" applyFill="1" applyBorder="1" applyAlignment="1" applyProtection="1"/>
    <xf numFmtId="0" fontId="4" fillId="3" borderId="689" xfId="0" applyFont="1" applyFill="1" applyBorder="1" applyAlignment="1">
      <alignment horizontal="center"/>
    </xf>
    <xf numFmtId="0" fontId="4" fillId="3" borderId="636" xfId="0" applyFont="1" applyFill="1" applyBorder="1" applyAlignment="1">
      <alignment horizontal="center"/>
    </xf>
    <xf numFmtId="0" fontId="38" fillId="3" borderId="690" xfId="0" applyFont="1" applyFill="1" applyBorder="1"/>
    <xf numFmtId="1" fontId="42" fillId="3" borderId="664" xfId="15" applyNumberFormat="1" applyFont="1" applyFill="1" applyBorder="1" applyAlignment="1" applyProtection="1">
      <alignment horizontal="center"/>
    </xf>
    <xf numFmtId="1" fontId="42" fillId="3" borderId="690" xfId="15" applyNumberFormat="1" applyFont="1" applyFill="1" applyBorder="1" applyAlignment="1" applyProtection="1">
      <alignment horizontal="center"/>
    </xf>
    <xf numFmtId="0" fontId="132" fillId="11" borderId="691" xfId="0" applyFont="1" applyFill="1" applyBorder="1" applyAlignment="1">
      <alignment horizontal="center"/>
    </xf>
    <xf numFmtId="3" fontId="140" fillId="0" borderId="581" xfId="1" applyNumberFormat="1" applyFont="1" applyFill="1" applyBorder="1" applyAlignment="1" applyProtection="1">
      <protection locked="0"/>
    </xf>
    <xf numFmtId="3" fontId="70" fillId="10" borderId="692" xfId="1" applyNumberFormat="1" applyFont="1" applyFill="1" applyBorder="1" applyAlignment="1" applyProtection="1"/>
    <xf numFmtId="1" fontId="42" fillId="3" borderId="690" xfId="0" applyNumberFormat="1" applyFont="1" applyFill="1" applyBorder="1" applyAlignment="1">
      <alignment horizontal="center" vertical="top" wrapText="1"/>
    </xf>
    <xf numFmtId="0" fontId="140" fillId="11" borderId="693" xfId="0" applyFont="1" applyFill="1" applyBorder="1" applyAlignment="1">
      <alignment horizontal="center"/>
    </xf>
    <xf numFmtId="0" fontId="70" fillId="10" borderId="674" xfId="0" applyFont="1" applyFill="1" applyBorder="1" applyAlignment="1">
      <alignment horizontal="left"/>
    </xf>
    <xf numFmtId="0" fontId="70" fillId="10" borderId="675" xfId="0" applyFont="1" applyFill="1" applyBorder="1" applyAlignment="1">
      <alignment horizontal="left"/>
    </xf>
    <xf numFmtId="0" fontId="70" fillId="10" borderId="675" xfId="0" applyFont="1" applyFill="1" applyBorder="1"/>
    <xf numFmtId="0" fontId="38" fillId="3" borderId="681" xfId="0" applyFont="1" applyFill="1" applyBorder="1"/>
    <xf numFmtId="1" fontId="42" fillId="3" borderId="681" xfId="0" applyNumberFormat="1" applyFont="1" applyFill="1" applyBorder="1" applyAlignment="1">
      <alignment horizontal="center" vertical="top" wrapText="1"/>
    </xf>
    <xf numFmtId="0" fontId="140" fillId="11" borderId="694" xfId="0" applyFont="1" applyFill="1" applyBorder="1" applyAlignment="1">
      <alignment horizontal="center"/>
    </xf>
    <xf numFmtId="0" fontId="140" fillId="6" borderId="694" xfId="0" applyFont="1" applyFill="1" applyBorder="1" applyProtection="1">
      <protection locked="0"/>
    </xf>
    <xf numFmtId="3" fontId="70" fillId="10" borderId="681" xfId="1" applyNumberFormat="1" applyFont="1" applyFill="1" applyBorder="1" applyAlignment="1" applyProtection="1"/>
    <xf numFmtId="0" fontId="70" fillId="10" borderId="695" xfId="0" applyFont="1" applyFill="1" applyBorder="1" applyAlignment="1">
      <alignment horizontal="left"/>
    </xf>
    <xf numFmtId="0" fontId="70" fillId="10" borderId="696" xfId="0" applyFont="1" applyFill="1" applyBorder="1" applyAlignment="1">
      <alignment horizontal="left"/>
    </xf>
    <xf numFmtId="0" fontId="70" fillId="10" borderId="696" xfId="0" applyFont="1" applyFill="1" applyBorder="1"/>
    <xf numFmtId="3" fontId="70" fillId="10" borderId="697" xfId="1" applyNumberFormat="1" applyFont="1" applyFill="1" applyBorder="1" applyAlignment="1" applyProtection="1"/>
    <xf numFmtId="0" fontId="140" fillId="0" borderId="694" xfId="0" applyFont="1" applyBorder="1" applyProtection="1">
      <protection locked="0"/>
    </xf>
    <xf numFmtId="0" fontId="70" fillId="10" borderId="678" xfId="0" applyFont="1" applyFill="1" applyBorder="1" applyAlignment="1">
      <alignment horizontal="left"/>
    </xf>
    <xf numFmtId="0" fontId="70" fillId="10" borderId="679" xfId="0" applyFont="1" applyFill="1" applyBorder="1" applyAlignment="1">
      <alignment horizontal="left"/>
    </xf>
    <xf numFmtId="0" fontId="70" fillId="10" borderId="679" xfId="0" applyFont="1" applyFill="1" applyBorder="1"/>
    <xf numFmtId="3" fontId="70" fillId="10" borderId="680" xfId="0" applyNumberFormat="1" applyFont="1" applyFill="1" applyBorder="1"/>
    <xf numFmtId="3" fontId="70" fillId="10" borderId="698" xfId="0" applyNumberFormat="1" applyFont="1" applyFill="1" applyBorder="1"/>
    <xf numFmtId="3" fontId="70" fillId="10" borderId="699" xfId="1" applyNumberFormat="1" applyFont="1" applyFill="1" applyBorder="1" applyAlignment="1" applyProtection="1"/>
    <xf numFmtId="0" fontId="70" fillId="6" borderId="425" xfId="0" applyFont="1" applyFill="1" applyBorder="1" applyAlignment="1">
      <alignment horizontal="left"/>
    </xf>
    <xf numFmtId="3" fontId="70" fillId="6" borderId="425" xfId="1" applyNumberFormat="1" applyFont="1" applyFill="1" applyBorder="1" applyAlignment="1" applyProtection="1"/>
    <xf numFmtId="3" fontId="70" fillId="6" borderId="424" xfId="1" applyNumberFormat="1" applyFont="1" applyFill="1" applyBorder="1" applyAlignment="1" applyProtection="1"/>
    <xf numFmtId="0" fontId="42" fillId="3" borderId="690" xfId="0" applyFont="1" applyFill="1" applyBorder="1" applyAlignment="1">
      <alignment horizontal="center" vertical="top" wrapText="1"/>
    </xf>
    <xf numFmtId="0" fontId="140" fillId="6" borderId="544" xfId="0" applyFont="1" applyFill="1" applyBorder="1" applyProtection="1">
      <protection locked="0"/>
    </xf>
    <xf numFmtId="0" fontId="70" fillId="0" borderId="425" xfId="0" applyFont="1" applyBorder="1" applyAlignment="1">
      <alignment horizontal="left"/>
    </xf>
    <xf numFmtId="3" fontId="70" fillId="0" borderId="425" xfId="1" applyNumberFormat="1" applyFont="1" applyFill="1" applyBorder="1" applyAlignment="1" applyProtection="1"/>
    <xf numFmtId="3" fontId="70" fillId="76" borderId="700" xfId="1" applyNumberFormat="1" applyFont="1" applyFill="1" applyBorder="1" applyAlignment="1" applyProtection="1"/>
    <xf numFmtId="0" fontId="4" fillId="3" borderId="701" xfId="0" applyFont="1" applyFill="1" applyBorder="1" applyAlignment="1">
      <alignment horizontal="center"/>
    </xf>
    <xf numFmtId="0" fontId="38" fillId="3" borderId="702" xfId="0" applyFont="1" applyFill="1" applyBorder="1"/>
    <xf numFmtId="1" fontId="42" fillId="3" borderId="703" xfId="15" applyNumberFormat="1" applyFont="1" applyFill="1" applyBorder="1" applyAlignment="1" applyProtection="1">
      <alignment horizontal="center"/>
    </xf>
    <xf numFmtId="1" fontId="42" fillId="3" borderId="702" xfId="15" applyNumberFormat="1" applyFont="1" applyFill="1" applyBorder="1" applyAlignment="1" applyProtection="1">
      <alignment horizontal="center"/>
    </xf>
    <xf numFmtId="0" fontId="4" fillId="0" borderId="704" xfId="0" applyFont="1" applyBorder="1" applyAlignment="1">
      <alignment horizontal="center"/>
    </xf>
    <xf numFmtId="0" fontId="4" fillId="33" borderId="705" xfId="0" applyFont="1" applyFill="1" applyBorder="1" applyAlignment="1" applyProtection="1">
      <alignment horizontal="left"/>
      <protection locked="0"/>
    </xf>
    <xf numFmtId="3" fontId="131" fillId="33" borderId="706" xfId="0" applyNumberFormat="1" applyFont="1" applyFill="1" applyBorder="1" applyProtection="1">
      <protection locked="0"/>
    </xf>
    <xf numFmtId="3" fontId="131" fillId="33" borderId="706" xfId="1" applyNumberFormat="1" applyFont="1" applyFill="1" applyBorder="1" applyAlignment="1" applyProtection="1">
      <protection locked="0"/>
    </xf>
    <xf numFmtId="3" fontId="131" fillId="33" borderId="707" xfId="1" applyNumberFormat="1" applyFont="1" applyFill="1" applyBorder="1" applyAlignment="1" applyProtection="1">
      <protection locked="0"/>
    </xf>
    <xf numFmtId="0" fontId="70" fillId="18" borderId="585" xfId="0" applyFont="1" applyFill="1" applyBorder="1" applyAlignment="1">
      <alignment horizontal="left"/>
    </xf>
    <xf numFmtId="0" fontId="70" fillId="18" borderId="447" xfId="0" applyFont="1" applyFill="1" applyBorder="1" applyAlignment="1">
      <alignment horizontal="left"/>
    </xf>
    <xf numFmtId="0" fontId="70" fillId="18" borderId="447" xfId="0" applyFont="1" applyFill="1" applyBorder="1"/>
    <xf numFmtId="3" fontId="70" fillId="10" borderId="708" xfId="1" applyNumberFormat="1" applyFont="1" applyFill="1" applyBorder="1" applyAlignment="1" applyProtection="1"/>
    <xf numFmtId="3" fontId="70" fillId="10" borderId="447" xfId="0" applyNumberFormat="1" applyFont="1" applyFill="1" applyBorder="1"/>
    <xf numFmtId="3" fontId="70" fillId="24" borderId="709" xfId="1" applyNumberFormat="1" applyFont="1" applyFill="1" applyBorder="1" applyAlignment="1" applyProtection="1"/>
    <xf numFmtId="0" fontId="4" fillId="0" borderId="604" xfId="0" applyFont="1" applyBorder="1" applyAlignment="1">
      <alignment horizontal="center"/>
    </xf>
    <xf numFmtId="0" fontId="0" fillId="0" borderId="584" xfId="0" applyBorder="1" applyAlignment="1">
      <alignment horizontal="center" vertical="center" wrapText="1"/>
    </xf>
    <xf numFmtId="0" fontId="4" fillId="3" borderId="629" xfId="0" applyFont="1" applyFill="1" applyBorder="1" applyAlignment="1">
      <alignment horizontal="center"/>
    </xf>
    <xf numFmtId="0" fontId="4" fillId="3" borderId="629" xfId="0" applyFont="1" applyFill="1" applyBorder="1" applyAlignment="1">
      <alignment horizontal="left"/>
    </xf>
    <xf numFmtId="0" fontId="38" fillId="3" borderId="659" xfId="0" applyFont="1" applyFill="1" applyBorder="1"/>
    <xf numFmtId="3" fontId="132" fillId="30" borderId="580" xfId="10" applyFont="1" applyFill="1" applyBorder="1" applyAlignment="1">
      <alignment horizontal="center"/>
    </xf>
    <xf numFmtId="3" fontId="140" fillId="0" borderId="544" xfId="10" applyFont="1" applyFill="1" applyBorder="1" applyAlignment="1" applyProtection="1">
      <protection locked="0"/>
    </xf>
    <xf numFmtId="3" fontId="140" fillId="0" borderId="581" xfId="10" applyFont="1" applyFill="1" applyBorder="1" applyAlignment="1" applyProtection="1">
      <protection locked="0"/>
    </xf>
    <xf numFmtId="0" fontId="70" fillId="10" borderId="681" xfId="0" applyFont="1" applyFill="1" applyBorder="1" applyAlignment="1">
      <alignment horizontal="left"/>
    </xf>
    <xf numFmtId="3" fontId="70" fillId="10" borderId="679" xfId="10" applyFont="1" applyFill="1" applyBorder="1" applyAlignment="1"/>
    <xf numFmtId="3" fontId="70" fillId="10" borderId="681" xfId="10" applyFont="1" applyFill="1" applyBorder="1" applyAlignment="1"/>
    <xf numFmtId="0" fontId="4" fillId="3" borderId="681" xfId="0" applyFont="1" applyFill="1" applyBorder="1" applyAlignment="1">
      <alignment horizontal="center"/>
    </xf>
    <xf numFmtId="0" fontId="4" fillId="3" borderId="681" xfId="0" applyFont="1" applyFill="1" applyBorder="1" applyAlignment="1">
      <alignment horizontal="left"/>
    </xf>
    <xf numFmtId="3" fontId="132" fillId="30" borderId="711" xfId="10" applyFont="1" applyFill="1" applyBorder="1" applyAlignment="1">
      <alignment horizontal="center"/>
    </xf>
    <xf numFmtId="3" fontId="132" fillId="30" borderId="712" xfId="10" applyFont="1" applyFill="1" applyBorder="1" applyAlignment="1">
      <alignment horizontal="center"/>
    </xf>
    <xf numFmtId="3" fontId="70" fillId="10" borderId="716" xfId="10" applyFont="1" applyFill="1" applyBorder="1" applyAlignment="1"/>
    <xf numFmtId="0" fontId="4" fillId="0" borderId="717" xfId="0" applyFont="1" applyBorder="1"/>
    <xf numFmtId="0" fontId="4" fillId="3" borderId="718" xfId="0" applyFont="1" applyFill="1" applyBorder="1" applyAlignment="1">
      <alignment horizontal="center"/>
    </xf>
    <xf numFmtId="0" fontId="4" fillId="3" borderId="690" xfId="0" applyFont="1" applyFill="1" applyBorder="1" applyAlignment="1">
      <alignment horizontal="left"/>
    </xf>
    <xf numFmtId="0" fontId="38" fillId="3" borderId="664" xfId="0" applyFont="1" applyFill="1" applyBorder="1"/>
    <xf numFmtId="0" fontId="70" fillId="10" borderId="719" xfId="0" applyFont="1" applyFill="1" applyBorder="1"/>
    <xf numFmtId="3" fontId="70" fillId="10" borderId="697" xfId="10" applyFont="1" applyFill="1" applyBorder="1" applyAlignment="1"/>
    <xf numFmtId="0" fontId="70" fillId="76" borderId="585" xfId="0" applyFont="1" applyFill="1" applyBorder="1"/>
    <xf numFmtId="0" fontId="70" fillId="76" borderId="447" xfId="0" applyFont="1" applyFill="1" applyBorder="1" applyAlignment="1">
      <alignment horizontal="left"/>
    </xf>
    <xf numFmtId="0" fontId="70" fillId="76" borderId="447" xfId="0" applyFont="1" applyFill="1" applyBorder="1"/>
    <xf numFmtId="3" fontId="70" fillId="76" borderId="602" xfId="0" applyNumberFormat="1" applyFont="1" applyFill="1" applyBorder="1"/>
    <xf numFmtId="0" fontId="0" fillId="0" borderId="584" xfId="0" applyBorder="1" applyAlignment="1">
      <alignment horizontal="center" wrapText="1"/>
    </xf>
    <xf numFmtId="3" fontId="132" fillId="30" borderId="560" xfId="10" applyFont="1" applyFill="1" applyBorder="1" applyAlignment="1">
      <alignment horizontal="center"/>
    </xf>
    <xf numFmtId="10" fontId="4" fillId="33" borderId="682" xfId="0" applyNumberFormat="1" applyFont="1" applyFill="1" applyBorder="1" applyProtection="1">
      <protection locked="0"/>
    </xf>
    <xf numFmtId="3" fontId="4" fillId="0" borderId="677" xfId="1" applyNumberFormat="1" applyFont="1" applyBorder="1" applyProtection="1"/>
    <xf numFmtId="0" fontId="4" fillId="7" borderId="677" xfId="0" applyFont="1" applyFill="1" applyBorder="1"/>
    <xf numFmtId="0" fontId="0" fillId="0" borderId="680" xfId="0" applyBorder="1"/>
    <xf numFmtId="3" fontId="70" fillId="10" borderId="675" xfId="1" applyNumberFormat="1" applyFont="1" applyFill="1" applyBorder="1" applyAlignment="1" applyProtection="1"/>
    <xf numFmtId="10" fontId="4" fillId="33" borderId="682" xfId="0" applyNumberFormat="1" applyFont="1" applyFill="1" applyBorder="1"/>
    <xf numFmtId="3" fontId="140" fillId="7" borderId="544" xfId="1" applyNumberFormat="1" applyFont="1" applyFill="1" applyBorder="1" applyAlignment="1" applyProtection="1"/>
    <xf numFmtId="3" fontId="140" fillId="7" borderId="544" xfId="10" applyFont="1" applyFill="1" applyBorder="1" applyAlignment="1"/>
    <xf numFmtId="3" fontId="140" fillId="7" borderId="581" xfId="10" applyFont="1" applyFill="1" applyBorder="1" applyAlignment="1"/>
    <xf numFmtId="3" fontId="101" fillId="7" borderId="691" xfId="10" applyFont="1" applyFill="1" applyBorder="1" applyAlignment="1"/>
    <xf numFmtId="3" fontId="101" fillId="7" borderId="580" xfId="10" applyFont="1" applyFill="1" applyBorder="1" applyAlignment="1"/>
    <xf numFmtId="3" fontId="101" fillId="7" borderId="544" xfId="10" applyFont="1" applyFill="1" applyBorder="1" applyAlignment="1"/>
    <xf numFmtId="3" fontId="70" fillId="10" borderId="675" xfId="10" applyFont="1" applyFill="1" applyBorder="1" applyAlignment="1"/>
    <xf numFmtId="3" fontId="70" fillId="10" borderId="676" xfId="10" applyFont="1" applyFill="1" applyBorder="1" applyAlignment="1"/>
    <xf numFmtId="0" fontId="70" fillId="10" borderId="720" xfId="0" applyFont="1" applyFill="1" applyBorder="1"/>
    <xf numFmtId="0" fontId="64" fillId="18" borderId="721" xfId="0" applyFont="1" applyFill="1" applyBorder="1"/>
    <xf numFmtId="0" fontId="64" fillId="18" borderId="697" xfId="0" applyFont="1" applyFill="1" applyBorder="1" applyAlignment="1">
      <alignment horizontal="left"/>
    </xf>
    <xf numFmtId="3" fontId="70" fillId="18" borderId="697" xfId="10" applyFont="1" applyFill="1" applyBorder="1" applyAlignment="1"/>
    <xf numFmtId="3" fontId="70" fillId="10" borderId="722" xfId="10" applyFont="1" applyFill="1" applyBorder="1" applyAlignment="1"/>
    <xf numFmtId="3" fontId="70" fillId="10" borderId="723" xfId="10" applyFont="1" applyFill="1" applyBorder="1" applyAlignment="1"/>
    <xf numFmtId="3" fontId="4" fillId="3" borderId="726" xfId="15" applyFont="1" applyFill="1" applyBorder="1" applyAlignment="1" applyProtection="1">
      <alignment horizontal="center"/>
    </xf>
    <xf numFmtId="3" fontId="4" fillId="3" borderId="727" xfId="15" applyFont="1" applyFill="1" applyBorder="1" applyAlignment="1" applyProtection="1">
      <alignment horizontal="left"/>
    </xf>
    <xf numFmtId="3" fontId="38" fillId="3" borderId="728" xfId="15" applyFont="1" applyFill="1" applyBorder="1" applyAlignment="1" applyProtection="1"/>
    <xf numFmtId="3" fontId="4" fillId="0" borderId="729" xfId="15" applyFont="1" applyFill="1" applyBorder="1" applyAlignment="1" applyProtection="1">
      <alignment horizontal="center"/>
    </xf>
    <xf numFmtId="3" fontId="4" fillId="33" borderId="730" xfId="15" applyFont="1" applyFill="1" applyBorder="1" applyAlignment="1" applyProtection="1">
      <alignment horizontal="left"/>
      <protection locked="0"/>
    </xf>
    <xf numFmtId="3" fontId="131" fillId="33" borderId="683" xfId="0" applyNumberFormat="1" applyFont="1" applyFill="1" applyBorder="1" applyProtection="1">
      <protection locked="0"/>
    </xf>
    <xf numFmtId="3" fontId="64" fillId="18" borderId="731" xfId="15" applyFont="1" applyFill="1" applyBorder="1" applyAlignment="1" applyProtection="1">
      <alignment horizontal="center"/>
    </xf>
    <xf numFmtId="3" fontId="64" fillId="18" borderId="732" xfId="15" applyFont="1" applyFill="1" applyBorder="1" applyAlignment="1" applyProtection="1">
      <alignment horizontal="left"/>
    </xf>
    <xf numFmtId="3" fontId="64" fillId="24" borderId="733" xfId="15" applyFont="1" applyFill="1" applyBorder="1" applyAlignment="1" applyProtection="1"/>
    <xf numFmtId="3" fontId="70" fillId="10" borderId="734" xfId="1" applyNumberFormat="1" applyFont="1" applyFill="1" applyBorder="1" applyAlignment="1" applyProtection="1"/>
    <xf numFmtId="10" fontId="70" fillId="10" borderId="682" xfId="0" applyNumberFormat="1" applyFont="1" applyFill="1" applyBorder="1"/>
    <xf numFmtId="3" fontId="70" fillId="10" borderId="677" xfId="0" applyNumberFormat="1" applyFont="1" applyFill="1" applyBorder="1"/>
    <xf numFmtId="0" fontId="4" fillId="3" borderId="735" xfId="0" applyFont="1" applyFill="1" applyBorder="1" applyAlignment="1">
      <alignment horizontal="center"/>
    </xf>
    <xf numFmtId="3" fontId="4" fillId="3" borderId="736" xfId="0" applyNumberFormat="1" applyFont="1" applyFill="1" applyBorder="1" applyAlignment="1">
      <alignment horizontal="left"/>
    </xf>
    <xf numFmtId="0" fontId="38" fillId="3" borderId="737" xfId="0" applyFont="1" applyFill="1" applyBorder="1"/>
    <xf numFmtId="1" fontId="42" fillId="3" borderId="738" xfId="15" applyNumberFormat="1" applyFont="1" applyFill="1" applyBorder="1" applyAlignment="1" applyProtection="1">
      <alignment horizontal="center"/>
    </xf>
    <xf numFmtId="1" fontId="42" fillId="3" borderId="737" xfId="15" applyNumberFormat="1" applyFont="1" applyFill="1" applyBorder="1" applyAlignment="1" applyProtection="1">
      <alignment horizontal="center"/>
    </xf>
    <xf numFmtId="3" fontId="132" fillId="11" borderId="544" xfId="10" applyFont="1" applyFill="1" applyBorder="1" applyAlignment="1">
      <alignment horizontal="center"/>
    </xf>
    <xf numFmtId="0" fontId="4" fillId="0" borderId="729" xfId="0" applyFont="1" applyBorder="1" applyAlignment="1">
      <alignment horizontal="center"/>
    </xf>
    <xf numFmtId="0" fontId="4" fillId="33" borderId="730" xfId="0" applyFont="1" applyFill="1" applyBorder="1" applyAlignment="1" applyProtection="1">
      <alignment horizontal="left"/>
      <protection locked="0"/>
    </xf>
    <xf numFmtId="3" fontId="135" fillId="33" borderId="683" xfId="1" applyNumberFormat="1" applyFont="1" applyFill="1" applyBorder="1" applyAlignment="1" applyProtection="1">
      <protection locked="0"/>
    </xf>
    <xf numFmtId="3" fontId="43" fillId="7" borderId="684" xfId="1" applyNumberFormat="1" applyFont="1" applyFill="1" applyBorder="1" applyAlignment="1" applyProtection="1"/>
    <xf numFmtId="0" fontId="64" fillId="18" borderId="678" xfId="0" applyFont="1" applyFill="1" applyBorder="1" applyAlignment="1">
      <alignment horizontal="left"/>
    </xf>
    <xf numFmtId="0" fontId="64" fillId="18" borderId="679" xfId="0" applyFont="1" applyFill="1" applyBorder="1" applyAlignment="1">
      <alignment horizontal="left"/>
    </xf>
    <xf numFmtId="3" fontId="64" fillId="18" borderId="720" xfId="1" applyNumberFormat="1" applyFont="1" applyFill="1" applyBorder="1" applyAlignment="1" applyProtection="1"/>
    <xf numFmtId="3" fontId="4" fillId="3" borderId="679" xfId="0" applyNumberFormat="1" applyFont="1" applyFill="1" applyBorder="1" applyAlignment="1">
      <alignment horizontal="left"/>
    </xf>
    <xf numFmtId="3" fontId="132" fillId="30" borderId="544" xfId="10" applyFont="1" applyFill="1" applyBorder="1" applyAlignment="1">
      <alignment horizontal="center"/>
    </xf>
    <xf numFmtId="3" fontId="43" fillId="33" borderId="683" xfId="1" applyNumberFormat="1" applyFont="1" applyFill="1" applyBorder="1" applyAlignment="1" applyProtection="1">
      <protection locked="0"/>
    </xf>
    <xf numFmtId="0" fontId="64" fillId="18" borderId="675" xfId="0" applyFont="1" applyFill="1" applyBorder="1" applyAlignment="1">
      <alignment horizontal="left"/>
    </xf>
    <xf numFmtId="3" fontId="64" fillId="18" borderId="675" xfId="1" applyNumberFormat="1" applyFont="1" applyFill="1" applyBorder="1" applyAlignment="1" applyProtection="1"/>
    <xf numFmtId="10" fontId="101" fillId="33" borderId="682" xfId="0" applyNumberFormat="1" applyFont="1" applyFill="1" applyBorder="1" applyProtection="1">
      <protection locked="0"/>
    </xf>
    <xf numFmtId="0" fontId="64" fillId="18" borderId="674" xfId="0" applyFont="1" applyFill="1" applyBorder="1" applyAlignment="1">
      <alignment horizontal="left"/>
    </xf>
    <xf numFmtId="0" fontId="70" fillId="24" borderId="739" xfId="0" applyFont="1" applyFill="1" applyBorder="1"/>
    <xf numFmtId="0" fontId="70" fillId="24" borderId="740" xfId="0" applyFont="1" applyFill="1" applyBorder="1" applyAlignment="1">
      <alignment horizontal="left"/>
    </xf>
    <xf numFmtId="3" fontId="70" fillId="24" borderId="740" xfId="1" applyNumberFormat="1" applyFont="1" applyFill="1" applyBorder="1" applyAlignment="1" applyProtection="1"/>
    <xf numFmtId="3" fontId="70" fillId="24" borderId="741" xfId="1" applyNumberFormat="1" applyFont="1" applyFill="1" applyBorder="1" applyAlignment="1" applyProtection="1"/>
    <xf numFmtId="3" fontId="70" fillId="10" borderId="742" xfId="1" applyNumberFormat="1" applyFont="1" applyFill="1" applyBorder="1" applyAlignment="1" applyProtection="1"/>
    <xf numFmtId="3" fontId="4" fillId="3" borderId="728" xfId="15" applyFont="1" applyFill="1" applyBorder="1" applyAlignment="1" applyProtection="1">
      <alignment horizontal="left"/>
    </xf>
    <xf numFmtId="3" fontId="38" fillId="3" borderId="743" xfId="15" applyFont="1" applyFill="1" applyBorder="1" applyAlignment="1" applyProtection="1"/>
    <xf numFmtId="3" fontId="132" fillId="30" borderId="744" xfId="10" applyFont="1" applyFill="1" applyBorder="1" applyAlignment="1">
      <alignment horizontal="center"/>
    </xf>
    <xf numFmtId="0" fontId="64" fillId="18" borderId="739" xfId="0" applyFont="1" applyFill="1" applyBorder="1" applyAlignment="1">
      <alignment horizontal="left"/>
    </xf>
    <xf numFmtId="0" fontId="64" fillId="18" borderId="740" xfId="0" applyFont="1" applyFill="1" applyBorder="1" applyAlignment="1">
      <alignment horizontal="left"/>
    </xf>
    <xf numFmtId="3" fontId="64" fillId="18" borderId="741" xfId="15" applyFont="1" applyFill="1" applyBorder="1" applyAlignment="1" applyProtection="1"/>
    <xf numFmtId="3" fontId="70" fillId="10" borderId="745" xfId="1" applyNumberFormat="1" applyFont="1" applyFill="1" applyBorder="1" applyAlignment="1" applyProtection="1"/>
    <xf numFmtId="1" fontId="42" fillId="3" borderId="746" xfId="15" applyNumberFormat="1" applyFont="1" applyFill="1" applyBorder="1" applyAlignment="1" applyProtection="1">
      <alignment horizontal="center"/>
    </xf>
    <xf numFmtId="0" fontId="64" fillId="18" borderId="695" xfId="0" applyFont="1" applyFill="1" applyBorder="1" applyAlignment="1">
      <alignment horizontal="left"/>
    </xf>
    <xf numFmtId="0" fontId="0" fillId="3" borderId="747" xfId="0" applyFill="1" applyBorder="1" applyAlignment="1">
      <alignment horizontal="center"/>
    </xf>
    <xf numFmtId="0" fontId="0" fillId="3" borderId="738" xfId="0" applyFill="1" applyBorder="1" applyAlignment="1">
      <alignment horizontal="left"/>
    </xf>
    <xf numFmtId="0" fontId="0" fillId="3" borderId="738" xfId="0" applyFill="1" applyBorder="1" applyAlignment="1">
      <alignment horizontal="center"/>
    </xf>
    <xf numFmtId="175" fontId="0" fillId="3" borderId="738" xfId="0" applyNumberFormat="1" applyFill="1" applyBorder="1" applyAlignment="1">
      <alignment horizontal="center"/>
    </xf>
    <xf numFmtId="0" fontId="0" fillId="3" borderId="738" xfId="0" applyFill="1" applyBorder="1" applyAlignment="1">
      <alignment horizontal="center" vertical="top" wrapText="1"/>
    </xf>
    <xf numFmtId="0" fontId="0" fillId="3" borderId="748" xfId="0" applyFill="1" applyBorder="1" applyAlignment="1">
      <alignment horizontal="center" vertical="center" wrapText="1"/>
    </xf>
    <xf numFmtId="0" fontId="0" fillId="3" borderId="738" xfId="0" applyFill="1" applyBorder="1" applyAlignment="1">
      <alignment horizontal="center" wrapText="1"/>
    </xf>
    <xf numFmtId="0" fontId="0" fillId="3" borderId="737" xfId="0" applyFill="1" applyBorder="1" applyAlignment="1">
      <alignment horizontal="center" wrapText="1"/>
    </xf>
    <xf numFmtId="0" fontId="170" fillId="11" borderId="749" xfId="0" applyFont="1" applyFill="1" applyBorder="1" applyAlignment="1">
      <alignment horizontal="center" vertical="top" wrapText="1"/>
    </xf>
    <xf numFmtId="0" fontId="170" fillId="11" borderId="750" xfId="0" applyFont="1" applyFill="1" applyBorder="1" applyAlignment="1">
      <alignment horizontal="center" vertical="top" wrapText="1"/>
    </xf>
    <xf numFmtId="0" fontId="34" fillId="33" borderId="683" xfId="0" applyFont="1" applyFill="1" applyBorder="1" applyProtection="1">
      <protection locked="0"/>
    </xf>
    <xf numFmtId="4" fontId="34" fillId="33" borderId="683" xfId="0" applyNumberFormat="1" applyFont="1" applyFill="1" applyBorder="1" applyProtection="1">
      <protection locked="0"/>
    </xf>
    <xf numFmtId="3" fontId="34" fillId="33" borderId="683" xfId="1" applyNumberFormat="1" applyFont="1" applyFill="1" applyBorder="1" applyAlignment="1" applyProtection="1">
      <alignment horizontal="right"/>
      <protection locked="0"/>
    </xf>
    <xf numFmtId="3" fontId="34" fillId="33" borderId="751" xfId="1" applyNumberFormat="1" applyFont="1" applyFill="1" applyBorder="1" applyAlignment="1" applyProtection="1">
      <alignment horizontal="right"/>
      <protection locked="0"/>
    </xf>
    <xf numFmtId="0" fontId="0" fillId="0" borderId="598" xfId="0" applyBorder="1" applyProtection="1">
      <protection locked="0"/>
    </xf>
    <xf numFmtId="0" fontId="0" fillId="0" borderId="599" xfId="0" applyBorder="1" applyProtection="1">
      <protection locked="0"/>
    </xf>
    <xf numFmtId="0" fontId="66" fillId="10" borderId="752" xfId="0" applyFont="1" applyFill="1" applyBorder="1" applyAlignment="1">
      <alignment horizontal="left"/>
    </xf>
    <xf numFmtId="0" fontId="66" fillId="10" borderId="714" xfId="0" applyFont="1" applyFill="1" applyBorder="1"/>
    <xf numFmtId="175" fontId="66" fillId="24" borderId="714" xfId="0" applyNumberFormat="1" applyFont="1" applyFill="1" applyBorder="1"/>
    <xf numFmtId="0" fontId="66" fillId="24" borderId="714" xfId="0" applyFont="1" applyFill="1" applyBorder="1"/>
    <xf numFmtId="0" fontId="66" fillId="24" borderId="714" xfId="0" applyFont="1" applyFill="1" applyBorder="1" applyAlignment="1">
      <alignment horizontal="center"/>
    </xf>
    <xf numFmtId="3" fontId="66" fillId="24" borderId="753" xfId="1" applyNumberFormat="1" applyFont="1" applyFill="1" applyBorder="1" applyAlignment="1" applyProtection="1"/>
    <xf numFmtId="3" fontId="66" fillId="10" borderId="178" xfId="1" applyNumberFormat="1" applyFont="1" applyFill="1" applyBorder="1" applyAlignment="1" applyProtection="1"/>
    <xf numFmtId="0" fontId="170" fillId="11" borderId="598" xfId="0" applyFont="1" applyFill="1" applyBorder="1" applyAlignment="1">
      <alignment horizontal="center" vertical="top" wrapText="1"/>
    </xf>
    <xf numFmtId="0" fontId="170" fillId="11" borderId="599" xfId="0" applyFont="1" applyFill="1" applyBorder="1" applyAlignment="1">
      <alignment horizontal="center" vertical="top" wrapText="1"/>
    </xf>
    <xf numFmtId="0" fontId="66" fillId="10" borderId="754" xfId="0" applyFont="1" applyFill="1" applyBorder="1" applyAlignment="1">
      <alignment horizontal="left"/>
    </xf>
    <xf numFmtId="0" fontId="66" fillId="10" borderId="675" xfId="0" applyFont="1" applyFill="1" applyBorder="1"/>
    <xf numFmtId="3" fontId="66" fillId="10" borderId="755" xfId="1" applyNumberFormat="1" applyFont="1" applyFill="1" applyBorder="1" applyAlignment="1" applyProtection="1"/>
    <xf numFmtId="175" fontId="66" fillId="24" borderId="675" xfId="0" applyNumberFormat="1" applyFont="1" applyFill="1" applyBorder="1"/>
    <xf numFmtId="0" fontId="66" fillId="24" borderId="675" xfId="0" applyFont="1" applyFill="1" applyBorder="1"/>
    <xf numFmtId="0" fontId="66" fillId="24" borderId="675" xfId="0" applyFont="1" applyFill="1" applyBorder="1" applyAlignment="1">
      <alignment horizontal="center"/>
    </xf>
    <xf numFmtId="3" fontId="66" fillId="10" borderId="683" xfId="1" applyNumberFormat="1" applyFont="1" applyFill="1" applyBorder="1" applyAlignment="1" applyProtection="1"/>
    <xf numFmtId="3" fontId="66" fillId="10" borderId="756" xfId="1" applyNumberFormat="1" applyFont="1" applyFill="1" applyBorder="1" applyAlignment="1" applyProtection="1"/>
    <xf numFmtId="3" fontId="66" fillId="10" borderId="598" xfId="1" applyNumberFormat="1" applyFont="1" applyFill="1" applyBorder="1" applyAlignment="1" applyProtection="1"/>
    <xf numFmtId="3" fontId="66" fillId="10" borderId="599" xfId="1" applyNumberFormat="1" applyFont="1" applyFill="1" applyBorder="1" applyAlignment="1" applyProtection="1"/>
    <xf numFmtId="38" fontId="0" fillId="0" borderId="598" xfId="3" applyNumberFormat="1" applyFont="1" applyFill="1" applyBorder="1" applyAlignment="1" applyProtection="1">
      <protection locked="0"/>
    </xf>
    <xf numFmtId="38" fontId="0" fillId="0" borderId="599" xfId="20" applyNumberFormat="1" applyFont="1" applyBorder="1" applyProtection="1">
      <protection locked="0"/>
    </xf>
    <xf numFmtId="3" fontId="66" fillId="10" borderId="680" xfId="1" applyNumberFormat="1" applyFont="1" applyFill="1" applyBorder="1" applyAlignment="1" applyProtection="1"/>
    <xf numFmtId="0" fontId="66" fillId="10" borderId="757" xfId="0" applyFont="1" applyFill="1" applyBorder="1" applyAlignment="1">
      <alignment horizontal="left"/>
    </xf>
    <xf numFmtId="0" fontId="66" fillId="10" borderId="758" xfId="0" applyFont="1" applyFill="1" applyBorder="1"/>
    <xf numFmtId="3" fontId="66" fillId="10" borderId="758" xfId="1" applyNumberFormat="1" applyFont="1" applyFill="1" applyBorder="1" applyAlignment="1" applyProtection="1"/>
    <xf numFmtId="175" fontId="66" fillId="24" borderId="758" xfId="0" applyNumberFormat="1" applyFont="1" applyFill="1" applyBorder="1"/>
    <xf numFmtId="0" fontId="66" fillId="24" borderId="758" xfId="0" applyFont="1" applyFill="1" applyBorder="1"/>
    <xf numFmtId="0" fontId="66" fillId="24" borderId="758" xfId="0" applyFont="1" applyFill="1" applyBorder="1" applyAlignment="1">
      <alignment horizontal="center"/>
    </xf>
    <xf numFmtId="3" fontId="66" fillId="10" borderId="759" xfId="1" applyNumberFormat="1" applyFont="1" applyFill="1" applyBorder="1" applyAlignment="1" applyProtection="1"/>
    <xf numFmtId="3" fontId="66" fillId="10" borderId="513" xfId="1" applyNumberFormat="1" applyFont="1" applyFill="1" applyBorder="1" applyAlignment="1" applyProtection="1"/>
    <xf numFmtId="3" fontId="66" fillId="10" borderId="760" xfId="1" applyNumberFormat="1" applyFont="1" applyFill="1" applyBorder="1" applyAlignment="1" applyProtection="1"/>
    <xf numFmtId="0" fontId="68" fillId="18" borderId="732" xfId="0" applyFont="1" applyFill="1" applyBorder="1" applyAlignment="1">
      <alignment horizontal="left"/>
    </xf>
    <xf numFmtId="0" fontId="66" fillId="18" borderId="761" xfId="0" applyFont="1" applyFill="1" applyBorder="1"/>
    <xf numFmtId="3" fontId="66" fillId="18" borderId="762" xfId="1" applyNumberFormat="1" applyFont="1" applyFill="1" applyBorder="1" applyAlignment="1" applyProtection="1"/>
    <xf numFmtId="175" fontId="66" fillId="18" borderId="763" xfId="0" applyNumberFormat="1" applyFont="1" applyFill="1" applyBorder="1"/>
    <xf numFmtId="0" fontId="66" fillId="18" borderId="763" xfId="0" applyFont="1" applyFill="1" applyBorder="1"/>
    <xf numFmtId="0" fontId="66" fillId="18" borderId="764" xfId="0" applyFont="1" applyFill="1" applyBorder="1" applyAlignment="1">
      <alignment horizontal="center"/>
    </xf>
    <xf numFmtId="175" fontId="66" fillId="18" borderId="762" xfId="0" applyNumberFormat="1" applyFont="1" applyFill="1" applyBorder="1" applyAlignment="1">
      <alignment horizontal="right"/>
    </xf>
    <xf numFmtId="3" fontId="68" fillId="10" borderId="765" xfId="1" applyNumberFormat="1" applyFont="1" applyFill="1" applyBorder="1" applyAlignment="1" applyProtection="1"/>
    <xf numFmtId="3" fontId="66" fillId="24" borderId="766" xfId="1" applyNumberFormat="1" applyFont="1" applyFill="1" applyBorder="1" applyAlignment="1" applyProtection="1"/>
    <xf numFmtId="0" fontId="66" fillId="18" borderId="752" xfId="0" applyFont="1" applyFill="1" applyBorder="1"/>
    <xf numFmtId="0" fontId="66" fillId="18" borderId="714" xfId="0" applyFont="1" applyFill="1" applyBorder="1"/>
    <xf numFmtId="0" fontId="0" fillId="3" borderId="767" xfId="0" applyFill="1" applyBorder="1" applyAlignment="1">
      <alignment vertical="top" wrapText="1"/>
    </xf>
    <xf numFmtId="0" fontId="0" fillId="16" borderId="768" xfId="0" applyFill="1" applyBorder="1" applyAlignment="1">
      <alignment vertical="top" wrapText="1"/>
    </xf>
    <xf numFmtId="1" fontId="0" fillId="16" borderId="769" xfId="15" applyNumberFormat="1" applyFont="1" applyFill="1" applyBorder="1" applyAlignment="1" applyProtection="1">
      <alignment horizontal="center" vertical="top" wrapText="1"/>
    </xf>
    <xf numFmtId="1" fontId="0" fillId="16" borderId="770" xfId="15" applyNumberFormat="1" applyFont="1" applyFill="1" applyBorder="1" applyAlignment="1" applyProtection="1">
      <alignment horizontal="center" vertical="top" wrapText="1"/>
    </xf>
    <xf numFmtId="3" fontId="68" fillId="10" borderId="771" xfId="0" applyNumberFormat="1" applyFont="1" applyFill="1" applyBorder="1"/>
    <xf numFmtId="0" fontId="0" fillId="0" borderId="313" xfId="0" applyBorder="1"/>
    <xf numFmtId="0" fontId="91" fillId="0" borderId="772" xfId="58" applyFont="1" applyBorder="1" applyAlignment="1">
      <alignment horizontal="centerContinuous"/>
    </xf>
    <xf numFmtId="0" fontId="91" fillId="0" borderId="476" xfId="58" applyFont="1" applyBorder="1" applyAlignment="1">
      <alignment horizontal="centerContinuous"/>
    </xf>
    <xf numFmtId="0" fontId="91" fillId="0" borderId="477" xfId="58" applyFont="1" applyBorder="1" applyAlignment="1">
      <alignment horizontal="centerContinuous"/>
    </xf>
    <xf numFmtId="0" fontId="2" fillId="0" borderId="771" xfId="0" applyFont="1" applyBorder="1"/>
    <xf numFmtId="0" fontId="2" fillId="0" borderId="771" xfId="0" applyFont="1" applyBorder="1" applyAlignment="1">
      <alignment horizontal="center"/>
    </xf>
    <xf numFmtId="1" fontId="2" fillId="0" borderId="771" xfId="0" applyNumberFormat="1" applyFont="1" applyBorder="1" applyAlignment="1">
      <alignment horizontal="center"/>
    </xf>
    <xf numFmtId="0" fontId="0" fillId="0" borderId="771" xfId="0" applyBorder="1"/>
    <xf numFmtId="0" fontId="0" fillId="0" borderId="771" xfId="0" applyBorder="1" applyAlignment="1">
      <alignment horizontal="center"/>
    </xf>
    <xf numFmtId="1" fontId="0" fillId="0" borderId="771" xfId="0" applyNumberFormat="1" applyBorder="1" applyAlignment="1">
      <alignment horizontal="center"/>
    </xf>
    <xf numFmtId="0" fontId="83" fillId="0" borderId="773" xfId="58" applyFont="1" applyBorder="1" applyAlignment="1">
      <alignment horizontal="center"/>
    </xf>
    <xf numFmtId="0" fontId="83" fillId="0" borderId="774" xfId="58" applyFont="1" applyBorder="1" applyAlignment="1">
      <alignment horizontal="center"/>
    </xf>
    <xf numFmtId="3" fontId="4" fillId="0" borderId="775" xfId="48" applyFont="1" applyBorder="1" applyAlignment="1">
      <alignment horizontal="center"/>
    </xf>
    <xf numFmtId="0" fontId="2" fillId="14" borderId="776" xfId="0" applyFont="1" applyFill="1" applyBorder="1"/>
    <xf numFmtId="0" fontId="17" fillId="14" borderId="777" xfId="0" applyFont="1" applyFill="1" applyBorder="1" applyAlignment="1">
      <alignment horizontal="center"/>
    </xf>
    <xf numFmtId="0" fontId="0" fillId="7" borderId="778" xfId="0" applyFill="1" applyBorder="1"/>
    <xf numFmtId="3" fontId="16" fillId="7" borderId="680" xfId="0" applyNumberFormat="1" applyFont="1" applyFill="1" applyBorder="1"/>
    <xf numFmtId="0" fontId="0" fillId="7" borderId="779" xfId="0" applyFill="1" applyBorder="1"/>
    <xf numFmtId="3" fontId="16" fillId="7" borderId="780" xfId="0" applyNumberFormat="1" applyFont="1" applyFill="1" applyBorder="1"/>
    <xf numFmtId="0" fontId="0" fillId="7" borderId="251" xfId="0" applyFill="1" applyBorder="1"/>
    <xf numFmtId="3" fontId="0" fillId="0" borderId="781" xfId="15" applyFont="1" applyFill="1" applyBorder="1" applyAlignment="1" applyProtection="1">
      <alignment horizontal="center"/>
    </xf>
    <xf numFmtId="0" fontId="15" fillId="0" borderId="782" xfId="0" applyFont="1" applyBorder="1" applyAlignment="1" applyProtection="1">
      <alignment horizontal="right" vertical="top" wrapText="1" readingOrder="1"/>
      <protection locked="0"/>
    </xf>
    <xf numFmtId="0" fontId="151" fillId="33" borderId="210" xfId="45" applyFont="1" applyFill="1" applyBorder="1" applyAlignment="1" applyProtection="1">
      <alignment horizontal="center"/>
      <protection locked="0"/>
    </xf>
    <xf numFmtId="0" fontId="97" fillId="33" borderId="784" xfId="45" applyFont="1" applyFill="1" applyBorder="1" applyAlignment="1" applyProtection="1">
      <alignment horizontal="center"/>
      <protection locked="0"/>
    </xf>
    <xf numFmtId="0" fontId="97" fillId="33" borderId="785" xfId="45" applyFont="1" applyFill="1" applyBorder="1" applyAlignment="1" applyProtection="1">
      <alignment horizontal="center"/>
      <protection locked="0"/>
    </xf>
    <xf numFmtId="0" fontId="97" fillId="33" borderId="518" xfId="45" applyFont="1" applyFill="1" applyBorder="1" applyAlignment="1" applyProtection="1">
      <alignment horizontal="center"/>
      <protection locked="0"/>
    </xf>
    <xf numFmtId="170" fontId="79" fillId="33" borderId="518" xfId="45" applyNumberFormat="1" applyFont="1" applyFill="1" applyBorder="1" applyAlignment="1" applyProtection="1">
      <alignment horizontal="center"/>
      <protection locked="0"/>
    </xf>
    <xf numFmtId="3" fontId="97" fillId="7" borderId="772" xfId="46" applyNumberFormat="1" applyFont="1" applyFill="1" applyBorder="1" applyAlignment="1" applyProtection="1"/>
    <xf numFmtId="0" fontId="97" fillId="33" borderId="496" xfId="45" applyFont="1" applyFill="1" applyBorder="1" applyAlignment="1" applyProtection="1">
      <alignment horizontal="center"/>
      <protection locked="0"/>
    </xf>
    <xf numFmtId="0" fontId="97" fillId="33" borderId="508" xfId="45" applyFont="1" applyFill="1" applyBorder="1" applyAlignment="1" applyProtection="1">
      <alignment horizontal="center" wrapText="1"/>
      <protection locked="0"/>
    </xf>
    <xf numFmtId="3" fontId="97" fillId="7" borderId="786" xfId="46" applyNumberFormat="1" applyFont="1" applyFill="1" applyBorder="1" applyAlignment="1" applyProtection="1"/>
    <xf numFmtId="0" fontId="151" fillId="33" borderId="787" xfId="45" applyFont="1" applyFill="1" applyBorder="1" applyAlignment="1" applyProtection="1">
      <alignment horizontal="center"/>
      <protection locked="0"/>
    </xf>
    <xf numFmtId="0" fontId="97" fillId="33" borderId="590" xfId="45" applyFont="1" applyFill="1" applyBorder="1" applyAlignment="1" applyProtection="1">
      <alignment horizontal="center" wrapText="1"/>
      <protection locked="0"/>
    </xf>
    <xf numFmtId="0" fontId="97" fillId="33" borderId="591" xfId="45" applyFont="1" applyFill="1" applyBorder="1" applyAlignment="1" applyProtection="1">
      <alignment horizontal="center" wrapText="1"/>
      <protection locked="0"/>
    </xf>
    <xf numFmtId="0" fontId="97" fillId="45" borderId="590" xfId="45" applyFont="1" applyFill="1" applyBorder="1" applyAlignment="1">
      <alignment horizontal="center"/>
    </xf>
    <xf numFmtId="0" fontId="97" fillId="45" borderId="591" xfId="45" applyFont="1" applyFill="1" applyBorder="1" applyAlignment="1">
      <alignment horizontal="center"/>
    </xf>
    <xf numFmtId="0" fontId="97" fillId="33" borderId="590" xfId="45" applyFont="1" applyFill="1" applyBorder="1" applyAlignment="1" applyProtection="1">
      <alignment horizontal="center"/>
      <protection locked="0"/>
    </xf>
    <xf numFmtId="0" fontId="97" fillId="33" borderId="591" xfId="45" applyFont="1" applyFill="1" applyBorder="1" applyAlignment="1" applyProtection="1">
      <alignment horizontal="center"/>
      <protection locked="0"/>
    </xf>
    <xf numFmtId="0" fontId="97" fillId="33" borderId="788" xfId="45" applyFont="1" applyFill="1" applyBorder="1" applyAlignment="1" applyProtection="1">
      <alignment horizontal="center"/>
      <protection locked="0"/>
    </xf>
    <xf numFmtId="0" fontId="97" fillId="7" borderId="787" xfId="45" applyFont="1" applyFill="1" applyBorder="1" applyAlignment="1">
      <alignment horizontal="center"/>
    </xf>
    <xf numFmtId="3" fontId="97" fillId="7" borderId="789" xfId="46" applyNumberFormat="1" applyFont="1" applyFill="1" applyBorder="1" applyAlignment="1" applyProtection="1"/>
    <xf numFmtId="3" fontId="97" fillId="7" borderId="790" xfId="46" applyNumberFormat="1" applyFont="1" applyFill="1" applyBorder="1" applyAlignment="1" applyProtection="1"/>
    <xf numFmtId="4" fontId="97" fillId="33" borderId="793" xfId="45" applyNumberFormat="1" applyFont="1" applyFill="1" applyBorder="1" applyAlignment="1" applyProtection="1">
      <alignment horizontal="center"/>
      <protection locked="0"/>
    </xf>
    <xf numFmtId="0" fontId="151" fillId="33" borderId="787" xfId="45" applyFont="1" applyFill="1" applyBorder="1" applyAlignment="1" applyProtection="1">
      <alignment horizontal="center" wrapText="1"/>
      <protection locked="0"/>
    </xf>
    <xf numFmtId="4" fontId="97" fillId="30" borderId="793" xfId="1" applyFont="1" applyFill="1" applyBorder="1" applyAlignment="1" applyProtection="1">
      <alignment horizontal="center"/>
    </xf>
    <xf numFmtId="4" fontId="155" fillId="10" borderId="793" xfId="1" applyFont="1" applyFill="1" applyBorder="1" applyAlignment="1" applyProtection="1"/>
    <xf numFmtId="3" fontId="97" fillId="7" borderId="794" xfId="46" applyNumberFormat="1" applyFont="1" applyFill="1" applyBorder="1" applyAlignment="1">
      <alignment horizontal="right"/>
    </xf>
    <xf numFmtId="0" fontId="151" fillId="33" borderId="202" xfId="45" applyFont="1" applyFill="1" applyBorder="1" applyAlignment="1" applyProtection="1">
      <alignment horizontal="center" wrapText="1"/>
      <protection locked="0"/>
    </xf>
    <xf numFmtId="0" fontId="4" fillId="0" borderId="791" xfId="0" applyFont="1" applyBorder="1"/>
    <xf numFmtId="0" fontId="70" fillId="10" borderId="791" xfId="0" applyFont="1" applyFill="1" applyBorder="1"/>
    <xf numFmtId="0" fontId="4" fillId="0" borderId="791" xfId="0" applyFont="1" applyBorder="1" applyAlignment="1">
      <alignment horizontal="right"/>
    </xf>
    <xf numFmtId="0" fontId="101" fillId="6" borderId="791" xfId="0" applyFont="1" applyFill="1" applyBorder="1"/>
    <xf numFmtId="3" fontId="97" fillId="7" borderId="796" xfId="46" applyNumberFormat="1" applyFont="1" applyFill="1" applyBorder="1" applyAlignment="1"/>
    <xf numFmtId="0" fontId="87" fillId="85" borderId="0" xfId="45" applyFont="1" applyFill="1" applyAlignment="1">
      <alignment horizontal="center"/>
    </xf>
    <xf numFmtId="0" fontId="87" fillId="85" borderId="0" xfId="45" applyFont="1" applyFill="1"/>
    <xf numFmtId="0" fontId="187" fillId="85" borderId="0" xfId="45" applyFont="1" applyFill="1"/>
    <xf numFmtId="3" fontId="4" fillId="3" borderId="801" xfId="15" applyFont="1" applyFill="1" applyBorder="1" applyAlignment="1" applyProtection="1">
      <alignment horizontal="center" vertical="center" wrapText="1"/>
    </xf>
    <xf numFmtId="3" fontId="4" fillId="3" borderId="187" xfId="15" applyFont="1" applyFill="1" applyBorder="1" applyAlignment="1" applyProtection="1">
      <alignment horizontal="center" vertical="center" wrapText="1"/>
    </xf>
    <xf numFmtId="3" fontId="137" fillId="51" borderId="508" xfId="0" applyNumberFormat="1" applyFont="1" applyFill="1" applyBorder="1" applyProtection="1">
      <protection locked="0"/>
    </xf>
    <xf numFmtId="3" fontId="137" fillId="51" borderId="504" xfId="0" applyNumberFormat="1" applyFont="1" applyFill="1" applyBorder="1" applyProtection="1">
      <protection locked="0"/>
    </xf>
    <xf numFmtId="3" fontId="137" fillId="51" borderId="470" xfId="0" applyNumberFormat="1" applyFont="1" applyFill="1" applyBorder="1" applyProtection="1">
      <protection locked="0"/>
    </xf>
    <xf numFmtId="3" fontId="137" fillId="51" borderId="591" xfId="0" applyNumberFormat="1" applyFont="1" applyFill="1" applyBorder="1" applyProtection="1">
      <protection locked="0"/>
    </xf>
    <xf numFmtId="3" fontId="134" fillId="11" borderId="590" xfId="0" applyNumberFormat="1" applyFont="1" applyFill="1" applyBorder="1"/>
    <xf numFmtId="3" fontId="134" fillId="11" borderId="591" xfId="0" applyNumberFormat="1" applyFont="1" applyFill="1" applyBorder="1"/>
    <xf numFmtId="3" fontId="136" fillId="51" borderId="525" xfId="0" applyNumberFormat="1" applyFont="1" applyFill="1" applyBorder="1" applyProtection="1">
      <protection locked="0"/>
    </xf>
    <xf numFmtId="3" fontId="137" fillId="51" borderId="525" xfId="0" applyNumberFormat="1" applyFont="1" applyFill="1" applyBorder="1" applyProtection="1">
      <protection locked="0"/>
    </xf>
    <xf numFmtId="3" fontId="137" fillId="51" borderId="786" xfId="0" applyNumberFormat="1" applyFont="1" applyFill="1" applyBorder="1" applyProtection="1">
      <protection locked="0"/>
    </xf>
    <xf numFmtId="3" fontId="137" fillId="51" borderId="802" xfId="0" applyNumberFormat="1" applyFont="1" applyFill="1" applyBorder="1" applyProtection="1">
      <protection locked="0"/>
    </xf>
    <xf numFmtId="3" fontId="137" fillId="51" borderId="205" xfId="0" applyNumberFormat="1" applyFont="1" applyFill="1" applyBorder="1" applyProtection="1">
      <protection locked="0"/>
    </xf>
    <xf numFmtId="3" fontId="137" fillId="51" borderId="792" xfId="0" applyNumberFormat="1" applyFont="1" applyFill="1" applyBorder="1" applyProtection="1">
      <protection locked="0"/>
    </xf>
    <xf numFmtId="3" fontId="137" fillId="51" borderId="790" xfId="0" applyNumberFormat="1" applyFont="1" applyFill="1" applyBorder="1" applyProtection="1">
      <protection locked="0"/>
    </xf>
    <xf numFmtId="3" fontId="134" fillId="11" borderId="525" xfId="0" applyNumberFormat="1" applyFont="1" applyFill="1" applyBorder="1"/>
    <xf numFmtId="3" fontId="134" fillId="11" borderId="790" xfId="0" applyNumberFormat="1" applyFont="1" applyFill="1" applyBorder="1"/>
    <xf numFmtId="3" fontId="102" fillId="0" borderId="0" xfId="15" applyFont="1" applyFill="1" applyBorder="1" applyAlignment="1" applyProtection="1"/>
    <xf numFmtId="3" fontId="88" fillId="0" borderId="0" xfId="15" applyFont="1" applyFill="1" applyBorder="1" applyAlignment="1" applyProtection="1">
      <alignment horizontal="center"/>
    </xf>
    <xf numFmtId="3" fontId="101" fillId="0" borderId="0" xfId="15" applyFont="1" applyFill="1" applyBorder="1" applyAlignment="1" applyProtection="1">
      <alignment horizontal="center" vertical="top" wrapText="1"/>
    </xf>
    <xf numFmtId="4" fontId="101" fillId="0" borderId="0" xfId="15" applyNumberFormat="1" applyFont="1" applyFill="1" applyBorder="1" applyAlignment="1" applyProtection="1"/>
    <xf numFmtId="3" fontId="88" fillId="6" borderId="0" xfId="15" applyFont="1" applyFill="1" applyBorder="1" applyAlignment="1" applyProtection="1"/>
    <xf numFmtId="0" fontId="101" fillId="0" borderId="0" xfId="0" applyFont="1"/>
    <xf numFmtId="3" fontId="101" fillId="6" borderId="0" xfId="0" applyNumberFormat="1" applyFont="1" applyFill="1"/>
    <xf numFmtId="4" fontId="0" fillId="0" borderId="0" xfId="0" applyNumberFormat="1"/>
    <xf numFmtId="4" fontId="0" fillId="0" borderId="0" xfId="15" applyNumberFormat="1" applyFont="1" applyFill="1" applyBorder="1" applyAlignment="1" applyProtection="1"/>
    <xf numFmtId="4" fontId="38" fillId="0" borderId="0" xfId="15" applyNumberFormat="1" applyFont="1" applyFill="1" applyBorder="1" applyAlignment="1" applyProtection="1">
      <alignment horizontal="center"/>
    </xf>
    <xf numFmtId="4" fontId="4" fillId="0" borderId="0" xfId="15" applyNumberFormat="1" applyFont="1" applyFill="1" applyBorder="1" applyAlignment="1" applyProtection="1">
      <alignment horizontal="center" vertical="top" wrapText="1"/>
    </xf>
    <xf numFmtId="4" fontId="4" fillId="0" borderId="0" xfId="15" applyNumberFormat="1" applyFont="1" applyFill="1" applyBorder="1" applyAlignment="1" applyProtection="1"/>
    <xf numFmtId="4" fontId="138" fillId="0" borderId="0" xfId="15" applyNumberFormat="1" applyFont="1" applyFill="1" applyBorder="1" applyAlignment="1" applyProtection="1"/>
    <xf numFmtId="4" fontId="4" fillId="0" borderId="0" xfId="0" applyNumberFormat="1" applyFont="1"/>
    <xf numFmtId="4" fontId="4" fillId="6" borderId="791" xfId="0" applyNumberFormat="1" applyFont="1" applyFill="1" applyBorder="1"/>
    <xf numFmtId="0" fontId="97" fillId="7" borderId="804" xfId="45" applyFont="1" applyFill="1" applyBorder="1" applyAlignment="1">
      <alignment horizontal="left"/>
    </xf>
    <xf numFmtId="0" fontId="97" fillId="33" borderId="796" xfId="45" applyFont="1" applyFill="1" applyBorder="1" applyAlignment="1" applyProtection="1">
      <alignment horizontal="center"/>
      <protection locked="0"/>
    </xf>
    <xf numFmtId="4" fontId="97" fillId="33" borderId="796" xfId="46" applyNumberFormat="1" applyFont="1" applyFill="1" applyBorder="1" applyAlignment="1" applyProtection="1">
      <alignment horizontal="center"/>
      <protection locked="0"/>
    </xf>
    <xf numFmtId="176" fontId="97" fillId="7" borderId="796" xfId="45" applyNumberFormat="1" applyFont="1" applyFill="1" applyBorder="1" applyAlignment="1">
      <alignment horizontal="center"/>
    </xf>
    <xf numFmtId="0" fontId="97" fillId="7" borderId="796" xfId="45" applyFont="1" applyFill="1" applyBorder="1" applyAlignment="1">
      <alignment horizontal="center"/>
    </xf>
    <xf numFmtId="170" fontId="97" fillId="33" borderId="796" xfId="45" applyNumberFormat="1" applyFont="1" applyFill="1" applyBorder="1" applyAlignment="1" applyProtection="1">
      <alignment horizontal="center"/>
      <protection locked="0"/>
    </xf>
    <xf numFmtId="170" fontId="97" fillId="62" borderId="796" xfId="45" applyNumberFormat="1" applyFont="1" applyFill="1" applyBorder="1" applyAlignment="1" applyProtection="1">
      <alignment horizontal="center"/>
      <protection locked="0"/>
    </xf>
    <xf numFmtId="3" fontId="97" fillId="7" borderId="796" xfId="46" applyNumberFormat="1" applyFont="1" applyFill="1" applyBorder="1" applyAlignment="1">
      <alignment horizontal="right"/>
    </xf>
    <xf numFmtId="3" fontId="97" fillId="61" borderId="796" xfId="46" applyNumberFormat="1" applyFont="1" applyFill="1" applyBorder="1" applyAlignment="1">
      <alignment horizontal="right"/>
    </xf>
    <xf numFmtId="3" fontId="97" fillId="33" borderId="796" xfId="46" applyNumberFormat="1" applyFont="1" applyFill="1" applyBorder="1" applyAlignment="1" applyProtection="1">
      <protection locked="0"/>
    </xf>
    <xf numFmtId="4" fontId="97" fillId="33" borderId="796" xfId="46" applyNumberFormat="1" applyFont="1" applyFill="1" applyBorder="1" applyAlignment="1" applyProtection="1">
      <protection locked="0"/>
    </xf>
    <xf numFmtId="3" fontId="97" fillId="7" borderId="796" xfId="46" applyNumberFormat="1" applyFont="1" applyFill="1" applyBorder="1" applyAlignment="1" applyProtection="1"/>
    <xf numFmtId="2" fontId="97" fillId="33" borderId="796" xfId="46" applyNumberFormat="1" applyFont="1" applyFill="1" applyBorder="1" applyAlignment="1" applyProtection="1">
      <protection locked="0"/>
    </xf>
    <xf numFmtId="0" fontId="151" fillId="33" borderId="805" xfId="45" applyFont="1" applyFill="1" applyBorder="1" applyAlignment="1" applyProtection="1">
      <alignment horizontal="center"/>
      <protection locked="0"/>
    </xf>
    <xf numFmtId="0" fontId="151" fillId="33" borderId="806" xfId="45" applyFont="1" applyFill="1" applyBorder="1" applyAlignment="1" applyProtection="1">
      <alignment horizontal="center"/>
      <protection locked="0"/>
    </xf>
    <xf numFmtId="0" fontId="97" fillId="33" borderId="807" xfId="45" applyFont="1" applyFill="1" applyBorder="1" applyAlignment="1" applyProtection="1">
      <alignment horizontal="center" wrapText="1"/>
      <protection locked="0"/>
    </xf>
    <xf numFmtId="0" fontId="97" fillId="33" borderId="808" xfId="45" applyFont="1" applyFill="1" applyBorder="1" applyAlignment="1" applyProtection="1">
      <alignment horizontal="center" wrapText="1"/>
      <protection locked="0"/>
    </xf>
    <xf numFmtId="0" fontId="97" fillId="33" borderId="807" xfId="45" applyFont="1" applyFill="1" applyBorder="1" applyAlignment="1" applyProtection="1">
      <alignment horizontal="center"/>
      <protection locked="0"/>
    </xf>
    <xf numFmtId="0" fontId="97" fillId="33" borderId="809" xfId="45" applyFont="1" applyFill="1" applyBorder="1" applyAlignment="1" applyProtection="1">
      <alignment horizontal="center"/>
      <protection locked="0"/>
    </xf>
    <xf numFmtId="0" fontId="97" fillId="45" borderId="810" xfId="45" applyFont="1" applyFill="1" applyBorder="1" applyAlignment="1">
      <alignment horizontal="center"/>
    </xf>
    <xf numFmtId="0" fontId="97" fillId="45" borderId="811" xfId="45" applyFont="1" applyFill="1" applyBorder="1" applyAlignment="1">
      <alignment horizontal="center"/>
    </xf>
    <xf numFmtId="0" fontId="97" fillId="33" borderId="810" xfId="45" applyFont="1" applyFill="1" applyBorder="1" applyAlignment="1" applyProtection="1">
      <alignment horizontal="center"/>
      <protection locked="0"/>
    </xf>
    <xf numFmtId="0" fontId="97" fillId="33" borderId="811" xfId="45" applyFont="1" applyFill="1" applyBorder="1" applyAlignment="1" applyProtection="1">
      <alignment horizontal="center"/>
      <protection locked="0"/>
    </xf>
    <xf numFmtId="0" fontId="97" fillId="33" borderId="812" xfId="45" applyFont="1" applyFill="1" applyBorder="1" applyAlignment="1" applyProtection="1">
      <alignment horizontal="center"/>
      <protection locked="0"/>
    </xf>
    <xf numFmtId="0" fontId="97" fillId="33" borderId="813" xfId="45" applyFont="1" applyFill="1" applyBorder="1" applyAlignment="1" applyProtection="1">
      <alignment horizontal="center"/>
      <protection locked="0"/>
    </xf>
    <xf numFmtId="0" fontId="97" fillId="33" borderId="814" xfId="45" applyFont="1" applyFill="1" applyBorder="1" applyAlignment="1" applyProtection="1">
      <alignment horizontal="center"/>
      <protection locked="0"/>
    </xf>
    <xf numFmtId="0" fontId="97" fillId="33" borderId="815" xfId="45" applyFont="1" applyFill="1" applyBorder="1" applyAlignment="1" applyProtection="1">
      <alignment horizontal="center"/>
      <protection locked="0"/>
    </xf>
    <xf numFmtId="0" fontId="97" fillId="7" borderId="816" xfId="45" applyFont="1" applyFill="1" applyBorder="1" applyAlignment="1">
      <alignment horizontal="center"/>
    </xf>
    <xf numFmtId="0" fontId="97" fillId="7" borderId="817" xfId="45" applyFont="1" applyFill="1" applyBorder="1" applyAlignment="1">
      <alignment horizontal="center"/>
    </xf>
    <xf numFmtId="0" fontId="97" fillId="33" borderId="818" xfId="45" applyFont="1" applyFill="1" applyBorder="1" applyAlignment="1" applyProtection="1">
      <alignment horizontal="center"/>
      <protection locked="0"/>
    </xf>
    <xf numFmtId="0" fontId="97" fillId="33" borderId="819" xfId="45" applyFont="1" applyFill="1" applyBorder="1" applyAlignment="1" applyProtection="1">
      <alignment horizontal="center"/>
      <protection locked="0"/>
    </xf>
    <xf numFmtId="4" fontId="97" fillId="33" borderId="807" xfId="46" applyNumberFormat="1" applyFont="1" applyFill="1" applyBorder="1" applyAlignment="1" applyProtection="1">
      <alignment horizontal="center"/>
      <protection locked="0"/>
    </xf>
    <xf numFmtId="4" fontId="97" fillId="33" borderId="809" xfId="46" applyNumberFormat="1" applyFont="1" applyFill="1" applyBorder="1" applyAlignment="1" applyProtection="1">
      <alignment horizontal="center"/>
      <protection locked="0"/>
    </xf>
    <xf numFmtId="176" fontId="97" fillId="7" borderId="807" xfId="45" applyNumberFormat="1" applyFont="1" applyFill="1" applyBorder="1" applyAlignment="1">
      <alignment horizontal="center"/>
    </xf>
    <xf numFmtId="176" fontId="97" fillId="7" borderId="809" xfId="45" applyNumberFormat="1" applyFont="1" applyFill="1" applyBorder="1" applyAlignment="1">
      <alignment horizontal="center"/>
    </xf>
    <xf numFmtId="0" fontId="97" fillId="7" borderId="807" xfId="45" applyFont="1" applyFill="1" applyBorder="1" applyAlignment="1">
      <alignment horizontal="center"/>
    </xf>
    <xf numFmtId="0" fontId="97" fillId="7" borderId="809" xfId="45" applyFont="1" applyFill="1" applyBorder="1" applyAlignment="1">
      <alignment horizontal="center"/>
    </xf>
    <xf numFmtId="170" fontId="97" fillId="33" borderId="807" xfId="45" applyNumberFormat="1" applyFont="1" applyFill="1" applyBorder="1" applyAlignment="1" applyProtection="1">
      <alignment horizontal="center"/>
      <protection locked="0"/>
    </xf>
    <xf numFmtId="170" fontId="97" fillId="33" borderId="809" xfId="45" applyNumberFormat="1" applyFont="1" applyFill="1" applyBorder="1" applyAlignment="1" applyProtection="1">
      <alignment horizontal="center"/>
      <protection locked="0"/>
    </xf>
    <xf numFmtId="170" fontId="97" fillId="62" borderId="807" xfId="45" applyNumberFormat="1" applyFont="1" applyFill="1" applyBorder="1" applyAlignment="1" applyProtection="1">
      <alignment horizontal="center"/>
      <protection locked="0"/>
    </xf>
    <xf numFmtId="170" fontId="97" fillId="62" borderId="809" xfId="45" applyNumberFormat="1" applyFont="1" applyFill="1" applyBorder="1" applyAlignment="1" applyProtection="1">
      <alignment horizontal="center"/>
      <protection locked="0"/>
    </xf>
    <xf numFmtId="3" fontId="97" fillId="7" borderId="807" xfId="46" applyNumberFormat="1" applyFont="1" applyFill="1" applyBorder="1" applyAlignment="1">
      <alignment horizontal="right"/>
    </xf>
    <xf numFmtId="3" fontId="97" fillId="7" borderId="809" xfId="46" applyNumberFormat="1" applyFont="1" applyFill="1" applyBorder="1" applyAlignment="1">
      <alignment horizontal="right"/>
    </xf>
    <xf numFmtId="3" fontId="97" fillId="61" borderId="807" xfId="46" applyNumberFormat="1" applyFont="1" applyFill="1" applyBorder="1" applyAlignment="1">
      <alignment horizontal="right"/>
    </xf>
    <xf numFmtId="3" fontId="97" fillId="61" borderId="809" xfId="46" applyNumberFormat="1" applyFont="1" applyFill="1" applyBorder="1" applyAlignment="1">
      <alignment horizontal="right"/>
    </xf>
    <xf numFmtId="3" fontId="97" fillId="7" borderId="820" xfId="46" applyNumberFormat="1" applyFont="1" applyFill="1" applyBorder="1" applyAlignment="1">
      <alignment horizontal="right"/>
    </xf>
    <xf numFmtId="3" fontId="111" fillId="7" borderId="807" xfId="46" applyNumberFormat="1" applyFont="1" applyFill="1" applyBorder="1" applyAlignment="1">
      <alignment horizontal="right"/>
    </xf>
    <xf numFmtId="3" fontId="111" fillId="7" borderId="809" xfId="46" applyNumberFormat="1" applyFont="1" applyFill="1" applyBorder="1" applyAlignment="1">
      <alignment horizontal="right"/>
    </xf>
    <xf numFmtId="3" fontId="97" fillId="33" borderId="807" xfId="46" applyNumberFormat="1" applyFont="1" applyFill="1" applyBorder="1" applyAlignment="1" applyProtection="1">
      <protection locked="0"/>
    </xf>
    <xf numFmtId="3" fontId="97" fillId="33" borderId="809" xfId="46" applyNumberFormat="1" applyFont="1" applyFill="1" applyBorder="1" applyAlignment="1" applyProtection="1">
      <protection locked="0"/>
    </xf>
    <xf numFmtId="3" fontId="97" fillId="33" borderId="820" xfId="46" applyNumberFormat="1" applyFont="1" applyFill="1" applyBorder="1" applyAlignment="1" applyProtection="1">
      <protection locked="0"/>
    </xf>
    <xf numFmtId="3" fontId="97" fillId="7" borderId="807" xfId="46" applyNumberFormat="1" applyFont="1" applyFill="1" applyBorder="1" applyAlignment="1"/>
    <xf numFmtId="3" fontId="97" fillId="7" borderId="820" xfId="46" applyNumberFormat="1" applyFont="1" applyFill="1" applyBorder="1" applyAlignment="1"/>
    <xf numFmtId="3" fontId="97" fillId="7" borderId="809" xfId="46" applyNumberFormat="1" applyFont="1" applyFill="1" applyBorder="1" applyAlignment="1"/>
    <xf numFmtId="4" fontId="97" fillId="33" borderId="807" xfId="46" applyNumberFormat="1" applyFont="1" applyFill="1" applyBorder="1" applyAlignment="1" applyProtection="1">
      <protection locked="0"/>
    </xf>
    <xf numFmtId="4" fontId="97" fillId="33" borderId="809" xfId="46" applyNumberFormat="1" applyFont="1" applyFill="1" applyBorder="1" applyAlignment="1" applyProtection="1">
      <protection locked="0"/>
    </xf>
    <xf numFmtId="3" fontId="97" fillId="7" borderId="807" xfId="46" applyNumberFormat="1" applyFont="1" applyFill="1" applyBorder="1" applyAlignment="1" applyProtection="1"/>
    <xf numFmtId="3" fontId="97" fillId="7" borderId="820" xfId="46" applyNumberFormat="1" applyFont="1" applyFill="1" applyBorder="1" applyAlignment="1" applyProtection="1"/>
    <xf numFmtId="2" fontId="111" fillId="60" borderId="807" xfId="21" applyNumberFormat="1" applyFont="1" applyFill="1" applyBorder="1" applyAlignment="1" applyProtection="1">
      <alignment wrapText="1"/>
      <protection locked="0"/>
    </xf>
    <xf numFmtId="2" fontId="97" fillId="33" borderId="809" xfId="46" applyNumberFormat="1" applyFont="1" applyFill="1" applyBorder="1" applyAlignment="1" applyProtection="1">
      <protection locked="0"/>
    </xf>
    <xf numFmtId="0" fontId="151" fillId="33" borderId="821" xfId="45" applyFont="1" applyFill="1" applyBorder="1" applyAlignment="1" applyProtection="1">
      <alignment horizontal="center"/>
      <protection locked="0"/>
    </xf>
    <xf numFmtId="0" fontId="151" fillId="33" borderId="822" xfId="45" applyFont="1" applyFill="1" applyBorder="1" applyAlignment="1" applyProtection="1">
      <alignment horizontal="center"/>
      <protection locked="0"/>
    </xf>
    <xf numFmtId="0" fontId="97" fillId="33" borderId="793" xfId="45" applyFont="1" applyFill="1" applyBorder="1" applyAlignment="1" applyProtection="1">
      <alignment horizontal="center"/>
      <protection locked="0"/>
    </xf>
    <xf numFmtId="0" fontId="97" fillId="33" borderId="264" xfId="45" applyFont="1" applyFill="1" applyBorder="1" applyAlignment="1" applyProtection="1">
      <alignment horizontal="center"/>
      <protection locked="0"/>
    </xf>
    <xf numFmtId="0" fontId="97" fillId="33" borderId="823" xfId="45" applyFont="1" applyFill="1" applyBorder="1" applyAlignment="1" applyProtection="1">
      <alignment horizontal="center"/>
      <protection locked="0"/>
    </xf>
    <xf numFmtId="0" fontId="97" fillId="33" borderId="821" xfId="45" applyFont="1" applyFill="1" applyBorder="1" applyAlignment="1" applyProtection="1">
      <alignment horizontal="center"/>
      <protection locked="0"/>
    </xf>
    <xf numFmtId="0" fontId="97" fillId="33" borderId="822" xfId="45" applyFont="1" applyFill="1" applyBorder="1" applyAlignment="1" applyProtection="1">
      <alignment horizontal="center"/>
      <protection locked="0"/>
    </xf>
    <xf numFmtId="4" fontId="97" fillId="33" borderId="793" xfId="46" applyNumberFormat="1" applyFont="1" applyFill="1" applyBorder="1" applyAlignment="1" applyProtection="1">
      <alignment horizontal="center"/>
      <protection locked="0"/>
    </xf>
    <xf numFmtId="176" fontId="97" fillId="7" borderId="793" xfId="45" applyNumberFormat="1" applyFont="1" applyFill="1" applyBorder="1" applyAlignment="1">
      <alignment horizontal="center"/>
    </xf>
    <xf numFmtId="0" fontId="97" fillId="7" borderId="793" xfId="45" applyFont="1" applyFill="1" applyBorder="1" applyAlignment="1">
      <alignment horizontal="center"/>
    </xf>
    <xf numFmtId="170" fontId="97" fillId="33" borderId="793" xfId="45" applyNumberFormat="1" applyFont="1" applyFill="1" applyBorder="1" applyAlignment="1" applyProtection="1">
      <alignment horizontal="center"/>
      <protection locked="0"/>
    </xf>
    <xf numFmtId="170" fontId="97" fillId="62" borderId="793" xfId="45" applyNumberFormat="1" applyFont="1" applyFill="1" applyBorder="1" applyAlignment="1" applyProtection="1">
      <alignment horizontal="center"/>
      <protection locked="0"/>
    </xf>
    <xf numFmtId="3" fontId="97" fillId="7" borderId="793" xfId="46" applyNumberFormat="1" applyFont="1" applyFill="1" applyBorder="1" applyAlignment="1">
      <alignment horizontal="right"/>
    </xf>
    <xf numFmtId="3" fontId="97" fillId="61" borderId="793" xfId="46" applyNumberFormat="1" applyFont="1" applyFill="1" applyBorder="1" applyAlignment="1">
      <alignment horizontal="right"/>
    </xf>
    <xf numFmtId="3" fontId="97" fillId="33" borderId="793" xfId="46" applyNumberFormat="1" applyFont="1" applyFill="1" applyBorder="1" applyAlignment="1" applyProtection="1">
      <protection locked="0"/>
    </xf>
    <xf numFmtId="3" fontId="97" fillId="7" borderId="793" xfId="46" applyNumberFormat="1" applyFont="1" applyFill="1" applyBorder="1" applyAlignment="1"/>
    <xf numFmtId="4" fontId="97" fillId="33" borderId="793" xfId="46" applyNumberFormat="1" applyFont="1" applyFill="1" applyBorder="1" applyAlignment="1" applyProtection="1">
      <protection locked="0"/>
    </xf>
    <xf numFmtId="3" fontId="97" fillId="7" borderId="793" xfId="46" applyNumberFormat="1" applyFont="1" applyFill="1" applyBorder="1" applyAlignment="1" applyProtection="1"/>
    <xf numFmtId="2" fontId="97" fillId="33" borderId="793" xfId="46" applyNumberFormat="1" applyFont="1" applyFill="1" applyBorder="1" applyAlignment="1" applyProtection="1">
      <protection locked="0"/>
    </xf>
    <xf numFmtId="3" fontId="97" fillId="7" borderId="824" xfId="46" applyNumberFormat="1" applyFont="1" applyFill="1" applyBorder="1" applyAlignment="1" applyProtection="1"/>
    <xf numFmtId="3" fontId="97" fillId="7" borderId="825" xfId="46" applyNumberFormat="1" applyFont="1" applyFill="1" applyBorder="1" applyAlignment="1" applyProtection="1"/>
    <xf numFmtId="3" fontId="97" fillId="46" borderId="786" xfId="46" applyNumberFormat="1" applyFont="1" applyFill="1" applyBorder="1" applyAlignment="1" applyProtection="1"/>
    <xf numFmtId="3" fontId="97" fillId="46" borderId="790" xfId="46" applyNumberFormat="1" applyFont="1" applyFill="1" applyBorder="1" applyAlignment="1" applyProtection="1"/>
    <xf numFmtId="0" fontId="151" fillId="33" borderId="467" xfId="45" applyFont="1" applyFill="1" applyBorder="1" applyAlignment="1" applyProtection="1">
      <alignment horizontal="center" wrapText="1"/>
      <protection locked="0"/>
    </xf>
    <xf numFmtId="0" fontId="97" fillId="33" borderId="826" xfId="45" applyFont="1" applyFill="1" applyBorder="1" applyAlignment="1" applyProtection="1">
      <alignment horizontal="center"/>
      <protection locked="0"/>
    </xf>
    <xf numFmtId="0" fontId="97" fillId="33" borderId="827" xfId="45" applyFont="1" applyFill="1" applyBorder="1" applyAlignment="1" applyProtection="1">
      <alignment horizontal="center"/>
      <protection locked="0"/>
    </xf>
    <xf numFmtId="0" fontId="97" fillId="33" borderId="794" xfId="45" applyFont="1" applyFill="1" applyBorder="1" applyAlignment="1" applyProtection="1">
      <alignment horizontal="center"/>
      <protection locked="0"/>
    </xf>
    <xf numFmtId="4" fontId="97" fillId="33" borderId="794" xfId="46" applyNumberFormat="1" applyFont="1" applyFill="1" applyBorder="1" applyAlignment="1" applyProtection="1">
      <alignment horizontal="center"/>
      <protection locked="0"/>
    </xf>
    <xf numFmtId="176" fontId="97" fillId="7" borderId="794" xfId="45" applyNumberFormat="1" applyFont="1" applyFill="1" applyBorder="1" applyAlignment="1">
      <alignment horizontal="center"/>
    </xf>
    <xf numFmtId="0" fontId="97" fillId="7" borderId="794" xfId="45" applyFont="1" applyFill="1" applyBorder="1" applyAlignment="1">
      <alignment horizontal="center"/>
    </xf>
    <xf numFmtId="170" fontId="97" fillId="33" borderId="794" xfId="45" applyNumberFormat="1" applyFont="1" applyFill="1" applyBorder="1" applyAlignment="1" applyProtection="1">
      <alignment horizontal="center"/>
      <protection locked="0"/>
    </xf>
    <xf numFmtId="170" fontId="97" fillId="62" borderId="794" xfId="45" applyNumberFormat="1" applyFont="1" applyFill="1" applyBorder="1" applyAlignment="1" applyProtection="1">
      <alignment horizontal="center"/>
      <protection locked="0"/>
    </xf>
    <xf numFmtId="3" fontId="97" fillId="61" borderId="794" xfId="46" applyNumberFormat="1" applyFont="1" applyFill="1" applyBorder="1" applyAlignment="1">
      <alignment horizontal="right"/>
    </xf>
    <xf numFmtId="3" fontId="111" fillId="7" borderId="794" xfId="46" applyNumberFormat="1" applyFont="1" applyFill="1" applyBorder="1" applyAlignment="1">
      <alignment horizontal="right"/>
    </xf>
    <xf numFmtId="3" fontId="111" fillId="7" borderId="793" xfId="46" applyNumberFormat="1" applyFont="1" applyFill="1" applyBorder="1" applyAlignment="1">
      <alignment horizontal="right"/>
    </xf>
    <xf numFmtId="3" fontId="97" fillId="33" borderId="794" xfId="46" applyNumberFormat="1" applyFont="1" applyFill="1" applyBorder="1" applyAlignment="1" applyProtection="1">
      <protection locked="0"/>
    </xf>
    <xf numFmtId="3" fontId="97" fillId="7" borderId="794" xfId="46" applyNumberFormat="1" applyFont="1" applyFill="1" applyBorder="1" applyAlignment="1"/>
    <xf numFmtId="4" fontId="97" fillId="33" borderId="794" xfId="46" applyNumberFormat="1" applyFont="1" applyFill="1" applyBorder="1" applyAlignment="1" applyProtection="1">
      <protection locked="0"/>
    </xf>
    <xf numFmtId="3" fontId="97" fillId="7" borderId="794" xfId="46" applyNumberFormat="1" applyFont="1" applyFill="1" applyBorder="1" applyAlignment="1" applyProtection="1"/>
    <xf numFmtId="2" fontId="97" fillId="33" borderId="794" xfId="46" applyNumberFormat="1" applyFont="1" applyFill="1" applyBorder="1" applyAlignment="1" applyProtection="1">
      <protection locked="0"/>
    </xf>
    <xf numFmtId="3" fontId="97" fillId="7" borderId="828" xfId="46" applyNumberFormat="1" applyFont="1" applyFill="1" applyBorder="1" applyAlignment="1" applyProtection="1"/>
    <xf numFmtId="3" fontId="97" fillId="7" borderId="829" xfId="46" applyNumberFormat="1" applyFont="1" applyFill="1" applyBorder="1" applyAlignment="1" applyProtection="1"/>
    <xf numFmtId="0" fontId="151" fillId="33" borderId="468" xfId="45" applyFont="1" applyFill="1" applyBorder="1" applyAlignment="1" applyProtection="1">
      <alignment horizontal="center" wrapText="1"/>
      <protection locked="0"/>
    </xf>
    <xf numFmtId="0" fontId="151" fillId="33" borderId="195" xfId="45" applyFont="1" applyFill="1" applyBorder="1" applyAlignment="1" applyProtection="1">
      <alignment horizontal="center" wrapText="1"/>
      <protection locked="0"/>
    </xf>
    <xf numFmtId="0" fontId="97" fillId="33" borderId="47" xfId="45" applyFont="1" applyFill="1" applyBorder="1" applyAlignment="1" applyProtection="1">
      <alignment horizontal="center" wrapText="1"/>
      <protection locked="0"/>
    </xf>
    <xf numFmtId="0" fontId="151" fillId="33" borderId="827" xfId="45" applyFont="1" applyFill="1" applyBorder="1" applyAlignment="1" applyProtection="1">
      <alignment horizontal="center"/>
      <protection locked="0"/>
    </xf>
    <xf numFmtId="0" fontId="151" fillId="33" borderId="830" xfId="45" applyFont="1" applyFill="1" applyBorder="1" applyAlignment="1" applyProtection="1">
      <alignment horizontal="center"/>
      <protection locked="0"/>
    </xf>
    <xf numFmtId="4" fontId="70" fillId="0" borderId="0" xfId="0" applyNumberFormat="1" applyFont="1"/>
    <xf numFmtId="0" fontId="4" fillId="33" borderId="791" xfId="0" applyFont="1" applyFill="1" applyBorder="1" applyProtection="1">
      <protection locked="0"/>
    </xf>
    <xf numFmtId="9" fontId="97" fillId="33" borderId="793" xfId="26" applyFont="1" applyFill="1" applyBorder="1" applyAlignment="1" applyProtection="1">
      <alignment horizontal="center"/>
      <protection locked="0"/>
    </xf>
    <xf numFmtId="4" fontId="59" fillId="33" borderId="794" xfId="1" applyFill="1" applyBorder="1" applyAlignment="1" applyProtection="1">
      <alignment horizontal="center"/>
      <protection locked="0"/>
    </xf>
    <xf numFmtId="4" fontId="59" fillId="33" borderId="793" xfId="1" applyFill="1" applyBorder="1" applyAlignment="1" applyProtection="1">
      <alignment horizontal="center"/>
      <protection locked="0"/>
    </xf>
    <xf numFmtId="4" fontId="59" fillId="33" borderId="796" xfId="1" applyFill="1" applyBorder="1" applyAlignment="1" applyProtection="1">
      <alignment horizontal="center"/>
      <protection locked="0"/>
    </xf>
    <xf numFmtId="4" fontId="59" fillId="33" borderId="591" xfId="1" applyFill="1" applyBorder="1" applyAlignment="1" applyProtection="1">
      <alignment horizontal="center"/>
      <protection locked="0"/>
    </xf>
    <xf numFmtId="0" fontId="97" fillId="33" borderId="355" xfId="45" applyFont="1" applyFill="1" applyBorder="1" applyAlignment="1" applyProtection="1">
      <alignment horizontal="center"/>
      <protection locked="0"/>
    </xf>
    <xf numFmtId="0" fontId="97" fillId="33" borderId="830" xfId="45" applyFont="1" applyFill="1" applyBorder="1" applyAlignment="1" applyProtection="1">
      <alignment horizontal="center"/>
      <protection locked="0"/>
    </xf>
    <xf numFmtId="0" fontId="97" fillId="33" borderId="800" xfId="45" applyFont="1" applyFill="1" applyBorder="1" applyAlignment="1" applyProtection="1">
      <alignment horizontal="center"/>
      <protection locked="0"/>
    </xf>
    <xf numFmtId="4" fontId="97" fillId="33" borderId="800" xfId="46" applyNumberFormat="1" applyFont="1" applyFill="1" applyBorder="1" applyAlignment="1" applyProtection="1">
      <alignment horizontal="center"/>
      <protection locked="0"/>
    </xf>
    <xf numFmtId="3" fontId="97" fillId="48" borderId="794" xfId="46" applyNumberFormat="1" applyFont="1" applyFill="1" applyBorder="1" applyAlignment="1"/>
    <xf numFmtId="3" fontId="97" fillId="48" borderId="793" xfId="46" applyNumberFormat="1" applyFont="1" applyFill="1" applyBorder="1" applyAlignment="1"/>
    <xf numFmtId="3" fontId="97" fillId="48" borderId="800" xfId="46" applyNumberFormat="1" applyFont="1" applyFill="1" applyBorder="1" applyAlignment="1"/>
    <xf numFmtId="176" fontId="97" fillId="7" borderId="800" xfId="45" applyNumberFormat="1" applyFont="1" applyFill="1" applyBorder="1" applyAlignment="1">
      <alignment horizontal="center"/>
    </xf>
    <xf numFmtId="0" fontId="97" fillId="7" borderId="800" xfId="45" applyFont="1" applyFill="1" applyBorder="1" applyAlignment="1">
      <alignment horizontal="center"/>
    </xf>
    <xf numFmtId="170" fontId="79" fillId="33" borderId="794" xfId="45" applyNumberFormat="1" applyFont="1" applyFill="1" applyBorder="1" applyAlignment="1" applyProtection="1">
      <alignment horizontal="center"/>
      <protection locked="0"/>
    </xf>
    <xf numFmtId="170" fontId="79" fillId="33" borderId="793" xfId="45" applyNumberFormat="1" applyFont="1" applyFill="1" applyBorder="1" applyAlignment="1" applyProtection="1">
      <alignment horizontal="center"/>
      <protection locked="0"/>
    </xf>
    <xf numFmtId="170" fontId="79" fillId="33" borderId="800" xfId="45" applyNumberFormat="1" applyFont="1" applyFill="1" applyBorder="1" applyAlignment="1" applyProtection="1">
      <alignment horizontal="center"/>
      <protection locked="0"/>
    </xf>
    <xf numFmtId="170" fontId="79" fillId="33" borderId="796" xfId="45" applyNumberFormat="1" applyFont="1" applyFill="1" applyBorder="1" applyAlignment="1" applyProtection="1">
      <alignment horizontal="center"/>
      <protection locked="0"/>
    </xf>
    <xf numFmtId="170" fontId="97" fillId="33" borderId="800" xfId="45" applyNumberFormat="1" applyFont="1" applyFill="1" applyBorder="1" applyAlignment="1" applyProtection="1">
      <alignment horizontal="center"/>
      <protection locked="0"/>
    </xf>
    <xf numFmtId="170" fontId="97" fillId="62" borderId="800" xfId="45" applyNumberFormat="1" applyFont="1" applyFill="1" applyBorder="1" applyAlignment="1" applyProtection="1">
      <alignment horizontal="center"/>
      <protection locked="0"/>
    </xf>
    <xf numFmtId="3" fontId="97" fillId="7" borderId="800" xfId="46" applyNumberFormat="1" applyFont="1" applyFill="1" applyBorder="1" applyAlignment="1">
      <alignment horizontal="right"/>
    </xf>
    <xf numFmtId="3" fontId="97" fillId="45" borderId="794" xfId="46" applyNumberFormat="1" applyFont="1" applyFill="1" applyBorder="1" applyAlignment="1" applyProtection="1">
      <alignment horizontal="right"/>
    </xf>
    <xf numFmtId="3" fontId="97" fillId="45" borderId="793" xfId="46" applyNumberFormat="1" applyFont="1" applyFill="1" applyBorder="1" applyAlignment="1" applyProtection="1">
      <alignment horizontal="right"/>
    </xf>
    <xf numFmtId="3" fontId="97" fillId="45" borderId="800" xfId="46" applyNumberFormat="1" applyFont="1" applyFill="1" applyBorder="1" applyAlignment="1" applyProtection="1">
      <alignment horizontal="right"/>
    </xf>
    <xf numFmtId="3" fontId="97" fillId="45" borderId="796" xfId="46" applyNumberFormat="1" applyFont="1" applyFill="1" applyBorder="1" applyAlignment="1" applyProtection="1">
      <alignment horizontal="right"/>
    </xf>
    <xf numFmtId="3" fontId="97" fillId="33" borderId="800" xfId="46" applyNumberFormat="1" applyFont="1" applyFill="1" applyBorder="1" applyAlignment="1" applyProtection="1">
      <protection locked="0"/>
    </xf>
    <xf numFmtId="3" fontId="97" fillId="7" borderId="800" xfId="46" applyNumberFormat="1" applyFont="1" applyFill="1" applyBorder="1" applyAlignment="1"/>
    <xf numFmtId="4" fontId="97" fillId="33" borderId="800" xfId="46" applyNumberFormat="1" applyFont="1" applyFill="1" applyBorder="1" applyAlignment="1" applyProtection="1">
      <protection locked="0"/>
    </xf>
    <xf numFmtId="3" fontId="97" fillId="7" borderId="800" xfId="46" applyNumberFormat="1" applyFont="1" applyFill="1" applyBorder="1" applyAlignment="1" applyProtection="1"/>
    <xf numFmtId="2" fontId="97" fillId="33" borderId="800" xfId="46" applyNumberFormat="1" applyFont="1" applyFill="1" applyBorder="1" applyAlignment="1" applyProtection="1">
      <protection locked="0"/>
    </xf>
    <xf numFmtId="3" fontId="163" fillId="7" borderId="831" xfId="0" applyNumberFormat="1" applyFont="1" applyFill="1" applyBorder="1" applyAlignment="1">
      <alignment horizontal="center"/>
    </xf>
    <xf numFmtId="3" fontId="152" fillId="10" borderId="832" xfId="0" applyNumberFormat="1" applyFont="1" applyFill="1" applyBorder="1"/>
    <xf numFmtId="9" fontId="97" fillId="33" borderId="789" xfId="75" applyFont="1" applyFill="1" applyBorder="1" applyAlignment="1" applyProtection="1">
      <alignment horizontal="center"/>
      <protection locked="0"/>
    </xf>
    <xf numFmtId="4" fontId="97" fillId="33" borderId="833" xfId="45" applyNumberFormat="1" applyFont="1" applyFill="1" applyBorder="1" applyAlignment="1" applyProtection="1">
      <alignment horizontal="center"/>
      <protection locked="0"/>
    </xf>
    <xf numFmtId="2" fontId="97" fillId="33" borderId="833" xfId="45" applyNumberFormat="1" applyFont="1" applyFill="1" applyBorder="1" applyAlignment="1" applyProtection="1">
      <alignment horizontal="center"/>
      <protection locked="0"/>
    </xf>
    <xf numFmtId="3" fontId="97" fillId="7" borderId="834" xfId="46" applyNumberFormat="1" applyFont="1" applyFill="1" applyBorder="1" applyAlignment="1" applyProtection="1"/>
    <xf numFmtId="3" fontId="97" fillId="7" borderId="835" xfId="46" applyNumberFormat="1" applyFont="1" applyFill="1" applyBorder="1" applyAlignment="1" applyProtection="1"/>
    <xf numFmtId="3" fontId="97" fillId="7" borderId="836" xfId="46" applyNumberFormat="1" applyFont="1" applyFill="1" applyBorder="1" applyAlignment="1" applyProtection="1"/>
    <xf numFmtId="176" fontId="97" fillId="7" borderId="795" xfId="45" applyNumberFormat="1" applyFont="1" applyFill="1" applyBorder="1" applyAlignment="1">
      <alignment horizontal="center"/>
    </xf>
    <xf numFmtId="176" fontId="97" fillId="7" borderId="804" xfId="45" applyNumberFormat="1" applyFont="1" applyFill="1" applyBorder="1" applyAlignment="1">
      <alignment horizontal="center"/>
    </xf>
    <xf numFmtId="0" fontId="97" fillId="7" borderId="795" xfId="45" applyFont="1" applyFill="1" applyBorder="1" applyAlignment="1">
      <alignment horizontal="center"/>
    </xf>
    <xf numFmtId="0" fontId="97" fillId="7" borderId="804" xfId="45" applyFont="1" applyFill="1" applyBorder="1" applyAlignment="1">
      <alignment horizontal="center"/>
    </xf>
    <xf numFmtId="0" fontId="97" fillId="33" borderId="31" xfId="45" applyFont="1" applyFill="1" applyBorder="1" applyAlignment="1" applyProtection="1">
      <alignment horizontal="center" wrapText="1"/>
      <protection locked="0"/>
    </xf>
    <xf numFmtId="0" fontId="97" fillId="45" borderId="31" xfId="45" applyFont="1" applyFill="1" applyBorder="1" applyAlignment="1">
      <alignment horizontal="center"/>
    </xf>
    <xf numFmtId="0" fontId="97" fillId="33" borderId="31" xfId="45" applyFont="1" applyFill="1" applyBorder="1" applyAlignment="1" applyProtection="1">
      <alignment horizontal="center"/>
      <protection locked="0"/>
    </xf>
    <xf numFmtId="0" fontId="97" fillId="33" borderId="837" xfId="45" applyFont="1" applyFill="1" applyBorder="1" applyAlignment="1" applyProtection="1">
      <alignment horizontal="center" wrapText="1"/>
      <protection locked="0"/>
    </xf>
    <xf numFmtId="0" fontId="97" fillId="45" borderId="837" xfId="45" applyFont="1" applyFill="1" applyBorder="1" applyAlignment="1">
      <alignment horizontal="center"/>
    </xf>
    <xf numFmtId="0" fontId="97" fillId="33" borderId="837" xfId="45" applyFont="1" applyFill="1" applyBorder="1" applyAlignment="1" applyProtection="1">
      <alignment horizontal="center"/>
      <protection locked="0"/>
    </xf>
    <xf numFmtId="0" fontId="97" fillId="33" borderId="838" xfId="45" applyFont="1" applyFill="1" applyBorder="1" applyAlignment="1" applyProtection="1">
      <alignment horizontal="center"/>
      <protection locked="0"/>
    </xf>
    <xf numFmtId="0" fontId="5" fillId="42" borderId="219" xfId="0" applyFont="1" applyFill="1" applyBorder="1" applyAlignment="1">
      <alignment horizontal="right" vertical="top"/>
    </xf>
    <xf numFmtId="0" fontId="0" fillId="0" borderId="0" xfId="0" applyAlignment="1">
      <alignment horizontal="center"/>
    </xf>
    <xf numFmtId="0" fontId="4" fillId="14" borderId="219" xfId="0" applyFont="1" applyFill="1" applyBorder="1" applyAlignment="1">
      <alignment horizontal="left" wrapText="1"/>
    </xf>
    <xf numFmtId="0" fontId="5" fillId="14" borderId="219" xfId="0" applyFont="1" applyFill="1" applyBorder="1" applyAlignment="1">
      <alignment horizontal="right" vertical="top" wrapText="1"/>
    </xf>
    <xf numFmtId="0" fontId="115" fillId="0" borderId="0" xfId="0" applyFont="1" applyAlignment="1">
      <alignment horizontal="center"/>
    </xf>
    <xf numFmtId="0" fontId="4" fillId="33" borderId="0" xfId="0" applyFont="1" applyFill="1" applyAlignment="1">
      <alignment horizontal="center"/>
    </xf>
    <xf numFmtId="0" fontId="0" fillId="6" borderId="260" xfId="0" applyFill="1" applyBorder="1" applyAlignment="1">
      <alignment horizontal="left" wrapText="1"/>
    </xf>
    <xf numFmtId="0" fontId="0" fillId="6" borderId="0" xfId="0" applyFill="1" applyAlignment="1">
      <alignment horizontal="left" wrapText="1"/>
    </xf>
    <xf numFmtId="0" fontId="0" fillId="6" borderId="21" xfId="0" applyFill="1" applyBorder="1" applyAlignment="1">
      <alignment horizontal="left" wrapText="1"/>
    </xf>
    <xf numFmtId="0" fontId="0" fillId="6" borderId="261" xfId="0" applyFill="1" applyBorder="1" applyAlignment="1">
      <alignment horizontal="left" wrapText="1"/>
    </xf>
    <xf numFmtId="0" fontId="0" fillId="6" borderId="47" xfId="0" applyFill="1" applyBorder="1" applyAlignment="1">
      <alignment horizontal="left" wrapText="1"/>
    </xf>
    <xf numFmtId="0" fontId="0" fillId="6" borderId="262" xfId="0" applyFill="1" applyBorder="1" applyAlignment="1">
      <alignment horizontal="left" wrapText="1"/>
    </xf>
    <xf numFmtId="0" fontId="4" fillId="44" borderId="219" xfId="0" applyFont="1" applyFill="1" applyBorder="1" applyAlignment="1">
      <alignment horizontal="left" vertical="top" wrapText="1"/>
    </xf>
    <xf numFmtId="0" fontId="5" fillId="44" borderId="219" xfId="0" applyFont="1" applyFill="1" applyBorder="1" applyAlignment="1">
      <alignment horizontal="right" vertical="top"/>
    </xf>
    <xf numFmtId="0" fontId="4" fillId="41" borderId="227" xfId="0" applyFont="1" applyFill="1" applyBorder="1" applyAlignment="1">
      <alignment horizontal="left"/>
    </xf>
    <xf numFmtId="0" fontId="4" fillId="41" borderId="228" xfId="0" applyFont="1" applyFill="1" applyBorder="1" applyAlignment="1">
      <alignment horizontal="left"/>
    </xf>
    <xf numFmtId="0" fontId="4" fillId="41" borderId="265" xfId="0" applyFont="1" applyFill="1" applyBorder="1" applyAlignment="1">
      <alignment horizontal="left"/>
    </xf>
    <xf numFmtId="0" fontId="4" fillId="41" borderId="219" xfId="0" applyFont="1" applyFill="1" applyBorder="1" applyAlignment="1">
      <alignment horizontal="left" wrapText="1"/>
    </xf>
    <xf numFmtId="0" fontId="4" fillId="42" borderId="219" xfId="0" applyFont="1" applyFill="1" applyBorder="1" applyAlignment="1">
      <alignment horizontal="left" vertical="top" wrapText="1"/>
    </xf>
    <xf numFmtId="0" fontId="4" fillId="42" borderId="219" xfId="0" applyFont="1" applyFill="1" applyBorder="1" applyAlignment="1">
      <alignment horizontal="left" wrapText="1"/>
    </xf>
    <xf numFmtId="0" fontId="4" fillId="50" borderId="257" xfId="0" applyFont="1" applyFill="1" applyBorder="1" applyAlignment="1">
      <alignment vertical="top" wrapText="1"/>
    </xf>
    <xf numFmtId="0" fontId="4" fillId="50" borderId="258" xfId="0" applyFont="1" applyFill="1" applyBorder="1" applyAlignment="1">
      <alignment vertical="top" wrapText="1"/>
    </xf>
    <xf numFmtId="0" fontId="4" fillId="50" borderId="259" xfId="0" applyFont="1" applyFill="1" applyBorder="1" applyAlignment="1">
      <alignment vertical="top" wrapText="1"/>
    </xf>
    <xf numFmtId="0" fontId="4" fillId="50" borderId="260" xfId="0" applyFont="1" applyFill="1" applyBorder="1" applyAlignment="1">
      <alignment vertical="top" wrapText="1"/>
    </xf>
    <xf numFmtId="0" fontId="4" fillId="50" borderId="0" xfId="0" applyFont="1" applyFill="1" applyAlignment="1">
      <alignment vertical="top" wrapText="1"/>
    </xf>
    <xf numFmtId="0" fontId="4" fillId="50" borderId="21" xfId="0" applyFont="1" applyFill="1" applyBorder="1" applyAlignment="1">
      <alignment vertical="top" wrapText="1"/>
    </xf>
    <xf numFmtId="0" fontId="4" fillId="50" borderId="261" xfId="0" applyFont="1" applyFill="1" applyBorder="1" applyAlignment="1">
      <alignment vertical="top" wrapText="1"/>
    </xf>
    <xf numFmtId="0" fontId="4" fillId="50" borderId="47" xfId="0" applyFont="1" applyFill="1" applyBorder="1" applyAlignment="1">
      <alignment vertical="top" wrapText="1"/>
    </xf>
    <xf numFmtId="0" fontId="4" fillId="50" borderId="262" xfId="0" applyFont="1" applyFill="1" applyBorder="1" applyAlignment="1">
      <alignment vertical="top" wrapText="1"/>
    </xf>
    <xf numFmtId="0" fontId="5" fillId="50" borderId="219" xfId="0" applyFont="1" applyFill="1" applyBorder="1" applyAlignment="1">
      <alignment horizontal="right" vertical="top"/>
    </xf>
    <xf numFmtId="0" fontId="4" fillId="41" borderId="219" xfId="0" applyFont="1" applyFill="1" applyBorder="1" applyAlignment="1">
      <alignment horizontal="left" vertical="top" wrapText="1"/>
    </xf>
    <xf numFmtId="0" fontId="4" fillId="43" borderId="219" xfId="0" applyFont="1" applyFill="1" applyBorder="1" applyAlignment="1">
      <alignment horizontal="left" wrapText="1"/>
    </xf>
    <xf numFmtId="0" fontId="5" fillId="43" borderId="219" xfId="0" applyFont="1" applyFill="1" applyBorder="1" applyAlignment="1">
      <alignment horizontal="right" vertical="top"/>
    </xf>
    <xf numFmtId="0" fontId="4" fillId="50" borderId="219" xfId="0" applyFont="1" applyFill="1" applyBorder="1" applyAlignment="1">
      <alignment horizontal="left" vertical="top" wrapText="1"/>
    </xf>
    <xf numFmtId="0" fontId="5" fillId="41" borderId="263" xfId="0" applyFont="1" applyFill="1" applyBorder="1" applyAlignment="1">
      <alignment horizontal="right" vertical="top"/>
    </xf>
    <xf numFmtId="0" fontId="5" fillId="41" borderId="264" xfId="0" applyFont="1" applyFill="1" applyBorder="1" applyAlignment="1">
      <alignment horizontal="right" vertical="top"/>
    </xf>
    <xf numFmtId="0" fontId="5" fillId="41" borderId="266" xfId="0" applyFont="1" applyFill="1" applyBorder="1" applyAlignment="1">
      <alignment horizontal="right" vertical="top"/>
    </xf>
    <xf numFmtId="0" fontId="4" fillId="41" borderId="227" xfId="0" applyFont="1" applyFill="1" applyBorder="1" applyAlignment="1">
      <alignment horizontal="left" wrapText="1"/>
    </xf>
    <xf numFmtId="0" fontId="4" fillId="41" borderId="228" xfId="0" applyFont="1" applyFill="1" applyBorder="1" applyAlignment="1">
      <alignment horizontal="left" wrapText="1"/>
    </xf>
    <xf numFmtId="0" fontId="4" fillId="41" borderId="265" xfId="0" applyFont="1" applyFill="1" applyBorder="1" applyAlignment="1">
      <alignment horizontal="left" wrapText="1"/>
    </xf>
    <xf numFmtId="0" fontId="38" fillId="42" borderId="55" xfId="0" applyFont="1" applyFill="1" applyBorder="1" applyAlignment="1">
      <alignment horizontal="left" wrapText="1"/>
    </xf>
    <xf numFmtId="0" fontId="38" fillId="42" borderId="0" xfId="0" applyFont="1" applyFill="1" applyAlignment="1">
      <alignment horizontal="left" wrapText="1"/>
    </xf>
    <xf numFmtId="0" fontId="38" fillId="42" borderId="54" xfId="0" applyFont="1" applyFill="1" applyBorder="1" applyAlignment="1">
      <alignment horizontal="left" wrapText="1"/>
    </xf>
    <xf numFmtId="0" fontId="4" fillId="42" borderId="55" xfId="0" applyFont="1" applyFill="1" applyBorder="1" applyAlignment="1">
      <alignment horizontal="left" wrapText="1"/>
    </xf>
    <xf numFmtId="0" fontId="4" fillId="42" borderId="0" xfId="0" applyFont="1" applyFill="1" applyAlignment="1">
      <alignment horizontal="left" wrapText="1"/>
    </xf>
    <xf numFmtId="0" fontId="4" fillId="42" borderId="54" xfId="0" applyFont="1" applyFill="1" applyBorder="1" applyAlignment="1">
      <alignment horizontal="left" wrapText="1"/>
    </xf>
    <xf numFmtId="0" fontId="4" fillId="42" borderId="188" xfId="0" applyFont="1" applyFill="1" applyBorder="1" applyAlignment="1">
      <alignment horizontal="left" wrapText="1"/>
    </xf>
    <xf numFmtId="0" fontId="4" fillId="42" borderId="207" xfId="0" applyFont="1" applyFill="1" applyBorder="1" applyAlignment="1">
      <alignment horizontal="left" wrapText="1"/>
    </xf>
    <xf numFmtId="0" fontId="4" fillId="42" borderId="267" xfId="0" applyFont="1" applyFill="1" applyBorder="1" applyAlignment="1">
      <alignment horizontal="left" wrapText="1"/>
    </xf>
    <xf numFmtId="0" fontId="101" fillId="6" borderId="55" xfId="0" applyFont="1" applyFill="1" applyBorder="1" applyAlignment="1">
      <alignment horizontal="left" wrapText="1"/>
    </xf>
    <xf numFmtId="0" fontId="101" fillId="6" borderId="0" xfId="0" applyFont="1" applyFill="1" applyAlignment="1">
      <alignment horizontal="left" wrapText="1"/>
    </xf>
    <xf numFmtId="0" fontId="101" fillId="6" borderId="54" xfId="0" applyFont="1" applyFill="1" applyBorder="1" applyAlignment="1">
      <alignment horizontal="left" wrapText="1"/>
    </xf>
    <xf numFmtId="0" fontId="101" fillId="6" borderId="188" xfId="0" applyFont="1" applyFill="1" applyBorder="1" applyAlignment="1">
      <alignment horizontal="left" wrapText="1"/>
    </xf>
    <xf numFmtId="0" fontId="101" fillId="6" borderId="207" xfId="0" applyFont="1" applyFill="1" applyBorder="1" applyAlignment="1">
      <alignment horizontal="left" wrapText="1"/>
    </xf>
    <xf numFmtId="0" fontId="101" fillId="6" borderId="267" xfId="0" applyFont="1" applyFill="1" applyBorder="1" applyAlignment="1">
      <alignment horizontal="left" wrapText="1"/>
    </xf>
    <xf numFmtId="0" fontId="29" fillId="42" borderId="196" xfId="0" applyFont="1" applyFill="1" applyBorder="1" applyAlignment="1">
      <alignment horizontal="left" wrapText="1"/>
    </xf>
    <xf numFmtId="0" fontId="29" fillId="42" borderId="195" xfId="0" applyFont="1" applyFill="1" applyBorder="1" applyAlignment="1">
      <alignment horizontal="left" wrapText="1"/>
    </xf>
    <xf numFmtId="0" fontId="29" fillId="42" borderId="197" xfId="0" applyFont="1" applyFill="1" applyBorder="1" applyAlignment="1">
      <alignment horizontal="left" wrapText="1"/>
    </xf>
    <xf numFmtId="0" fontId="101" fillId="6" borderId="241" xfId="0" applyFont="1" applyFill="1" applyBorder="1" applyAlignment="1">
      <alignment horizontal="left" wrapText="1"/>
    </xf>
    <xf numFmtId="0" fontId="101" fillId="6" borderId="783" xfId="0" applyFont="1" applyFill="1" applyBorder="1" applyAlignment="1">
      <alignment horizontal="left" wrapText="1"/>
    </xf>
    <xf numFmtId="0" fontId="101" fillId="6" borderId="244" xfId="0" applyFont="1" applyFill="1" applyBorder="1" applyAlignment="1">
      <alignment horizontal="left" wrapText="1"/>
    </xf>
    <xf numFmtId="0" fontId="183" fillId="6" borderId="196" xfId="0" applyFont="1" applyFill="1" applyBorder="1" applyAlignment="1">
      <alignment horizontal="left"/>
    </xf>
    <xf numFmtId="0" fontId="183" fillId="6" borderId="195" xfId="0" applyFont="1" applyFill="1" applyBorder="1" applyAlignment="1">
      <alignment horizontal="left"/>
    </xf>
    <xf numFmtId="0" fontId="183" fillId="6" borderId="197" xfId="0" applyFont="1" applyFill="1" applyBorder="1" applyAlignment="1">
      <alignment horizontal="left"/>
    </xf>
    <xf numFmtId="0" fontId="182" fillId="6" borderId="55" xfId="0" applyFont="1" applyFill="1" applyBorder="1" applyAlignment="1">
      <alignment horizontal="left" wrapText="1"/>
    </xf>
    <xf numFmtId="0" fontId="182" fillId="6" borderId="0" xfId="0" applyFont="1" applyFill="1" applyAlignment="1">
      <alignment horizontal="left" wrapText="1"/>
    </xf>
    <xf numFmtId="0" fontId="182" fillId="6" borderId="54" xfId="0" applyFont="1" applyFill="1" applyBorder="1" applyAlignment="1">
      <alignment horizontal="left" wrapText="1"/>
    </xf>
    <xf numFmtId="0" fontId="88" fillId="6" borderId="55" xfId="0" applyFont="1" applyFill="1" applyBorder="1" applyAlignment="1">
      <alignment horizontal="left" wrapText="1"/>
    </xf>
    <xf numFmtId="0" fontId="88" fillId="6" borderId="0" xfId="0" applyFont="1" applyFill="1" applyAlignment="1">
      <alignment horizontal="left" wrapText="1"/>
    </xf>
    <xf numFmtId="0" fontId="88" fillId="6" borderId="54" xfId="0" applyFont="1" applyFill="1" applyBorder="1" applyAlignment="1">
      <alignment horizontal="left" wrapText="1"/>
    </xf>
    <xf numFmtId="0" fontId="70" fillId="10" borderId="0" xfId="0" applyFont="1" applyFill="1" applyAlignment="1">
      <alignment horizontal="left" wrapText="1"/>
    </xf>
    <xf numFmtId="0" fontId="4" fillId="65" borderId="0" xfId="0" applyFont="1" applyFill="1" applyAlignment="1">
      <alignment horizontal="left" wrapText="1"/>
    </xf>
    <xf numFmtId="0" fontId="4" fillId="44" borderId="0" xfId="0" applyFont="1" applyFill="1" applyAlignment="1">
      <alignment horizontal="left" wrapText="1"/>
    </xf>
    <xf numFmtId="0" fontId="4" fillId="69" borderId="0" xfId="0" applyFont="1" applyFill="1" applyAlignment="1">
      <alignment horizontal="left" wrapText="1"/>
    </xf>
    <xf numFmtId="0" fontId="29" fillId="71" borderId="0" xfId="0" applyFont="1" applyFill="1" applyAlignment="1">
      <alignment horizontal="left" wrapText="1"/>
    </xf>
    <xf numFmtId="0" fontId="4" fillId="71" borderId="0" xfId="0" applyFont="1" applyFill="1" applyAlignment="1">
      <alignment horizontal="left" wrapText="1"/>
    </xf>
    <xf numFmtId="0" fontId="29" fillId="63" borderId="0" xfId="0" applyFont="1" applyFill="1" applyAlignment="1">
      <alignment horizontal="left"/>
    </xf>
    <xf numFmtId="0" fontId="4" fillId="65" borderId="0" xfId="0" applyFont="1" applyFill="1" applyAlignment="1">
      <alignment horizontal="left"/>
    </xf>
    <xf numFmtId="0" fontId="4" fillId="64" borderId="0" xfId="0" applyFont="1" applyFill="1" applyAlignment="1">
      <alignment horizontal="left"/>
    </xf>
    <xf numFmtId="0" fontId="4" fillId="64" borderId="0" xfId="0" applyFont="1" applyFill="1" applyAlignment="1">
      <alignment horizontal="left" wrapText="1"/>
    </xf>
    <xf numFmtId="0" fontId="29" fillId="64" borderId="0" xfId="0" applyFont="1" applyFill="1" applyAlignment="1">
      <alignment horizontal="left"/>
    </xf>
    <xf numFmtId="0" fontId="29" fillId="65" borderId="0" xfId="0" applyFont="1" applyFill="1" applyAlignment="1">
      <alignment horizontal="left"/>
    </xf>
    <xf numFmtId="0" fontId="178" fillId="65" borderId="0" xfId="0" applyFont="1" applyFill="1" applyAlignment="1">
      <alignment horizontal="left" wrapText="1"/>
    </xf>
    <xf numFmtId="0" fontId="29" fillId="0" borderId="0" xfId="0" applyFont="1" applyAlignment="1">
      <alignment horizontal="left"/>
    </xf>
    <xf numFmtId="0" fontId="29" fillId="41" borderId="0" xfId="0" applyFont="1" applyFill="1" applyAlignment="1">
      <alignment horizontal="left"/>
    </xf>
    <xf numFmtId="0" fontId="4" fillId="41" borderId="0" xfId="0" applyFont="1" applyFill="1" applyAlignment="1">
      <alignment horizontal="left" wrapText="1"/>
    </xf>
    <xf numFmtId="0" fontId="4" fillId="0" borderId="0" xfId="0" applyFont="1" applyAlignment="1">
      <alignment horizontal="left" wrapText="1"/>
    </xf>
    <xf numFmtId="0" fontId="4" fillId="42" borderId="0" xfId="0" applyFont="1" applyFill="1" applyAlignment="1">
      <alignment horizontal="left"/>
    </xf>
    <xf numFmtId="0" fontId="29" fillId="42" borderId="0" xfId="0" applyFont="1" applyFill="1" applyAlignment="1">
      <alignment horizontal="left"/>
    </xf>
    <xf numFmtId="0" fontId="4" fillId="79" borderId="0" xfId="0" applyFont="1" applyFill="1" applyAlignment="1">
      <alignment horizontal="left" wrapText="1"/>
    </xf>
    <xf numFmtId="181" fontId="90" fillId="0" borderId="0" xfId="174" applyNumberFormat="1" applyFont="1" applyFill="1" applyAlignment="1" applyProtection="1">
      <alignment vertical="center"/>
    </xf>
    <xf numFmtId="0" fontId="0" fillId="0" borderId="0" xfId="0" applyAlignment="1">
      <alignment vertical="center"/>
    </xf>
    <xf numFmtId="0" fontId="0" fillId="0" borderId="191" xfId="0" applyBorder="1" applyAlignment="1">
      <alignment horizontal="left"/>
    </xf>
    <xf numFmtId="0" fontId="0" fillId="0" borderId="192" xfId="0" applyBorder="1" applyAlignment="1">
      <alignment horizontal="left"/>
    </xf>
    <xf numFmtId="0" fontId="101" fillId="7" borderId="237" xfId="0" applyFont="1" applyFill="1" applyBorder="1" applyAlignment="1">
      <alignment horizontal="left" wrapText="1"/>
    </xf>
    <xf numFmtId="0" fontId="101" fillId="7" borderId="232" xfId="0" applyFont="1" applyFill="1" applyBorder="1" applyAlignment="1">
      <alignment horizontal="left" wrapText="1"/>
    </xf>
    <xf numFmtId="0" fontId="101" fillId="7" borderId="280" xfId="0" applyFont="1" applyFill="1" applyBorder="1" applyAlignment="1">
      <alignment horizontal="left"/>
    </xf>
    <xf numFmtId="0" fontId="101" fillId="7" borderId="281" xfId="0" applyFont="1" applyFill="1" applyBorder="1" applyAlignment="1">
      <alignment horizontal="left"/>
    </xf>
    <xf numFmtId="0" fontId="38" fillId="8" borderId="196" xfId="0" applyFont="1" applyFill="1" applyBorder="1" applyAlignment="1">
      <alignment horizontal="center"/>
    </xf>
    <xf numFmtId="0" fontId="38" fillId="8" borderId="202" xfId="0" applyFont="1" applyFill="1" applyBorder="1" applyAlignment="1">
      <alignment horizontal="center"/>
    </xf>
    <xf numFmtId="0" fontId="38" fillId="8" borderId="55" xfId="0" applyFont="1" applyFill="1" applyBorder="1" applyAlignment="1">
      <alignment horizontal="center"/>
    </xf>
    <xf numFmtId="0" fontId="38" fillId="8" borderId="21" xfId="0" applyFont="1" applyFill="1" applyBorder="1" applyAlignment="1">
      <alignment horizontal="center"/>
    </xf>
    <xf numFmtId="0" fontId="38" fillId="8" borderId="289" xfId="0" applyFont="1" applyFill="1" applyBorder="1" applyAlignment="1">
      <alignment horizontal="center"/>
    </xf>
    <xf numFmtId="0" fontId="38" fillId="8" borderId="262" xfId="0" applyFont="1" applyFill="1" applyBorder="1" applyAlignment="1">
      <alignment horizontal="center"/>
    </xf>
    <xf numFmtId="0" fontId="101" fillId="7" borderId="237" xfId="0" applyFont="1" applyFill="1" applyBorder="1" applyAlignment="1">
      <alignment horizontal="left"/>
    </xf>
    <xf numFmtId="0" fontId="101" fillId="7" borderId="232" xfId="0" applyFont="1" applyFill="1" applyBorder="1" applyAlignment="1">
      <alignment horizontal="left"/>
    </xf>
    <xf numFmtId="0" fontId="101" fillId="8" borderId="237" xfId="0" applyFont="1" applyFill="1" applyBorder="1" applyAlignment="1">
      <alignment horizontal="left"/>
    </xf>
    <xf numFmtId="0" fontId="101" fillId="8" borderId="232" xfId="0" applyFont="1" applyFill="1" applyBorder="1" applyAlignment="1">
      <alignment horizontal="left"/>
    </xf>
    <xf numFmtId="0" fontId="101" fillId="7" borderId="237" xfId="0" applyFont="1" applyFill="1" applyBorder="1" applyAlignment="1">
      <alignment horizontal="center"/>
    </xf>
    <xf numFmtId="0" fontId="101" fillId="7" borderId="232" xfId="0" applyFont="1" applyFill="1" applyBorder="1" applyAlignment="1">
      <alignment horizontal="center"/>
    </xf>
    <xf numFmtId="0" fontId="0" fillId="0" borderId="188" xfId="0" applyBorder="1" applyAlignment="1">
      <alignment horizontal="left" vertical="top" wrapText="1"/>
    </xf>
    <xf numFmtId="0" fontId="0" fillId="0" borderId="207" xfId="0" applyBorder="1" applyAlignment="1">
      <alignment horizontal="left" vertical="top" wrapText="1"/>
    </xf>
    <xf numFmtId="0" fontId="0" fillId="0" borderId="267" xfId="0" applyBorder="1" applyAlignment="1">
      <alignment horizontal="left" vertical="top" wrapText="1"/>
    </xf>
    <xf numFmtId="0" fontId="96" fillId="33" borderId="284" xfId="0" applyFont="1" applyFill="1" applyBorder="1" applyAlignment="1" applyProtection="1">
      <alignment horizontal="center" vertical="center"/>
      <protection locked="0"/>
    </xf>
    <xf numFmtId="0" fontId="96" fillId="33" borderId="147" xfId="0" applyFont="1" applyFill="1" applyBorder="1" applyAlignment="1" applyProtection="1">
      <alignment horizontal="center" vertical="center"/>
      <protection locked="0"/>
    </xf>
    <xf numFmtId="0" fontId="5" fillId="0" borderId="241" xfId="0" applyFont="1" applyBorder="1" applyAlignment="1">
      <alignment horizontal="left"/>
    </xf>
    <xf numFmtId="0" fontId="5" fillId="0" borderId="283" xfId="0" applyFont="1" applyBorder="1" applyAlignment="1">
      <alignment horizontal="left"/>
    </xf>
    <xf numFmtId="0" fontId="5" fillId="0" borderId="244" xfId="0" applyFont="1" applyBorder="1" applyAlignment="1">
      <alignment horizontal="left"/>
    </xf>
    <xf numFmtId="0" fontId="60" fillId="7" borderId="188" xfId="0" applyFont="1" applyFill="1" applyBorder="1" applyAlignment="1">
      <alignment horizontal="center" vertical="center"/>
    </xf>
    <xf numFmtId="0" fontId="60" fillId="7" borderId="207" xfId="0" applyFont="1" applyFill="1" applyBorder="1" applyAlignment="1">
      <alignment horizontal="center" vertical="center"/>
    </xf>
    <xf numFmtId="0" fontId="60" fillId="7" borderId="267" xfId="0" applyFont="1" applyFill="1" applyBorder="1" applyAlignment="1">
      <alignment horizontal="center" vertical="center"/>
    </xf>
    <xf numFmtId="0" fontId="12" fillId="0" borderId="0" xfId="0" applyFont="1" applyAlignment="1">
      <alignment horizontal="center"/>
    </xf>
    <xf numFmtId="0" fontId="60" fillId="33" borderId="196" xfId="0" applyFont="1" applyFill="1" applyBorder="1" applyAlignment="1" applyProtection="1">
      <alignment horizontal="center" vertical="center"/>
      <protection locked="0"/>
    </xf>
    <xf numFmtId="0" fontId="60" fillId="33" borderId="195" xfId="0" applyFont="1" applyFill="1" applyBorder="1" applyAlignment="1" applyProtection="1">
      <alignment horizontal="center" vertical="center"/>
      <protection locked="0"/>
    </xf>
    <xf numFmtId="0" fontId="60" fillId="33" borderId="197" xfId="0" applyFont="1" applyFill="1" applyBorder="1" applyAlignment="1" applyProtection="1">
      <alignment horizontal="center" vertical="center"/>
      <protection locked="0"/>
    </xf>
    <xf numFmtId="0" fontId="5" fillId="0" borderId="196" xfId="0" applyFont="1" applyBorder="1" applyAlignment="1">
      <alignment horizontal="left"/>
    </xf>
    <xf numFmtId="0" fontId="5" fillId="0" borderId="195" xfId="0" applyFont="1" applyBorder="1" applyAlignment="1">
      <alignment horizontal="left"/>
    </xf>
    <xf numFmtId="0" fontId="5" fillId="0" borderId="197" xfId="0" applyFont="1" applyBorder="1" applyAlignment="1">
      <alignment horizontal="left"/>
    </xf>
    <xf numFmtId="3" fontId="109" fillId="3" borderId="256" xfId="15" applyFont="1" applyFill="1" applyBorder="1" applyAlignment="1" applyProtection="1">
      <alignment horizontal="center" vertical="center" wrapText="1"/>
    </xf>
    <xf numFmtId="3" fontId="109" fillId="3" borderId="193" xfId="15" applyFont="1" applyFill="1" applyBorder="1" applyAlignment="1" applyProtection="1">
      <alignment horizontal="center" vertical="center" wrapText="1"/>
    </xf>
    <xf numFmtId="0" fontId="2" fillId="30" borderId="97" xfId="0" applyFont="1" applyFill="1" applyBorder="1" applyAlignment="1">
      <alignment horizontal="left" wrapText="1"/>
    </xf>
    <xf numFmtId="0" fontId="2" fillId="30" borderId="129" xfId="0" applyFont="1" applyFill="1" applyBorder="1" applyAlignment="1">
      <alignment horizontal="left" wrapText="1"/>
    </xf>
    <xf numFmtId="0" fontId="2" fillId="30" borderId="98" xfId="0" applyFont="1" applyFill="1" applyBorder="1" applyAlignment="1">
      <alignment horizontal="left" wrapText="1"/>
    </xf>
    <xf numFmtId="0" fontId="2" fillId="30" borderId="99" xfId="0" applyFont="1" applyFill="1" applyBorder="1" applyAlignment="1">
      <alignment horizontal="left" wrapText="1"/>
    </xf>
    <xf numFmtId="0" fontId="2" fillId="30" borderId="241" xfId="0" applyFont="1" applyFill="1" applyBorder="1" applyAlignment="1">
      <alignment horizontal="left"/>
    </xf>
    <xf numFmtId="0" fontId="2" fillId="30" borderId="243" xfId="0" applyFont="1" applyFill="1" applyBorder="1" applyAlignment="1">
      <alignment horizontal="left"/>
    </xf>
    <xf numFmtId="0" fontId="2" fillId="30" borderId="244" xfId="0" applyFont="1" applyFill="1" applyBorder="1" applyAlignment="1">
      <alignment horizontal="left"/>
    </xf>
    <xf numFmtId="0" fontId="2" fillId="30" borderId="264" xfId="0" applyFont="1" applyFill="1" applyBorder="1" applyAlignment="1">
      <alignment horizontal="left" wrapText="1"/>
    </xf>
    <xf numFmtId="0" fontId="72" fillId="20" borderId="55" xfId="14" applyNumberFormat="1" applyFont="1" applyFill="1" applyBorder="1" applyAlignment="1" applyProtection="1">
      <alignment horizontal="center" wrapText="1"/>
    </xf>
    <xf numFmtId="0" fontId="72" fillId="0" borderId="0" xfId="14" applyFont="1" applyBorder="1" applyAlignment="1">
      <alignment horizontal="center"/>
    </xf>
    <xf numFmtId="0" fontId="0" fillId="0" borderId="195" xfId="0" applyBorder="1" applyAlignment="1">
      <alignment horizontal="center"/>
    </xf>
    <xf numFmtId="3" fontId="0" fillId="0" borderId="195" xfId="15" applyFont="1" applyFill="1" applyBorder="1" applyAlignment="1" applyProtection="1">
      <alignment horizontal="center"/>
    </xf>
    <xf numFmtId="0" fontId="0" fillId="11" borderId="55" xfId="0" applyFill="1" applyBorder="1"/>
    <xf numFmtId="0" fontId="0" fillId="11" borderId="0" xfId="0" applyFill="1"/>
    <xf numFmtId="0" fontId="72" fillId="20" borderId="55" xfId="14" applyNumberFormat="1" applyFont="1" applyFill="1" applyBorder="1" applyAlignment="1" applyProtection="1">
      <alignment horizontal="center"/>
    </xf>
    <xf numFmtId="0" fontId="72" fillId="20" borderId="0" xfId="14" applyNumberFormat="1" applyFont="1" applyFill="1" applyBorder="1" applyAlignment="1" applyProtection="1">
      <alignment horizontal="center"/>
    </xf>
    <xf numFmtId="0" fontId="72" fillId="10" borderId="55" xfId="0" applyFont="1" applyFill="1" applyBorder="1" applyAlignment="1">
      <alignment horizontal="center"/>
    </xf>
    <xf numFmtId="0" fontId="72" fillId="10" borderId="0" xfId="0" applyFont="1" applyFill="1" applyAlignment="1">
      <alignment horizontal="center"/>
    </xf>
    <xf numFmtId="0" fontId="0" fillId="0" borderId="207" xfId="0" applyBorder="1"/>
    <xf numFmtId="0" fontId="72" fillId="20" borderId="313" xfId="14" applyNumberFormat="1" applyFont="1" applyFill="1" applyBorder="1" applyAlignment="1" applyProtection="1">
      <alignment horizontal="center"/>
    </xf>
    <xf numFmtId="0" fontId="72" fillId="20" borderId="207" xfId="14" applyNumberFormat="1" applyFont="1" applyFill="1" applyBorder="1" applyAlignment="1" applyProtection="1">
      <alignment horizontal="center"/>
    </xf>
    <xf numFmtId="0" fontId="2" fillId="11" borderId="55" xfId="0" applyFont="1" applyFill="1" applyBorder="1" applyAlignment="1">
      <alignment horizontal="center" wrapText="1"/>
    </xf>
    <xf numFmtId="0" fontId="2" fillId="11" borderId="0" xfId="0" applyFont="1" applyFill="1" applyAlignment="1">
      <alignment horizontal="center" wrapText="1"/>
    </xf>
    <xf numFmtId="0" fontId="10" fillId="20" borderId="55" xfId="14" applyNumberFormat="1" applyFill="1" applyBorder="1" applyAlignment="1" applyProtection="1">
      <alignment horizontal="center"/>
    </xf>
    <xf numFmtId="0" fontId="10" fillId="20" borderId="0" xfId="14" applyNumberFormat="1" applyFill="1" applyBorder="1" applyAlignment="1" applyProtection="1">
      <alignment horizontal="center"/>
    </xf>
    <xf numFmtId="0" fontId="104" fillId="59" borderId="241" xfId="0" applyFont="1" applyFill="1" applyBorder="1" applyAlignment="1">
      <alignment horizontal="left" vertical="top" wrapText="1"/>
    </xf>
    <xf numFmtId="0" fontId="104" fillId="59" borderId="243" xfId="0" applyFont="1" applyFill="1" applyBorder="1" applyAlignment="1">
      <alignment horizontal="left" vertical="top" wrapText="1"/>
    </xf>
    <xf numFmtId="0" fontId="104" fillId="59" borderId="244" xfId="0" applyFont="1" applyFill="1" applyBorder="1" applyAlignment="1">
      <alignment horizontal="left" vertical="top" wrapText="1"/>
    </xf>
    <xf numFmtId="0" fontId="102" fillId="7" borderId="391" xfId="15" applyNumberFormat="1" applyFont="1" applyFill="1" applyBorder="1" applyAlignment="1" applyProtection="1">
      <alignment horizontal="left"/>
    </xf>
    <xf numFmtId="0" fontId="102" fillId="7" borderId="375" xfId="15" applyNumberFormat="1" applyFont="1" applyFill="1" applyBorder="1" applyAlignment="1" applyProtection="1">
      <alignment horizontal="left"/>
    </xf>
    <xf numFmtId="0" fontId="102" fillId="7" borderId="392" xfId="15" applyNumberFormat="1" applyFont="1" applyFill="1" applyBorder="1" applyAlignment="1" applyProtection="1">
      <alignment horizontal="left"/>
    </xf>
    <xf numFmtId="3" fontId="2" fillId="7" borderId="0" xfId="15" applyFont="1" applyFill="1" applyBorder="1" applyAlignment="1" applyProtection="1">
      <alignment horizontal="left" wrapText="1"/>
    </xf>
    <xf numFmtId="3" fontId="2" fillId="7" borderId="8" xfId="15" applyFont="1" applyFill="1" applyBorder="1" applyAlignment="1" applyProtection="1">
      <alignment horizontal="left" wrapText="1"/>
    </xf>
    <xf numFmtId="3" fontId="53" fillId="7" borderId="0" xfId="15" applyFont="1" applyFill="1" applyBorder="1" applyAlignment="1" applyProtection="1">
      <alignment horizontal="left" vertical="center" wrapText="1"/>
    </xf>
    <xf numFmtId="3" fontId="53" fillId="7" borderId="21" xfId="15" applyFont="1" applyFill="1" applyBorder="1" applyAlignment="1" applyProtection="1">
      <alignment horizontal="left" vertical="center" wrapText="1"/>
    </xf>
    <xf numFmtId="3" fontId="102" fillId="7" borderId="395" xfId="15" applyFont="1" applyFill="1" applyBorder="1" applyAlignment="1" applyProtection="1">
      <alignment horizontal="left"/>
    </xf>
    <xf numFmtId="3" fontId="102" fillId="7" borderId="396" xfId="15" applyFont="1" applyFill="1" applyBorder="1" applyAlignment="1" applyProtection="1">
      <alignment horizontal="left"/>
    </xf>
    <xf numFmtId="3" fontId="102" fillId="7" borderId="397" xfId="15" applyFont="1" applyFill="1" applyBorder="1" applyAlignment="1" applyProtection="1">
      <alignment horizontal="left"/>
    </xf>
    <xf numFmtId="3" fontId="106" fillId="7" borderId="391" xfId="15" applyFont="1" applyFill="1" applyBorder="1" applyAlignment="1" applyProtection="1">
      <alignment horizontal="center"/>
    </xf>
    <xf numFmtId="3" fontId="106" fillId="7" borderId="375" xfId="15" applyFont="1" applyFill="1" applyBorder="1" applyAlignment="1" applyProtection="1">
      <alignment horizontal="center"/>
    </xf>
    <xf numFmtId="3" fontId="106" fillId="7" borderId="392" xfId="15" applyFont="1" applyFill="1" applyBorder="1" applyAlignment="1" applyProtection="1">
      <alignment horizontal="center"/>
    </xf>
    <xf numFmtId="3" fontId="2" fillId="7" borderId="356" xfId="21" applyNumberFormat="1" applyFont="1" applyFill="1" applyBorder="1" applyAlignment="1">
      <alignment horizontal="center"/>
    </xf>
    <xf numFmtId="3" fontId="2" fillId="7" borderId="357" xfId="21" applyNumberFormat="1" applyFont="1" applyFill="1" applyBorder="1" applyAlignment="1">
      <alignment horizontal="center"/>
    </xf>
    <xf numFmtId="3" fontId="2" fillId="7" borderId="398" xfId="21" applyNumberFormat="1" applyFont="1" applyFill="1" applyBorder="1" applyAlignment="1">
      <alignment horizontal="center"/>
    </xf>
    <xf numFmtId="3" fontId="2" fillId="7" borderId="400" xfId="21" applyNumberFormat="1" applyFont="1" applyFill="1" applyBorder="1" applyAlignment="1">
      <alignment horizontal="center"/>
    </xf>
    <xf numFmtId="3" fontId="2" fillId="7" borderId="47" xfId="21" applyNumberFormat="1" applyFont="1" applyFill="1" applyBorder="1" applyAlignment="1">
      <alignment horizontal="center"/>
    </xf>
    <xf numFmtId="3" fontId="2" fillId="7" borderId="88" xfId="21" applyNumberFormat="1" applyFont="1" applyFill="1" applyBorder="1" applyAlignment="1">
      <alignment horizontal="center"/>
    </xf>
    <xf numFmtId="0" fontId="0" fillId="7" borderId="378" xfId="0" applyFill="1" applyBorder="1"/>
    <xf numFmtId="0" fontId="0" fillId="7" borderId="368" xfId="0" applyFill="1" applyBorder="1"/>
    <xf numFmtId="0" fontId="0" fillId="7" borderId="379" xfId="0" applyFill="1" applyBorder="1"/>
    <xf numFmtId="0" fontId="0" fillId="7" borderId="0" xfId="0" applyFill="1"/>
    <xf numFmtId="0" fontId="0" fillId="7" borderId="374" xfId="0" applyFill="1" applyBorder="1"/>
    <xf numFmtId="0" fontId="0" fillId="7" borderId="375" xfId="0" applyFill="1" applyBorder="1"/>
    <xf numFmtId="0" fontId="0" fillId="7" borderId="376" xfId="0" applyFill="1" applyBorder="1"/>
    <xf numFmtId="0" fontId="30" fillId="7" borderId="0" xfId="21" applyFont="1" applyFill="1" applyAlignment="1">
      <alignment horizontal="right"/>
    </xf>
    <xf numFmtId="3" fontId="3" fillId="7" borderId="391" xfId="15" applyFont="1" applyFill="1" applyBorder="1" applyAlignment="1" applyProtection="1">
      <alignment horizontal="left"/>
    </xf>
    <xf numFmtId="3" fontId="3" fillId="7" borderId="392" xfId="15" applyFont="1" applyFill="1" applyBorder="1" applyAlignment="1" applyProtection="1">
      <alignment horizontal="left"/>
    </xf>
    <xf numFmtId="3" fontId="16" fillId="7" borderId="394" xfId="15" applyFont="1" applyFill="1" applyBorder="1" applyAlignment="1" applyProtection="1">
      <alignment horizontal="center"/>
    </xf>
    <xf numFmtId="3" fontId="3" fillId="7" borderId="393" xfId="21" applyNumberFormat="1" applyFont="1" applyFill="1" applyBorder="1" applyAlignment="1">
      <alignment horizontal="left"/>
    </xf>
    <xf numFmtId="3" fontId="3" fillId="7" borderId="382" xfId="21" applyNumberFormat="1" applyFont="1" applyFill="1" applyBorder="1" applyAlignment="1">
      <alignment horizontal="left"/>
    </xf>
    <xf numFmtId="3" fontId="3" fillId="7" borderId="384" xfId="21" applyNumberFormat="1" applyFont="1" applyFill="1" applyBorder="1" applyAlignment="1">
      <alignment horizontal="left"/>
    </xf>
    <xf numFmtId="3" fontId="16" fillId="7" borderId="393" xfId="21" applyNumberFormat="1" applyFont="1" applyFill="1" applyBorder="1" applyAlignment="1">
      <alignment horizontal="left"/>
    </xf>
    <xf numFmtId="3" fontId="16" fillId="7" borderId="382" xfId="21" applyNumberFormat="1" applyFont="1" applyFill="1" applyBorder="1" applyAlignment="1">
      <alignment horizontal="left"/>
    </xf>
    <xf numFmtId="3" fontId="16" fillId="7" borderId="384" xfId="21" applyNumberFormat="1" applyFont="1" applyFill="1" applyBorder="1" applyAlignment="1">
      <alignment horizontal="left"/>
    </xf>
    <xf numFmtId="0" fontId="0" fillId="7" borderId="8" xfId="0" applyFill="1" applyBorder="1"/>
    <xf numFmtId="3" fontId="2" fillId="7" borderId="412" xfId="15" applyFont="1" applyFill="1" applyBorder="1" applyAlignment="1" applyProtection="1">
      <alignment horizontal="center"/>
    </xf>
    <xf numFmtId="3" fontId="2" fillId="7" borderId="414" xfId="21" applyNumberFormat="1" applyFont="1" applyFill="1" applyBorder="1" applyAlignment="1">
      <alignment horizontal="left"/>
    </xf>
    <xf numFmtId="3" fontId="2" fillId="7" borderId="407" xfId="21" applyNumberFormat="1" applyFont="1" applyFill="1" applyBorder="1" applyAlignment="1">
      <alignment horizontal="left"/>
    </xf>
    <xf numFmtId="3" fontId="2" fillId="7" borderId="408" xfId="21" applyNumberFormat="1" applyFont="1" applyFill="1" applyBorder="1" applyAlignment="1">
      <alignment horizontal="left"/>
    </xf>
    <xf numFmtId="3" fontId="53" fillId="7" borderId="0" xfId="15" applyFont="1" applyFill="1" applyBorder="1" applyAlignment="1" applyProtection="1">
      <alignment horizontal="left" wrapText="1"/>
    </xf>
    <xf numFmtId="3" fontId="104" fillId="7" borderId="415" xfId="15" applyFont="1" applyFill="1" applyBorder="1" applyAlignment="1" applyProtection="1">
      <alignment horizontal="center"/>
    </xf>
    <xf numFmtId="3" fontId="104" fillId="7" borderId="416" xfId="15" applyFont="1" applyFill="1" applyBorder="1" applyAlignment="1" applyProtection="1">
      <alignment horizontal="center"/>
    </xf>
    <xf numFmtId="3" fontId="104" fillId="7" borderId="417" xfId="15" applyFont="1" applyFill="1" applyBorder="1" applyAlignment="1" applyProtection="1">
      <alignment horizontal="center"/>
    </xf>
    <xf numFmtId="3" fontId="3" fillId="3" borderId="469" xfId="15" applyFont="1" applyFill="1" applyBorder="1" applyAlignment="1" applyProtection="1">
      <alignment horizontal="left"/>
    </xf>
    <xf numFmtId="3" fontId="3" fillId="3" borderId="403" xfId="15" applyFont="1" applyFill="1" applyBorder="1" applyAlignment="1" applyProtection="1">
      <alignment horizontal="left"/>
    </xf>
    <xf numFmtId="3" fontId="3" fillId="3" borderId="216" xfId="15" applyFont="1" applyFill="1" applyBorder="1" applyAlignment="1" applyProtection="1">
      <alignment horizontal="left"/>
    </xf>
    <xf numFmtId="3" fontId="3" fillId="35" borderId="469" xfId="15" applyFont="1" applyFill="1" applyBorder="1" applyAlignment="1" applyProtection="1">
      <alignment horizontal="left"/>
      <protection locked="0"/>
    </xf>
    <xf numFmtId="3" fontId="3" fillId="35" borderId="403" xfId="15" applyFont="1" applyFill="1" applyBorder="1" applyAlignment="1" applyProtection="1">
      <alignment horizontal="left"/>
      <protection locked="0"/>
    </xf>
    <xf numFmtId="3" fontId="3" fillId="35" borderId="216" xfId="15" applyFont="1" applyFill="1" applyBorder="1" applyAlignment="1" applyProtection="1">
      <alignment horizontal="left"/>
      <protection locked="0"/>
    </xf>
    <xf numFmtId="0" fontId="0" fillId="3" borderId="195" xfId="0" applyFill="1" applyBorder="1" applyAlignment="1">
      <alignment horizontal="center"/>
    </xf>
    <xf numFmtId="0" fontId="0" fillId="3" borderId="202" xfId="0" applyFill="1" applyBorder="1" applyAlignment="1">
      <alignment horizontal="center"/>
    </xf>
    <xf numFmtId="3" fontId="0" fillId="0" borderId="464" xfId="15" applyFont="1" applyFill="1" applyBorder="1" applyAlignment="1" applyProtection="1">
      <alignment horizontal="center"/>
    </xf>
    <xf numFmtId="3" fontId="0" fillId="0" borderId="419" xfId="15" applyFont="1" applyFill="1" applyBorder="1" applyAlignment="1" applyProtection="1">
      <alignment horizontal="center"/>
    </xf>
    <xf numFmtId="3" fontId="0" fillId="0" borderId="465" xfId="15" applyFont="1" applyFill="1" applyBorder="1" applyAlignment="1" applyProtection="1">
      <alignment horizontal="center"/>
    </xf>
    <xf numFmtId="3" fontId="0" fillId="33" borderId="469" xfId="11" applyFont="1" applyFill="1" applyBorder="1" applyAlignment="1" applyProtection="1">
      <alignment horizontal="left"/>
      <protection locked="0"/>
    </xf>
    <xf numFmtId="3" fontId="0" fillId="33" borderId="403" xfId="11" applyFont="1" applyFill="1" applyBorder="1" applyAlignment="1" applyProtection="1">
      <alignment horizontal="left"/>
      <protection locked="0"/>
    </xf>
    <xf numFmtId="3" fontId="0" fillId="33" borderId="216" xfId="11" applyFont="1" applyFill="1" applyBorder="1" applyAlignment="1" applyProtection="1">
      <alignment horizontal="left"/>
      <protection locked="0"/>
    </xf>
    <xf numFmtId="3" fontId="3" fillId="11" borderId="469" xfId="11" applyFont="1" applyFill="1" applyBorder="1" applyAlignment="1" applyProtection="1">
      <alignment horizontal="left"/>
    </xf>
    <xf numFmtId="3" fontId="0" fillId="11" borderId="403" xfId="11" applyFont="1" applyFill="1" applyBorder="1" applyAlignment="1" applyProtection="1">
      <alignment horizontal="left"/>
    </xf>
    <xf numFmtId="3" fontId="0" fillId="11" borderId="216" xfId="11" applyFont="1" applyFill="1" applyBorder="1" applyAlignment="1" applyProtection="1">
      <alignment horizontal="left"/>
    </xf>
    <xf numFmtId="3" fontId="3" fillId="11" borderId="400" xfId="11" applyFont="1" applyFill="1" applyBorder="1" applyAlignment="1" applyProtection="1"/>
    <xf numFmtId="3" fontId="3" fillId="11" borderId="47" xfId="11" applyFont="1" applyFill="1" applyBorder="1" applyAlignment="1" applyProtection="1"/>
    <xf numFmtId="3" fontId="3" fillId="11" borderId="31" xfId="11" applyFont="1" applyFill="1" applyBorder="1" applyAlignment="1" applyProtection="1"/>
    <xf numFmtId="3" fontId="3" fillId="33" borderId="469" xfId="11" applyFont="1" applyFill="1" applyBorder="1" applyAlignment="1" applyProtection="1">
      <protection locked="0"/>
    </xf>
    <xf numFmtId="3" fontId="0" fillId="33" borderId="403" xfId="11" applyFont="1" applyFill="1" applyBorder="1" applyAlignment="1" applyProtection="1">
      <protection locked="0"/>
    </xf>
    <xf numFmtId="3" fontId="0" fillId="33" borderId="216" xfId="11" applyFont="1" applyFill="1" applyBorder="1" applyAlignment="1" applyProtection="1">
      <protection locked="0"/>
    </xf>
    <xf numFmtId="3" fontId="0" fillId="33" borderId="469" xfId="11" applyFont="1" applyFill="1" applyBorder="1" applyAlignment="1" applyProtection="1">
      <protection locked="0"/>
    </xf>
    <xf numFmtId="3" fontId="3" fillId="33" borderId="403" xfId="11" applyFont="1" applyFill="1" applyBorder="1" applyAlignment="1" applyProtection="1">
      <protection locked="0"/>
    </xf>
    <xf numFmtId="3" fontId="3" fillId="33" borderId="216" xfId="11" applyFont="1" applyFill="1" applyBorder="1" applyAlignment="1" applyProtection="1">
      <protection locked="0"/>
    </xf>
    <xf numFmtId="3" fontId="0" fillId="33" borderId="469" xfId="15" applyFont="1" applyFill="1" applyBorder="1" applyAlignment="1" applyProtection="1">
      <protection locked="0"/>
    </xf>
    <xf numFmtId="3" fontId="3" fillId="33" borderId="403" xfId="15" applyFont="1" applyFill="1" applyBorder="1" applyAlignment="1" applyProtection="1">
      <protection locked="0"/>
    </xf>
    <xf numFmtId="3" fontId="3" fillId="33" borderId="216" xfId="15" applyFont="1" applyFill="1" applyBorder="1" applyAlignment="1" applyProtection="1">
      <protection locked="0"/>
    </xf>
    <xf numFmtId="3" fontId="0" fillId="35" borderId="469" xfId="15" applyFont="1" applyFill="1" applyBorder="1" applyAlignment="1" applyProtection="1">
      <alignment horizontal="left"/>
      <protection locked="0"/>
    </xf>
    <xf numFmtId="3" fontId="0" fillId="35" borderId="403" xfId="15" applyFont="1" applyFill="1" applyBorder="1" applyAlignment="1" applyProtection="1">
      <alignment horizontal="left"/>
      <protection locked="0"/>
    </xf>
    <xf numFmtId="3" fontId="0" fillId="35" borderId="216" xfId="15" applyFont="1" applyFill="1" applyBorder="1" applyAlignment="1" applyProtection="1">
      <alignment horizontal="left"/>
      <protection locked="0"/>
    </xf>
    <xf numFmtId="3" fontId="3" fillId="11" borderId="474" xfId="11" applyFont="1" applyFill="1" applyBorder="1" applyAlignment="1" applyProtection="1"/>
    <xf numFmtId="3" fontId="0" fillId="11" borderId="403" xfId="11" applyFont="1" applyFill="1" applyBorder="1" applyAlignment="1" applyProtection="1"/>
    <xf numFmtId="3" fontId="0" fillId="11" borderId="216" xfId="11" applyFont="1" applyFill="1" applyBorder="1" applyAlignment="1" applyProtection="1"/>
    <xf numFmtId="3" fontId="29" fillId="0" borderId="464" xfId="15" applyFont="1" applyFill="1" applyBorder="1" applyAlignment="1" applyProtection="1">
      <alignment horizontal="center"/>
    </xf>
    <xf numFmtId="3" fontId="29" fillId="0" borderId="419" xfId="15" applyFont="1" applyFill="1" applyBorder="1" applyAlignment="1" applyProtection="1">
      <alignment horizontal="center"/>
    </xf>
    <xf numFmtId="3" fontId="29" fillId="0" borderId="465" xfId="15" applyFont="1" applyFill="1" applyBorder="1" applyAlignment="1" applyProtection="1">
      <alignment horizontal="center"/>
    </xf>
    <xf numFmtId="3" fontId="0" fillId="11" borderId="197" xfId="15" applyFont="1" applyFill="1" applyBorder="1" applyAlignment="1" applyProtection="1">
      <alignment horizontal="center"/>
    </xf>
    <xf numFmtId="3" fontId="0" fillId="11" borderId="54" xfId="15" applyFont="1" applyFill="1" applyBorder="1" applyAlignment="1" applyProtection="1">
      <alignment horizontal="center"/>
    </xf>
    <xf numFmtId="3" fontId="0" fillId="11" borderId="437" xfId="15" applyFont="1" applyFill="1" applyBorder="1" applyAlignment="1" applyProtection="1">
      <alignment horizontal="center"/>
    </xf>
    <xf numFmtId="0" fontId="0" fillId="33" borderId="403" xfId="0" applyFill="1" applyBorder="1" applyProtection="1">
      <protection locked="0"/>
    </xf>
    <xf numFmtId="0" fontId="0" fillId="33" borderId="216" xfId="0" applyFill="1" applyBorder="1" applyProtection="1">
      <protection locked="0"/>
    </xf>
    <xf numFmtId="3" fontId="0" fillId="33" borderId="475" xfId="11" applyFont="1" applyFill="1" applyBorder="1" applyAlignment="1" applyProtection="1">
      <protection locked="0"/>
    </xf>
    <xf numFmtId="0" fontId="0" fillId="33" borderId="476" xfId="0" applyFill="1" applyBorder="1" applyProtection="1">
      <protection locked="0"/>
    </xf>
    <xf numFmtId="0" fontId="0" fillId="33" borderId="477" xfId="0" applyFill="1" applyBorder="1" applyProtection="1">
      <protection locked="0"/>
    </xf>
    <xf numFmtId="0" fontId="0" fillId="0" borderId="0" xfId="0"/>
    <xf numFmtId="3" fontId="22" fillId="0" borderId="241" xfId="15" applyFont="1" applyFill="1" applyBorder="1" applyAlignment="1" applyProtection="1">
      <alignment horizontal="center"/>
    </xf>
    <xf numFmtId="0" fontId="113" fillId="0" borderId="419" xfId="0" applyFont="1" applyBorder="1" applyAlignment="1">
      <alignment horizontal="center"/>
    </xf>
    <xf numFmtId="0" fontId="113" fillId="0" borderId="420" xfId="0" applyFont="1" applyBorder="1" applyAlignment="1">
      <alignment horizontal="center"/>
    </xf>
    <xf numFmtId="3" fontId="22" fillId="0" borderId="146" xfId="15" applyFont="1" applyFill="1" applyBorder="1" applyAlignment="1" applyProtection="1">
      <alignment horizontal="center"/>
    </xf>
    <xf numFmtId="0" fontId="113" fillId="0" borderId="0" xfId="0" applyFont="1" applyAlignment="1">
      <alignment horizontal="center"/>
    </xf>
    <xf numFmtId="0" fontId="113" fillId="0" borderId="54" xfId="0" applyFont="1" applyBorder="1" applyAlignment="1">
      <alignment horizontal="center"/>
    </xf>
    <xf numFmtId="3" fontId="70" fillId="18" borderId="418" xfId="15" applyFont="1" applyFill="1" applyBorder="1" applyAlignment="1" applyProtection="1">
      <alignment horizontal="left"/>
    </xf>
    <xf numFmtId="3" fontId="70" fillId="18" borderId="443" xfId="15" applyFont="1" applyFill="1" applyBorder="1" applyAlignment="1" applyProtection="1">
      <alignment horizontal="left"/>
    </xf>
    <xf numFmtId="3" fontId="22" fillId="0" borderId="196" xfId="15" applyFont="1" applyFill="1" applyBorder="1" applyAlignment="1" applyProtection="1">
      <alignment horizontal="center"/>
    </xf>
    <xf numFmtId="0" fontId="113" fillId="0" borderId="195" xfId="0" applyFont="1" applyBorder="1" applyAlignment="1">
      <alignment horizontal="center"/>
    </xf>
    <xf numFmtId="0" fontId="113" fillId="0" borderId="197" xfId="0" applyFont="1" applyBorder="1" applyAlignment="1">
      <alignment horizontal="center"/>
    </xf>
    <xf numFmtId="3" fontId="53" fillId="0" borderId="421" xfId="15" applyFont="1" applyFill="1" applyBorder="1" applyAlignment="1" applyProtection="1">
      <alignment horizontal="left"/>
    </xf>
    <xf numFmtId="3" fontId="53" fillId="0" borderId="422" xfId="15" applyFont="1" applyFill="1" applyBorder="1" applyAlignment="1" applyProtection="1">
      <alignment horizontal="left"/>
    </xf>
    <xf numFmtId="0" fontId="113" fillId="0" borderId="423" xfId="0" applyFont="1" applyBorder="1" applyAlignment="1">
      <alignment horizontal="center"/>
    </xf>
    <xf numFmtId="0" fontId="97" fillId="7" borderId="481" xfId="45" applyFont="1" applyFill="1" applyBorder="1" applyAlignment="1">
      <alignment horizontal="left" wrapText="1"/>
    </xf>
    <xf numFmtId="0" fontId="97" fillId="7" borderId="216" xfId="45" applyFont="1" applyFill="1" applyBorder="1" applyAlignment="1">
      <alignment horizontal="left" wrapText="1"/>
    </xf>
    <xf numFmtId="0" fontId="97" fillId="7" borderId="481" xfId="45" applyFont="1" applyFill="1" applyBorder="1" applyAlignment="1">
      <alignment horizontal="left"/>
    </xf>
    <xf numFmtId="0" fontId="97" fillId="7" borderId="216" xfId="45" applyFont="1" applyFill="1" applyBorder="1" applyAlignment="1">
      <alignment horizontal="left"/>
    </xf>
    <xf numFmtId="0" fontId="99" fillId="7" borderId="474" xfId="0" applyFont="1" applyFill="1" applyBorder="1" applyAlignment="1">
      <alignment horizontal="left" wrapText="1"/>
    </xf>
    <xf numFmtId="0" fontId="99" fillId="0" borderId="216" xfId="0" applyFont="1" applyBorder="1" applyAlignment="1">
      <alignment wrapText="1"/>
    </xf>
    <xf numFmtId="0" fontId="111" fillId="27" borderId="205" xfId="21" applyFont="1" applyFill="1" applyBorder="1" applyAlignment="1">
      <alignment horizontal="left" wrapText="1"/>
    </xf>
    <xf numFmtId="0" fontId="111" fillId="27" borderId="477" xfId="21" applyFont="1" applyFill="1" applyBorder="1" applyAlignment="1">
      <alignment horizontal="left" wrapText="1"/>
    </xf>
    <xf numFmtId="0" fontId="111" fillId="27" borderId="481" xfId="21" applyFont="1" applyFill="1" applyBorder="1" applyAlignment="1">
      <alignment horizontal="left" wrapText="1"/>
    </xf>
    <xf numFmtId="0" fontId="111" fillId="27" borderId="216" xfId="21" applyFont="1" applyFill="1" applyBorder="1" applyAlignment="1">
      <alignment horizontal="left" wrapText="1"/>
    </xf>
    <xf numFmtId="0" fontId="111" fillId="77" borderId="0" xfId="21" applyFont="1" applyFill="1" applyAlignment="1">
      <alignment horizontal="left"/>
    </xf>
    <xf numFmtId="0" fontId="75" fillId="65" borderId="474" xfId="45" applyFill="1" applyBorder="1" applyAlignment="1">
      <alignment horizontal="left"/>
    </xf>
    <xf numFmtId="0" fontId="75" fillId="65" borderId="216" xfId="45" applyFill="1" applyBorder="1" applyAlignment="1">
      <alignment horizontal="left"/>
    </xf>
    <xf numFmtId="0" fontId="111" fillId="0" borderId="0" xfId="21" applyFont="1" applyAlignment="1">
      <alignment horizontal="center"/>
    </xf>
    <xf numFmtId="0" fontId="152" fillId="9" borderId="432" xfId="21" applyFont="1" applyFill="1" applyBorder="1" applyAlignment="1">
      <alignment horizontal="left"/>
    </xf>
    <xf numFmtId="0" fontId="152" fillId="9" borderId="418" xfId="21" applyFont="1" applyFill="1" applyBorder="1" applyAlignment="1">
      <alignment horizontal="left"/>
    </xf>
    <xf numFmtId="0" fontId="152" fillId="9" borderId="146" xfId="21" applyFont="1" applyFill="1" applyBorder="1" applyAlignment="1">
      <alignment horizontal="left"/>
    </xf>
    <xf numFmtId="0" fontId="152" fillId="9" borderId="21" xfId="21" applyFont="1" applyFill="1" applyBorder="1" applyAlignment="1">
      <alignment horizontal="left"/>
    </xf>
    <xf numFmtId="0" fontId="111" fillId="27" borderId="485" xfId="21" applyFont="1" applyFill="1" applyBorder="1" applyAlignment="1">
      <alignment horizontal="left" wrapText="1"/>
    </xf>
    <xf numFmtId="0" fontId="111" fillId="27" borderId="31" xfId="21" applyFont="1" applyFill="1" applyBorder="1" applyAlignment="1">
      <alignment horizontal="left" wrapText="1"/>
    </xf>
    <xf numFmtId="0" fontId="111" fillId="27" borderId="485" xfId="21" applyFont="1" applyFill="1" applyBorder="1" applyAlignment="1">
      <alignment horizontal="left"/>
    </xf>
    <xf numFmtId="0" fontId="111" fillId="27" borderId="31" xfId="21" applyFont="1" applyFill="1" applyBorder="1" applyAlignment="1">
      <alignment horizontal="left"/>
    </xf>
    <xf numFmtId="0" fontId="85" fillId="7" borderId="479" xfId="45" applyFont="1" applyFill="1" applyBorder="1" applyAlignment="1">
      <alignment horizontal="left" wrapText="1"/>
    </xf>
    <xf numFmtId="0" fontId="85" fillId="7" borderId="480" xfId="45" applyFont="1" applyFill="1" applyBorder="1" applyAlignment="1">
      <alignment horizontal="left" wrapText="1"/>
    </xf>
    <xf numFmtId="0" fontId="157" fillId="7" borderId="474" xfId="45" applyFont="1" applyFill="1" applyBorder="1" applyAlignment="1">
      <alignment horizontal="left"/>
    </xf>
    <xf numFmtId="0" fontId="157" fillId="7" borderId="403" xfId="45" applyFont="1" applyFill="1" applyBorder="1" applyAlignment="1">
      <alignment horizontal="left"/>
    </xf>
    <xf numFmtId="0" fontId="157" fillId="7" borderId="216" xfId="45" applyFont="1" applyFill="1" applyBorder="1" applyAlignment="1">
      <alignment horizontal="left"/>
    </xf>
    <xf numFmtId="0" fontId="151" fillId="7" borderId="481" xfId="45" applyFont="1" applyFill="1" applyBorder="1" applyAlignment="1">
      <alignment horizontal="left"/>
    </xf>
    <xf numFmtId="0" fontId="151" fillId="7" borderId="216" xfId="45" applyFont="1" applyFill="1" applyBorder="1" applyAlignment="1">
      <alignment horizontal="left"/>
    </xf>
    <xf numFmtId="0" fontId="154" fillId="30" borderId="493" xfId="45" applyFont="1" applyFill="1" applyBorder="1" applyAlignment="1">
      <alignment horizontal="center" vertical="center" textRotation="90"/>
    </xf>
    <xf numFmtId="0" fontId="154" fillId="30" borderId="179" xfId="45" applyFont="1" applyFill="1" applyBorder="1" applyAlignment="1">
      <alignment horizontal="center" vertical="center" textRotation="90"/>
    </xf>
    <xf numFmtId="3" fontId="97" fillId="7" borderId="146" xfId="0" applyNumberFormat="1" applyFont="1" applyFill="1" applyBorder="1" applyAlignment="1">
      <alignment horizontal="left"/>
    </xf>
    <xf numFmtId="3" fontId="97" fillId="7" borderId="21" xfId="0" applyNumberFormat="1" applyFont="1" applyFill="1" applyBorder="1" applyAlignment="1">
      <alignment horizontal="left"/>
    </xf>
    <xf numFmtId="0" fontId="157" fillId="7" borderId="474" xfId="45" applyFont="1" applyFill="1" applyBorder="1" applyAlignment="1">
      <alignment horizontal="left" wrapText="1"/>
    </xf>
    <xf numFmtId="0" fontId="157" fillId="7" borderId="403" xfId="45" applyFont="1" applyFill="1" applyBorder="1" applyAlignment="1">
      <alignment horizontal="left" wrapText="1"/>
    </xf>
    <xf numFmtId="0" fontId="157" fillId="7" borderId="216" xfId="45" applyFont="1" applyFill="1" applyBorder="1" applyAlignment="1">
      <alignment horizontal="left" wrapText="1"/>
    </xf>
    <xf numFmtId="0" fontId="154" fillId="7" borderId="493" xfId="45" applyFont="1" applyFill="1" applyBorder="1" applyAlignment="1">
      <alignment horizontal="center" vertical="center" textRotation="90"/>
    </xf>
    <xf numFmtId="0" fontId="154" fillId="7" borderId="179" xfId="45" applyFont="1" applyFill="1" applyBorder="1" applyAlignment="1">
      <alignment horizontal="center" vertical="center" textRotation="90"/>
    </xf>
    <xf numFmtId="0" fontId="97" fillId="7" borderId="491" xfId="45" applyFont="1" applyFill="1" applyBorder="1" applyAlignment="1">
      <alignment horizontal="left" wrapText="1"/>
    </xf>
    <xf numFmtId="0" fontId="97" fillId="7" borderId="492" xfId="45" applyFont="1" applyFill="1" applyBorder="1" applyAlignment="1">
      <alignment horizontal="left" wrapText="1"/>
    </xf>
    <xf numFmtId="0" fontId="154" fillId="14" borderId="495" xfId="45" applyFont="1" applyFill="1" applyBorder="1" applyAlignment="1">
      <alignment horizontal="center" vertical="center" textRotation="90" wrapText="1"/>
    </xf>
    <xf numFmtId="0" fontId="154" fillId="14" borderId="179" xfId="45" applyFont="1" applyFill="1" applyBorder="1" applyAlignment="1">
      <alignment horizontal="center" vertical="center" textRotation="90" wrapText="1"/>
    </xf>
    <xf numFmtId="0" fontId="75" fillId="42" borderId="518" xfId="45" applyFill="1" applyBorder="1" applyAlignment="1">
      <alignment horizontal="left"/>
    </xf>
    <xf numFmtId="0" fontId="75" fillId="42" borderId="519" xfId="45" applyFill="1" applyBorder="1" applyAlignment="1">
      <alignment horizontal="left"/>
    </xf>
    <xf numFmtId="0" fontId="97" fillId="7" borderId="520" xfId="45" applyFont="1" applyFill="1" applyBorder="1" applyAlignment="1">
      <alignment horizontal="left" wrapText="1"/>
    </xf>
    <xf numFmtId="0" fontId="97" fillId="7" borderId="804" xfId="45" applyFont="1" applyFill="1" applyBorder="1" applyAlignment="1">
      <alignment horizontal="left" wrapText="1"/>
    </xf>
    <xf numFmtId="0" fontId="97" fillId="7" borderId="482" xfId="45" applyFont="1" applyFill="1" applyBorder="1" applyAlignment="1">
      <alignment horizontal="left"/>
    </xf>
    <xf numFmtId="0" fontId="97" fillId="7" borderId="804" xfId="45" applyFont="1" applyFill="1" applyBorder="1" applyAlignment="1">
      <alignment horizontal="left"/>
    </xf>
    <xf numFmtId="0" fontId="111" fillId="7" borderId="518" xfId="45" applyFont="1" applyFill="1" applyBorder="1" applyAlignment="1">
      <alignment horizontal="left" wrapText="1"/>
    </xf>
    <xf numFmtId="0" fontId="111" fillId="7" borderId="403" xfId="45" applyFont="1" applyFill="1" applyBorder="1" applyAlignment="1">
      <alignment horizontal="left" wrapText="1"/>
    </xf>
    <xf numFmtId="0" fontId="75" fillId="71" borderId="518" xfId="45" applyFill="1" applyBorder="1" applyAlignment="1">
      <alignment horizontal="left"/>
    </xf>
    <xf numFmtId="0" fontId="75" fillId="71" borderId="519" xfId="45" applyFill="1" applyBorder="1" applyAlignment="1">
      <alignment horizontal="left"/>
    </xf>
    <xf numFmtId="0" fontId="75" fillId="41" borderId="518" xfId="45" applyFill="1" applyBorder="1" applyAlignment="1">
      <alignment horizontal="left"/>
    </xf>
    <xf numFmtId="0" fontId="75" fillId="41" borderId="519" xfId="45" applyFill="1" applyBorder="1" applyAlignment="1">
      <alignment horizontal="left"/>
    </xf>
    <xf numFmtId="0" fontId="75" fillId="64" borderId="518" xfId="45" applyFill="1" applyBorder="1" applyAlignment="1">
      <alignment horizontal="left"/>
    </xf>
    <xf numFmtId="0" fontId="75" fillId="64" borderId="519" xfId="45" applyFill="1" applyBorder="1" applyAlignment="1">
      <alignment horizontal="left"/>
    </xf>
    <xf numFmtId="0" fontId="75" fillId="65" borderId="518" xfId="45" applyFill="1" applyBorder="1" applyAlignment="1">
      <alignment horizontal="left"/>
    </xf>
    <xf numFmtId="0" fontId="75" fillId="65" borderId="519" xfId="45" applyFill="1" applyBorder="1" applyAlignment="1">
      <alignment horizontal="left"/>
    </xf>
    <xf numFmtId="0" fontId="75" fillId="69" borderId="518" xfId="45" applyFill="1" applyBorder="1" applyAlignment="1">
      <alignment horizontal="left"/>
    </xf>
    <xf numFmtId="0" fontId="75" fillId="69" borderId="519" xfId="45" applyFill="1" applyBorder="1" applyAlignment="1">
      <alignment horizontal="left"/>
    </xf>
    <xf numFmtId="0" fontId="75" fillId="75" borderId="518" xfId="45" applyFill="1" applyBorder="1" applyAlignment="1">
      <alignment horizontal="left"/>
    </xf>
    <xf numFmtId="0" fontId="75" fillId="75" borderId="519" xfId="45" applyFill="1" applyBorder="1" applyAlignment="1">
      <alignment horizontal="left"/>
    </xf>
    <xf numFmtId="0" fontId="121" fillId="7" borderId="447" xfId="45" applyFont="1" applyFill="1" applyBorder="1" applyAlignment="1">
      <alignment horizontal="center"/>
    </xf>
    <xf numFmtId="0" fontId="4" fillId="7" borderId="439" xfId="0" applyFont="1" applyFill="1" applyBorder="1" applyAlignment="1">
      <alignment horizontal="center" wrapText="1"/>
    </xf>
    <xf numFmtId="0" fontId="4" fillId="7" borderId="420" xfId="0" applyFont="1" applyFill="1" applyBorder="1" applyAlignment="1">
      <alignment horizontal="center" wrapText="1"/>
    </xf>
    <xf numFmtId="0" fontId="111" fillId="7" borderId="520" xfId="45" applyFont="1" applyFill="1" applyBorder="1" applyAlignment="1">
      <alignment horizontal="left"/>
    </xf>
    <xf numFmtId="0" fontId="111" fillId="7" borderId="804" xfId="45" applyFont="1" applyFill="1" applyBorder="1" applyAlignment="1">
      <alignment horizontal="left"/>
    </xf>
    <xf numFmtId="0" fontId="97" fillId="7" borderId="521" xfId="45" applyFont="1" applyFill="1" applyBorder="1" applyAlignment="1">
      <alignment horizontal="left" wrapText="1"/>
    </xf>
    <xf numFmtId="0" fontId="97" fillId="7" borderId="403" xfId="45" applyFont="1" applyFill="1" applyBorder="1" applyAlignment="1">
      <alignment horizontal="left" wrapText="1"/>
    </xf>
    <xf numFmtId="0" fontId="121" fillId="69" borderId="196" xfId="45" applyFont="1" applyFill="1" applyBorder="1" applyAlignment="1">
      <alignment horizontal="center"/>
    </xf>
    <xf numFmtId="0" fontId="121" fillId="69" borderId="195" xfId="45" applyFont="1" applyFill="1" applyBorder="1" applyAlignment="1">
      <alignment horizontal="center"/>
    </xf>
    <xf numFmtId="0" fontId="121" fillId="69" borderId="447" xfId="45" applyFont="1" applyFill="1" applyBorder="1" applyAlignment="1">
      <alignment horizontal="center"/>
    </xf>
    <xf numFmtId="0" fontId="121" fillId="69" borderId="783" xfId="45" applyFont="1" applyFill="1" applyBorder="1" applyAlignment="1">
      <alignment horizontal="center"/>
    </xf>
    <xf numFmtId="0" fontId="82" fillId="11" borderId="196" xfId="45" applyFont="1" applyFill="1" applyBorder="1" applyAlignment="1">
      <alignment horizontal="center" vertical="center" wrapText="1"/>
    </xf>
    <xf numFmtId="0" fontId="0" fillId="11" borderId="197" xfId="0" applyFill="1" applyBorder="1" applyAlignment="1">
      <alignment horizontal="center" wrapText="1"/>
    </xf>
    <xf numFmtId="0" fontId="0" fillId="11" borderId="146" xfId="0" applyFill="1" applyBorder="1" applyAlignment="1">
      <alignment horizontal="center" wrapText="1"/>
    </xf>
    <xf numFmtId="0" fontId="0" fillId="11" borderId="54" xfId="0" applyFill="1" applyBorder="1" applyAlignment="1">
      <alignment horizontal="center" wrapText="1"/>
    </xf>
    <xf numFmtId="0" fontId="111" fillId="7" borderId="520" xfId="45" applyFont="1" applyFill="1" applyBorder="1" applyAlignment="1">
      <alignment horizontal="left" wrapText="1"/>
    </xf>
    <xf numFmtId="0" fontId="111" fillId="7" borderId="804" xfId="45" applyFont="1" applyFill="1" applyBorder="1" applyAlignment="1">
      <alignment horizontal="left" wrapText="1"/>
    </xf>
    <xf numFmtId="0" fontId="151" fillId="7" borderId="482" xfId="45" applyFont="1" applyFill="1" applyBorder="1" applyAlignment="1">
      <alignment horizontal="left"/>
    </xf>
    <xf numFmtId="0" fontId="151" fillId="7" borderId="804" xfId="45" applyFont="1" applyFill="1" applyBorder="1" applyAlignment="1">
      <alignment horizontal="left"/>
    </xf>
    <xf numFmtId="0" fontId="119" fillId="7" borderId="0" xfId="45" applyFont="1" applyFill="1"/>
    <xf numFmtId="0" fontId="120" fillId="30" borderId="439" xfId="45" applyFont="1" applyFill="1" applyBorder="1" applyAlignment="1">
      <alignment horizontal="center"/>
    </xf>
    <xf numFmtId="0" fontId="115" fillId="30" borderId="447" xfId="0" applyFont="1" applyFill="1" applyBorder="1" applyAlignment="1">
      <alignment horizontal="center"/>
    </xf>
    <xf numFmtId="0" fontId="115" fillId="30" borderId="420" xfId="0" applyFont="1" applyFill="1" applyBorder="1" applyAlignment="1">
      <alignment horizontal="center"/>
    </xf>
    <xf numFmtId="0" fontId="120" fillId="11" borderId="439" xfId="45" applyFont="1" applyFill="1" applyBorder="1" applyAlignment="1">
      <alignment horizontal="center"/>
    </xf>
    <xf numFmtId="0" fontId="120" fillId="11" borderId="447" xfId="45" applyFont="1" applyFill="1" applyBorder="1" applyAlignment="1">
      <alignment horizontal="center"/>
    </xf>
    <xf numFmtId="0" fontId="115" fillId="11" borderId="447" xfId="0" applyFont="1" applyFill="1" applyBorder="1" applyAlignment="1">
      <alignment horizontal="center"/>
    </xf>
    <xf numFmtId="0" fontId="115" fillId="11" borderId="420" xfId="0" applyFont="1" applyFill="1" applyBorder="1" applyAlignment="1">
      <alignment horizontal="center"/>
    </xf>
    <xf numFmtId="0" fontId="4" fillId="82" borderId="439" xfId="0" applyFont="1" applyFill="1" applyBorder="1" applyAlignment="1">
      <alignment horizontal="center" wrapText="1"/>
    </xf>
    <xf numFmtId="0" fontId="4" fillId="82" borderId="420" xfId="0" applyFont="1" applyFill="1" applyBorder="1" applyAlignment="1">
      <alignment horizontal="center" wrapText="1"/>
    </xf>
    <xf numFmtId="0" fontId="121" fillId="82" borderId="195" xfId="45" applyFont="1" applyFill="1" applyBorder="1" applyAlignment="1">
      <alignment horizontal="center"/>
    </xf>
    <xf numFmtId="0" fontId="4" fillId="81" borderId="207" xfId="0" applyFont="1" applyFill="1" applyBorder="1" applyAlignment="1">
      <alignment horizontal="center"/>
    </xf>
    <xf numFmtId="0" fontId="4" fillId="81" borderId="211" xfId="0" applyFont="1" applyFill="1" applyBorder="1" applyAlignment="1">
      <alignment horizontal="center"/>
    </xf>
    <xf numFmtId="0" fontId="121" fillId="81" borderId="195" xfId="45" applyFont="1" applyFill="1" applyBorder="1" applyAlignment="1">
      <alignment horizontal="center"/>
    </xf>
    <xf numFmtId="0" fontId="121" fillId="81" borderId="202" xfId="45" applyFont="1" applyFill="1" applyBorder="1" applyAlignment="1">
      <alignment horizontal="center"/>
    </xf>
    <xf numFmtId="0" fontId="120" fillId="69" borderId="439" xfId="45" applyFont="1" applyFill="1" applyBorder="1" applyAlignment="1">
      <alignment horizontal="center" vertical="center" wrapText="1"/>
    </xf>
    <xf numFmtId="0" fontId="120" fillId="69" borderId="447" xfId="45" applyFont="1" applyFill="1" applyBorder="1" applyAlignment="1">
      <alignment horizontal="center" vertical="center" wrapText="1"/>
    </xf>
    <xf numFmtId="0" fontId="120" fillId="69" borderId="783" xfId="45" applyFont="1" applyFill="1" applyBorder="1" applyAlignment="1">
      <alignment horizontal="center" vertical="center" wrapText="1"/>
    </xf>
    <xf numFmtId="0" fontId="120" fillId="69" borderId="420" xfId="45" applyFont="1" applyFill="1" applyBorder="1" applyAlignment="1">
      <alignment horizontal="center" vertical="center" wrapText="1"/>
    </xf>
    <xf numFmtId="0" fontId="150" fillId="80" borderId="439" xfId="45" applyFont="1" applyFill="1" applyBorder="1" applyAlignment="1">
      <alignment horizontal="center" vertical="center" wrapText="1"/>
    </xf>
    <xf numFmtId="0" fontId="150" fillId="80" borderId="783" xfId="45" applyFont="1" applyFill="1" applyBorder="1" applyAlignment="1">
      <alignment horizontal="center" vertical="center" wrapText="1"/>
    </xf>
    <xf numFmtId="0" fontId="149" fillId="80" borderId="447" xfId="45" applyFont="1" applyFill="1" applyBorder="1" applyAlignment="1">
      <alignment horizontal="center" vertical="center" wrapText="1"/>
    </xf>
    <xf numFmtId="0" fontId="149" fillId="80" borderId="783" xfId="45" applyFont="1" applyFill="1" applyBorder="1" applyAlignment="1">
      <alignment horizontal="center" vertical="center" wrapText="1"/>
    </xf>
    <xf numFmtId="0" fontId="149" fillId="80" borderId="420" xfId="45" applyFont="1" applyFill="1" applyBorder="1" applyAlignment="1">
      <alignment horizontal="center" vertical="center" wrapText="1"/>
    </xf>
    <xf numFmtId="0" fontId="120" fillId="83" borderId="439" xfId="45" applyFont="1" applyFill="1" applyBorder="1" applyAlignment="1">
      <alignment horizontal="center" vertical="center" wrapText="1"/>
    </xf>
    <xf numFmtId="0" fontId="120" fillId="83" borderId="783" xfId="45" applyFont="1" applyFill="1" applyBorder="1" applyAlignment="1">
      <alignment horizontal="center" vertical="center" wrapText="1"/>
    </xf>
    <xf numFmtId="0" fontId="120" fillId="83" borderId="447" xfId="45" applyFont="1" applyFill="1" applyBorder="1" applyAlignment="1">
      <alignment horizontal="center" vertical="center" wrapText="1"/>
    </xf>
    <xf numFmtId="0" fontId="120" fillId="83" borderId="420" xfId="45" applyFont="1" applyFill="1" applyBorder="1" applyAlignment="1">
      <alignment horizontal="center" vertical="center" wrapText="1"/>
    </xf>
    <xf numFmtId="0" fontId="120" fillId="41" borderId="439" xfId="45" applyFont="1" applyFill="1" applyBorder="1" applyAlignment="1">
      <alignment horizontal="center" wrapText="1"/>
    </xf>
    <xf numFmtId="0" fontId="115" fillId="41" borderId="447" xfId="0" applyFont="1" applyFill="1" applyBorder="1" applyAlignment="1">
      <alignment horizontal="center" wrapText="1"/>
    </xf>
    <xf numFmtId="0" fontId="115" fillId="41" borderId="420" xfId="0" applyFont="1" applyFill="1" applyBorder="1" applyAlignment="1">
      <alignment horizontal="center" wrapText="1"/>
    </xf>
    <xf numFmtId="0" fontId="120" fillId="82" borderId="439" xfId="45" applyFont="1" applyFill="1" applyBorder="1" applyAlignment="1">
      <alignment horizontal="center" wrapText="1"/>
    </xf>
    <xf numFmtId="0" fontId="120" fillId="82" borderId="447" xfId="45" applyFont="1" applyFill="1" applyBorder="1" applyAlignment="1">
      <alignment horizontal="center" wrapText="1"/>
    </xf>
    <xf numFmtId="0" fontId="115" fillId="82" borderId="447" xfId="0" applyFont="1" applyFill="1" applyBorder="1" applyAlignment="1">
      <alignment horizontal="center" wrapText="1"/>
    </xf>
    <xf numFmtId="0" fontId="115" fillId="82" borderId="420" xfId="0" applyFont="1" applyFill="1" applyBorder="1" applyAlignment="1">
      <alignment horizontal="center" wrapText="1"/>
    </xf>
    <xf numFmtId="0" fontId="120" fillId="81" borderId="439" xfId="45" applyFont="1" applyFill="1" applyBorder="1" applyAlignment="1">
      <alignment horizontal="center" wrapText="1"/>
    </xf>
    <xf numFmtId="0" fontId="115" fillId="81" borderId="447" xfId="0" applyFont="1" applyFill="1" applyBorder="1" applyAlignment="1">
      <alignment horizontal="center" wrapText="1"/>
    </xf>
    <xf numFmtId="0" fontId="115" fillId="81" borderId="420" xfId="0" applyFont="1" applyFill="1" applyBorder="1" applyAlignment="1">
      <alignment horizontal="center" wrapText="1"/>
    </xf>
    <xf numFmtId="0" fontId="120" fillId="7" borderId="439" xfId="45" applyFont="1" applyFill="1" applyBorder="1" applyAlignment="1">
      <alignment horizontal="center" vertical="center" wrapText="1"/>
    </xf>
    <xf numFmtId="0" fontId="120" fillId="7" borderId="447" xfId="45" applyFont="1" applyFill="1" applyBorder="1" applyAlignment="1">
      <alignment horizontal="center" vertical="center" wrapText="1"/>
    </xf>
    <xf numFmtId="0" fontId="120" fillId="7" borderId="420" xfId="45" applyFont="1" applyFill="1" applyBorder="1" applyAlignment="1">
      <alignment horizontal="center" vertical="center" wrapText="1"/>
    </xf>
    <xf numFmtId="0" fontId="186" fillId="84" borderId="439" xfId="45" applyFont="1" applyFill="1" applyBorder="1" applyAlignment="1">
      <alignment horizontal="center"/>
    </xf>
    <xf numFmtId="0" fontId="186" fillId="84" borderId="447" xfId="45" applyFont="1" applyFill="1" applyBorder="1" applyAlignment="1">
      <alignment horizontal="center"/>
    </xf>
    <xf numFmtId="0" fontId="186" fillId="84" borderId="783" xfId="45" applyFont="1" applyFill="1" applyBorder="1" applyAlignment="1">
      <alignment horizontal="center"/>
    </xf>
    <xf numFmtId="0" fontId="186" fillId="84" borderId="420" xfId="45" applyFont="1" applyFill="1" applyBorder="1" applyAlignment="1">
      <alignment horizontal="center"/>
    </xf>
    <xf numFmtId="4" fontId="84" fillId="0" borderId="37" xfId="46" applyNumberFormat="1" applyFont="1" applyFill="1" applyBorder="1" applyAlignment="1">
      <alignment horizontal="left"/>
    </xf>
    <xf numFmtId="0" fontId="30" fillId="69" borderId="439" xfId="0" applyFont="1" applyFill="1" applyBorder="1" applyAlignment="1">
      <alignment horizontal="center" wrapText="1"/>
    </xf>
    <xf numFmtId="0" fontId="30" fillId="69" borderId="420" xfId="0" applyFont="1" applyFill="1" applyBorder="1" applyAlignment="1">
      <alignment horizontal="center" wrapText="1"/>
    </xf>
    <xf numFmtId="0" fontId="4" fillId="80" borderId="439" xfId="0" applyFont="1" applyFill="1" applyBorder="1" applyAlignment="1">
      <alignment horizontal="center" wrapText="1"/>
    </xf>
    <xf numFmtId="0" fontId="4" fillId="80" borderId="420" xfId="0" applyFont="1" applyFill="1" applyBorder="1" applyAlignment="1">
      <alignment horizontal="center" wrapText="1"/>
    </xf>
    <xf numFmtId="0" fontId="4" fillId="41" borderId="439" xfId="0" applyFont="1" applyFill="1" applyBorder="1" applyAlignment="1">
      <alignment horizontal="center" wrapText="1"/>
    </xf>
    <xf numFmtId="0" fontId="4" fillId="41" borderId="420" xfId="0" applyFont="1" applyFill="1" applyBorder="1" applyAlignment="1">
      <alignment horizontal="center" wrapText="1"/>
    </xf>
    <xf numFmtId="0" fontId="121" fillId="41" borderId="447" xfId="45" applyFont="1" applyFill="1" applyBorder="1" applyAlignment="1">
      <alignment horizontal="center" wrapText="1"/>
    </xf>
    <xf numFmtId="0" fontId="121" fillId="83" borderId="447" xfId="45" applyFont="1" applyFill="1" applyBorder="1" applyAlignment="1">
      <alignment horizontal="center"/>
    </xf>
    <xf numFmtId="0" fontId="121" fillId="83" borderId="783" xfId="45" applyFont="1" applyFill="1" applyBorder="1" applyAlignment="1">
      <alignment horizontal="center"/>
    </xf>
    <xf numFmtId="0" fontId="4" fillId="83" borderId="439" xfId="0" applyFont="1" applyFill="1" applyBorder="1" applyAlignment="1">
      <alignment horizontal="center" wrapText="1"/>
    </xf>
    <xf numFmtId="0" fontId="4" fillId="83" borderId="420" xfId="0" applyFont="1" applyFill="1" applyBorder="1" applyAlignment="1">
      <alignment horizontal="center" wrapText="1"/>
    </xf>
    <xf numFmtId="0" fontId="152" fillId="10" borderId="0" xfId="45" applyFont="1" applyFill="1" applyAlignment="1">
      <alignment horizontal="left"/>
    </xf>
    <xf numFmtId="0" fontId="152" fillId="10" borderId="116" xfId="45" applyFont="1" applyFill="1" applyBorder="1" applyAlignment="1">
      <alignment horizontal="left"/>
    </xf>
    <xf numFmtId="0" fontId="121" fillId="80" borderId="783" xfId="45" applyFont="1" applyFill="1" applyBorder="1" applyAlignment="1">
      <alignment horizontal="center" wrapText="1"/>
    </xf>
    <xf numFmtId="0" fontId="121" fillId="80" borderId="244" xfId="45" applyFont="1" applyFill="1" applyBorder="1" applyAlignment="1">
      <alignment horizontal="center" wrapText="1"/>
    </xf>
    <xf numFmtId="0" fontId="121" fillId="80" borderId="241" xfId="45" applyFont="1" applyFill="1" applyBorder="1" applyAlignment="1">
      <alignment horizontal="center" wrapText="1"/>
    </xf>
    <xf numFmtId="0" fontId="121" fillId="80" borderId="241" xfId="45" applyFont="1" applyFill="1" applyBorder="1" applyAlignment="1">
      <alignment horizontal="center"/>
    </xf>
    <xf numFmtId="0" fontId="121" fillId="80" borderId="783" xfId="45" applyFont="1" applyFill="1" applyBorder="1" applyAlignment="1">
      <alignment horizontal="center"/>
    </xf>
    <xf numFmtId="0" fontId="121" fillId="80" borderId="244" xfId="45" applyFont="1" applyFill="1" applyBorder="1" applyAlignment="1">
      <alignment horizontal="center"/>
    </xf>
    <xf numFmtId="0" fontId="97" fillId="30" borderId="539" xfId="45" applyFont="1" applyFill="1" applyBorder="1" applyAlignment="1">
      <alignment horizontal="left" wrapText="1"/>
    </xf>
    <xf numFmtId="0" fontId="97" fillId="7" borderId="535" xfId="45" applyFont="1" applyFill="1" applyBorder="1" applyAlignment="1">
      <alignment horizontal="left" wrapText="1"/>
    </xf>
    <xf numFmtId="0" fontId="97" fillId="7" borderId="536" xfId="45" applyFont="1" applyFill="1" applyBorder="1" applyAlignment="1">
      <alignment horizontal="left" wrapText="1"/>
    </xf>
    <xf numFmtId="0" fontId="111" fillId="27" borderId="520" xfId="21" applyFont="1" applyFill="1" applyBorder="1" applyAlignment="1">
      <alignment horizontal="left" wrapText="1"/>
    </xf>
    <xf numFmtId="0" fontId="111" fillId="27" borderId="804" xfId="21" applyFont="1" applyFill="1" applyBorder="1" applyAlignment="1">
      <alignment horizontal="left" wrapText="1"/>
    </xf>
    <xf numFmtId="0" fontId="111" fillId="27" borderId="521" xfId="21" applyFont="1" applyFill="1" applyBorder="1" applyAlignment="1">
      <alignment horizontal="left" wrapText="1"/>
    </xf>
    <xf numFmtId="0" fontId="111" fillId="27" borderId="403" xfId="21" applyFont="1" applyFill="1" applyBorder="1" applyAlignment="1">
      <alignment horizontal="left" wrapText="1"/>
    </xf>
    <xf numFmtId="0" fontId="154" fillId="7" borderId="495" xfId="45" applyFont="1" applyFill="1" applyBorder="1" applyAlignment="1">
      <alignment horizontal="center" vertical="center" textRotation="90"/>
    </xf>
    <xf numFmtId="0" fontId="97" fillId="10" borderId="0" xfId="45" applyFont="1" applyFill="1" applyAlignment="1">
      <alignment horizontal="left"/>
    </xf>
    <xf numFmtId="0" fontId="157" fillId="7" borderId="400" xfId="45" applyFont="1" applyFill="1" applyBorder="1" applyAlignment="1">
      <alignment horizontal="left" wrapText="1"/>
    </xf>
    <xf numFmtId="0" fontId="157" fillId="7" borderId="47" xfId="45" applyFont="1" applyFill="1" applyBorder="1" applyAlignment="1">
      <alignment horizontal="left" wrapText="1"/>
    </xf>
    <xf numFmtId="0" fontId="99" fillId="7" borderId="527" xfId="0" applyFont="1" applyFill="1" applyBorder="1" applyAlignment="1">
      <alignment horizontal="left" wrapText="1"/>
    </xf>
    <xf numFmtId="0" fontId="97" fillId="0" borderId="528" xfId="0" applyFont="1" applyBorder="1" applyAlignment="1">
      <alignment wrapText="1"/>
    </xf>
    <xf numFmtId="0" fontId="154" fillId="30" borderId="539" xfId="45" applyFont="1" applyFill="1" applyBorder="1" applyAlignment="1">
      <alignment horizontal="center" vertical="center" textRotation="90"/>
    </xf>
    <xf numFmtId="0" fontId="97" fillId="7" borderId="474" xfId="45" applyFont="1" applyFill="1" applyBorder="1" applyAlignment="1">
      <alignment horizontal="left"/>
    </xf>
    <xf numFmtId="0" fontId="97" fillId="7" borderId="403" xfId="45" applyFont="1" applyFill="1" applyBorder="1" applyAlignment="1">
      <alignment horizontal="left"/>
    </xf>
    <xf numFmtId="0" fontId="4" fillId="0" borderId="207" xfId="0" applyFont="1" applyBorder="1" applyAlignment="1">
      <alignment horizontal="center"/>
    </xf>
    <xf numFmtId="0" fontId="4" fillId="0" borderId="222" xfId="0" applyFont="1" applyBorder="1" applyAlignment="1">
      <alignment horizontal="center"/>
    </xf>
    <xf numFmtId="0" fontId="29" fillId="0" borderId="421" xfId="0" applyFont="1" applyBorder="1" applyAlignment="1">
      <alignment horizontal="center"/>
    </xf>
    <xf numFmtId="0" fontId="29" fillId="0" borderId="540" xfId="0" applyFont="1" applyBorder="1" applyAlignment="1">
      <alignment horizontal="center"/>
    </xf>
    <xf numFmtId="0" fontId="64" fillId="10" borderId="585" xfId="0" applyFont="1" applyFill="1" applyBorder="1" applyAlignment="1">
      <alignment horizontal="left"/>
    </xf>
    <xf numFmtId="0" fontId="64" fillId="10" borderId="601" xfId="0" applyFont="1" applyFill="1" applyBorder="1" applyAlignment="1">
      <alignment horizontal="left"/>
    </xf>
    <xf numFmtId="0" fontId="63" fillId="10" borderId="585" xfId="0" applyFont="1" applyFill="1" applyBorder="1" applyAlignment="1">
      <alignment horizontal="left"/>
    </xf>
    <xf numFmtId="0" fontId="63" fillId="10" borderId="601" xfId="0" applyFont="1" applyFill="1" applyBorder="1" applyAlignment="1">
      <alignment horizontal="left"/>
    </xf>
    <xf numFmtId="4" fontId="4" fillId="33" borderId="615" xfId="1" applyFont="1" applyFill="1" applyBorder="1" applyAlignment="1" applyProtection="1">
      <alignment horizontal="right"/>
      <protection locked="0"/>
    </xf>
    <xf numFmtId="4" fontId="4" fillId="33" borderId="403" xfId="1" applyFont="1" applyFill="1" applyBorder="1" applyAlignment="1" applyProtection="1">
      <alignment horizontal="right"/>
      <protection locked="0"/>
    </xf>
    <xf numFmtId="4" fontId="4" fillId="33" borderId="524" xfId="1" applyFont="1" applyFill="1" applyBorder="1" applyAlignment="1" applyProtection="1">
      <alignment horizontal="right"/>
      <protection locked="0"/>
    </xf>
    <xf numFmtId="4" fontId="4" fillId="33" borderId="205" xfId="1" applyFont="1" applyFill="1" applyBorder="1" applyAlignment="1" applyProtection="1">
      <alignment horizontal="right"/>
      <protection locked="0"/>
    </xf>
    <xf numFmtId="4" fontId="4" fillId="33" borderId="476" xfId="1" applyFont="1" applyFill="1" applyBorder="1" applyAlignment="1" applyProtection="1">
      <alignment horizontal="right"/>
      <protection locked="0"/>
    </xf>
    <xf numFmtId="4" fontId="4" fillId="33" borderId="614" xfId="1" applyFont="1" applyFill="1" applyBorder="1" applyAlignment="1" applyProtection="1">
      <alignment horizontal="right"/>
      <protection locked="0"/>
    </xf>
    <xf numFmtId="0" fontId="4" fillId="33" borderId="554" xfId="0" applyFont="1" applyFill="1" applyBorder="1" applyAlignment="1" applyProtection="1">
      <alignment horizontal="left"/>
      <protection locked="0"/>
    </xf>
    <xf numFmtId="0" fontId="4" fillId="33" borderId="546" xfId="0" applyFont="1" applyFill="1" applyBorder="1" applyAlignment="1" applyProtection="1">
      <alignment horizontal="left"/>
      <protection locked="0"/>
    </xf>
    <xf numFmtId="4" fontId="64" fillId="10" borderId="585" xfId="0" applyNumberFormat="1" applyFont="1" applyFill="1" applyBorder="1" applyAlignment="1">
      <alignment horizontal="right"/>
    </xf>
    <xf numFmtId="4" fontId="64" fillId="10" borderId="601" xfId="0" applyNumberFormat="1" applyFont="1" applyFill="1" applyBorder="1" applyAlignment="1">
      <alignment horizontal="right"/>
    </xf>
    <xf numFmtId="4" fontId="64" fillId="10" borderId="602" xfId="0" applyNumberFormat="1" applyFont="1" applyFill="1" applyBorder="1" applyAlignment="1">
      <alignment horizontal="right"/>
    </xf>
    <xf numFmtId="4" fontId="63" fillId="10" borderId="585" xfId="0" applyNumberFormat="1" applyFont="1" applyFill="1" applyBorder="1" applyAlignment="1">
      <alignment horizontal="right"/>
    </xf>
    <xf numFmtId="4" fontId="63" fillId="10" borderId="602" xfId="0" applyNumberFormat="1" applyFont="1" applyFill="1" applyBorder="1" applyAlignment="1">
      <alignment horizontal="right"/>
    </xf>
    <xf numFmtId="4" fontId="64" fillId="10" borderId="313" xfId="0" applyNumberFormat="1" applyFont="1" applyFill="1" applyBorder="1" applyAlignment="1">
      <alignment horizontal="right"/>
    </xf>
    <xf numFmtId="4" fontId="64" fillId="10" borderId="267" xfId="0" applyNumberFormat="1" applyFont="1" applyFill="1" applyBorder="1" applyAlignment="1">
      <alignment horizontal="right"/>
    </xf>
    <xf numFmtId="4" fontId="63" fillId="10" borderId="601" xfId="0" applyNumberFormat="1" applyFont="1" applyFill="1" applyBorder="1" applyAlignment="1">
      <alignment horizontal="right"/>
    </xf>
    <xf numFmtId="0" fontId="22" fillId="11" borderId="196" xfId="0" applyFont="1" applyFill="1" applyBorder="1" applyAlignment="1">
      <alignment horizontal="center"/>
    </xf>
    <xf numFmtId="0" fontId="22" fillId="11" borderId="195" xfId="0" applyFont="1" applyFill="1" applyBorder="1" applyAlignment="1">
      <alignment horizontal="center"/>
    </xf>
    <xf numFmtId="0" fontId="22" fillId="11" borderId="197" xfId="0" applyFont="1" applyFill="1" applyBorder="1" applyAlignment="1">
      <alignment horizontal="center"/>
    </xf>
    <xf numFmtId="0" fontId="22" fillId="11" borderId="313" xfId="0" applyFont="1" applyFill="1" applyBorder="1" applyAlignment="1">
      <alignment horizontal="center"/>
    </xf>
    <xf numFmtId="0" fontId="22" fillId="11" borderId="207" xfId="0" applyFont="1" applyFill="1" applyBorder="1" applyAlignment="1">
      <alignment horizontal="center"/>
    </xf>
    <xf numFmtId="0" fontId="22" fillId="11" borderId="267" xfId="0" applyFont="1" applyFill="1" applyBorder="1" applyAlignment="1">
      <alignment horizontal="center"/>
    </xf>
    <xf numFmtId="0" fontId="4" fillId="7" borderId="54" xfId="0" applyFont="1" applyFill="1" applyBorder="1" applyAlignment="1">
      <alignment horizontal="center" vertical="center" wrapText="1"/>
    </xf>
    <xf numFmtId="3" fontId="70" fillId="18" borderId="0" xfId="15" applyFont="1" applyFill="1" applyBorder="1" applyAlignment="1" applyProtection="1">
      <alignment horizontal="left"/>
    </xf>
    <xf numFmtId="3" fontId="70" fillId="18" borderId="54" xfId="15" applyFont="1" applyFill="1" applyBorder="1" applyAlignment="1" applyProtection="1">
      <alignment horizontal="left"/>
    </xf>
    <xf numFmtId="3" fontId="38" fillId="11" borderId="196" xfId="15" applyFont="1" applyFill="1" applyBorder="1" applyAlignment="1" applyProtection="1">
      <alignment horizontal="left" vertical="center"/>
    </xf>
    <xf numFmtId="3" fontId="38" fillId="11" borderId="195" xfId="15" applyFont="1" applyFill="1" applyBorder="1" applyAlignment="1" applyProtection="1">
      <alignment horizontal="left" vertical="center"/>
    </xf>
    <xf numFmtId="3" fontId="38" fillId="11" borderId="197" xfId="15" applyFont="1" applyFill="1" applyBorder="1" applyAlignment="1" applyProtection="1">
      <alignment horizontal="left" vertical="center"/>
    </xf>
    <xf numFmtId="3" fontId="38" fillId="11" borderId="313" xfId="15" applyFont="1" applyFill="1" applyBorder="1" applyAlignment="1" applyProtection="1">
      <alignment horizontal="left" vertical="center"/>
    </xf>
    <xf numFmtId="3" fontId="38" fillId="11" borderId="207" xfId="15" applyFont="1" applyFill="1" applyBorder="1" applyAlignment="1" applyProtection="1">
      <alignment horizontal="left" vertical="center"/>
    </xf>
    <xf numFmtId="3" fontId="38" fillId="11" borderId="267" xfId="15" applyFont="1" applyFill="1" applyBorder="1" applyAlignment="1" applyProtection="1">
      <alignment horizontal="left" vertical="center"/>
    </xf>
    <xf numFmtId="3" fontId="38" fillId="3" borderId="313" xfId="15" applyFont="1" applyFill="1" applyBorder="1" applyAlignment="1" applyProtection="1">
      <alignment horizontal="center"/>
    </xf>
    <xf numFmtId="3" fontId="38" fillId="3" borderId="267" xfId="15" applyFont="1" applyFill="1" applyBorder="1" applyAlignment="1" applyProtection="1">
      <alignment horizontal="center"/>
    </xf>
    <xf numFmtId="4" fontId="101" fillId="33" borderId="590" xfId="15" applyNumberFormat="1" applyFont="1" applyFill="1" applyBorder="1" applyAlignment="1" applyProtection="1">
      <alignment horizontal="right"/>
      <protection locked="0"/>
    </xf>
    <xf numFmtId="4" fontId="101" fillId="33" borderId="591" xfId="15" applyNumberFormat="1" applyFont="1" applyFill="1" applyBorder="1" applyAlignment="1" applyProtection="1">
      <alignment horizontal="right"/>
      <protection locked="0"/>
    </xf>
    <xf numFmtId="4" fontId="101" fillId="33" borderId="598" xfId="15" applyNumberFormat="1" applyFont="1" applyFill="1" applyBorder="1" applyAlignment="1" applyProtection="1">
      <alignment horizontal="right"/>
      <protection locked="0"/>
    </xf>
    <xf numFmtId="4" fontId="101" fillId="33" borderId="599" xfId="15" applyNumberFormat="1" applyFont="1" applyFill="1" applyBorder="1" applyAlignment="1" applyProtection="1">
      <alignment horizontal="right"/>
      <protection locked="0"/>
    </xf>
    <xf numFmtId="4" fontId="101" fillId="33" borderId="513" xfId="15" applyNumberFormat="1" applyFont="1" applyFill="1" applyBorder="1" applyAlignment="1" applyProtection="1">
      <alignment horizontal="right"/>
      <protection locked="0"/>
    </xf>
    <xf numFmtId="4" fontId="101" fillId="33" borderId="600" xfId="15" applyNumberFormat="1" applyFont="1" applyFill="1" applyBorder="1" applyAlignment="1" applyProtection="1">
      <alignment horizontal="right"/>
      <protection locked="0"/>
    </xf>
    <xf numFmtId="4" fontId="70" fillId="10" borderId="601" xfId="15" applyNumberFormat="1" applyFont="1" applyFill="1" applyBorder="1" applyAlignment="1" applyProtection="1">
      <alignment horizontal="right"/>
    </xf>
    <xf numFmtId="4" fontId="70" fillId="10" borderId="602" xfId="15" applyNumberFormat="1" applyFont="1" applyFill="1" applyBorder="1" applyAlignment="1" applyProtection="1">
      <alignment horizontal="right"/>
    </xf>
    <xf numFmtId="3" fontId="38" fillId="3" borderId="207" xfId="15" applyFont="1" applyFill="1" applyBorder="1" applyAlignment="1" applyProtection="1">
      <alignment horizontal="center"/>
    </xf>
    <xf numFmtId="3" fontId="70" fillId="10" borderId="207" xfId="15" applyFont="1" applyFill="1" applyBorder="1" applyAlignment="1" applyProtection="1">
      <alignment horizontal="left"/>
    </xf>
    <xf numFmtId="0" fontId="38" fillId="30" borderId="146" xfId="0" applyFont="1" applyFill="1" applyBorder="1" applyAlignment="1">
      <alignment horizontal="center"/>
    </xf>
    <xf numFmtId="0" fontId="38" fillId="30" borderId="0" xfId="0" applyFont="1" applyFill="1" applyAlignment="1">
      <alignment horizontal="center"/>
    </xf>
    <xf numFmtId="1" fontId="140" fillId="7" borderId="585" xfId="0" applyNumberFormat="1" applyFont="1" applyFill="1" applyBorder="1" applyAlignment="1">
      <alignment horizontal="center"/>
    </xf>
    <xf numFmtId="0" fontId="140" fillId="7" borderId="601" xfId="0" applyFont="1" applyFill="1" applyBorder="1" applyAlignment="1">
      <alignment horizontal="center"/>
    </xf>
    <xf numFmtId="0" fontId="140" fillId="7" borderId="602" xfId="0" applyFont="1" applyFill="1" applyBorder="1" applyAlignment="1">
      <alignment horizontal="center"/>
    </xf>
    <xf numFmtId="4" fontId="4" fillId="7" borderId="608" xfId="0" applyNumberFormat="1" applyFont="1" applyFill="1" applyBorder="1" applyAlignment="1">
      <alignment horizontal="right"/>
    </xf>
    <xf numFmtId="4" fontId="4" fillId="7" borderId="607" xfId="0" applyNumberFormat="1" applyFont="1" applyFill="1" applyBorder="1" applyAlignment="1">
      <alignment horizontal="right"/>
    </xf>
    <xf numFmtId="4" fontId="4" fillId="7" borderId="609" xfId="0" applyNumberFormat="1" applyFont="1" applyFill="1" applyBorder="1" applyAlignment="1">
      <alignment horizontal="right"/>
    </xf>
    <xf numFmtId="0" fontId="38" fillId="7" borderId="604" xfId="0" applyFont="1" applyFill="1" applyBorder="1" applyAlignment="1">
      <alignment horizontal="left"/>
    </xf>
    <xf numFmtId="0" fontId="38" fillId="7" borderId="601" xfId="0" applyFont="1" applyFill="1" applyBorder="1" applyAlignment="1">
      <alignment horizontal="left"/>
    </xf>
    <xf numFmtId="0" fontId="4" fillId="7" borderId="606" xfId="0" applyFont="1" applyFill="1" applyBorder="1" applyAlignment="1">
      <alignment horizontal="left"/>
    </xf>
    <xf numFmtId="0" fontId="4" fillId="7" borderId="607" xfId="0" applyFont="1" applyFill="1" applyBorder="1" applyAlignment="1">
      <alignment horizontal="left"/>
    </xf>
    <xf numFmtId="4" fontId="64" fillId="10" borderId="195" xfId="0" applyNumberFormat="1" applyFont="1" applyFill="1" applyBorder="1" applyAlignment="1">
      <alignment horizontal="right"/>
    </xf>
    <xf numFmtId="3" fontId="70" fillId="10" borderId="0" xfId="15" applyFont="1" applyFill="1" applyBorder="1" applyAlignment="1" applyProtection="1">
      <alignment horizontal="left"/>
    </xf>
    <xf numFmtId="3" fontId="70" fillId="10" borderId="54" xfId="15" applyFont="1" applyFill="1" applyBorder="1" applyAlignment="1" applyProtection="1">
      <alignment horizontal="left"/>
    </xf>
    <xf numFmtId="0" fontId="64" fillId="10" borderId="0" xfId="0" applyFont="1" applyFill="1" applyAlignment="1">
      <alignment horizontal="left"/>
    </xf>
    <xf numFmtId="4" fontId="70" fillId="10" borderId="313" xfId="15" applyNumberFormat="1" applyFont="1" applyFill="1" applyBorder="1" applyAlignment="1" applyProtection="1">
      <alignment horizontal="right"/>
    </xf>
    <xf numFmtId="4" fontId="70" fillId="10" borderId="267" xfId="15" applyNumberFormat="1" applyFont="1" applyFill="1" applyBorder="1" applyAlignment="1" applyProtection="1">
      <alignment horizontal="right"/>
    </xf>
    <xf numFmtId="0" fontId="4" fillId="7" borderId="565" xfId="0" applyFont="1" applyFill="1" applyBorder="1" applyAlignment="1">
      <alignment horizontal="left"/>
    </xf>
    <xf numFmtId="0" fontId="4" fillId="7" borderId="551" xfId="0" applyFont="1" applyFill="1" applyBorder="1" applyAlignment="1">
      <alignment horizontal="left"/>
    </xf>
    <xf numFmtId="0" fontId="4" fillId="7" borderId="554" xfId="0" applyFont="1" applyFill="1" applyBorder="1" applyAlignment="1">
      <alignment horizontal="left"/>
    </xf>
    <xf numFmtId="0" fontId="4" fillId="7" borderId="546" xfId="0" applyFont="1" applyFill="1" applyBorder="1" applyAlignment="1">
      <alignment horizontal="left"/>
    </xf>
    <xf numFmtId="0" fontId="4" fillId="33" borderId="596" xfId="0" applyFont="1" applyFill="1" applyBorder="1" applyAlignment="1" applyProtection="1">
      <alignment horizontal="left"/>
      <protection locked="0"/>
    </xf>
    <xf numFmtId="0" fontId="4" fillId="33" borderId="403" xfId="0" applyFont="1" applyFill="1" applyBorder="1" applyAlignment="1" applyProtection="1">
      <alignment horizontal="left"/>
      <protection locked="0"/>
    </xf>
    <xf numFmtId="1" fontId="140" fillId="7" borderId="603" xfId="0" applyNumberFormat="1" applyFont="1" applyFill="1" applyBorder="1" applyAlignment="1">
      <alignment horizontal="center"/>
    </xf>
    <xf numFmtId="0" fontId="140" fillId="7" borderId="605" xfId="0" applyFont="1" applyFill="1" applyBorder="1" applyAlignment="1">
      <alignment horizontal="center"/>
    </xf>
    <xf numFmtId="4" fontId="4" fillId="7" borderId="610" xfId="0" applyNumberFormat="1" applyFont="1" applyFill="1" applyBorder="1" applyAlignment="1">
      <alignment horizontal="right"/>
    </xf>
    <xf numFmtId="4" fontId="4" fillId="7" borderId="504" xfId="0" applyNumberFormat="1" applyFont="1" applyFill="1" applyBorder="1" applyAlignment="1">
      <alignment horizontal="right"/>
    </xf>
    <xf numFmtId="4" fontId="4" fillId="7" borderId="521" xfId="0" applyNumberFormat="1" applyFont="1" applyFill="1" applyBorder="1" applyAlignment="1">
      <alignment horizontal="right"/>
    </xf>
    <xf numFmtId="4" fontId="4" fillId="7" borderId="524" xfId="0" applyNumberFormat="1" applyFont="1" applyFill="1" applyBorder="1" applyAlignment="1">
      <alignment horizontal="right"/>
    </xf>
    <xf numFmtId="4" fontId="4" fillId="7" borderId="205" xfId="0" applyNumberFormat="1" applyFont="1" applyFill="1" applyBorder="1" applyAlignment="1">
      <alignment horizontal="right"/>
    </xf>
    <xf numFmtId="4" fontId="4" fillId="7" borderId="614" xfId="0" applyNumberFormat="1" applyFont="1" applyFill="1" applyBorder="1" applyAlignment="1">
      <alignment horizontal="right"/>
    </xf>
    <xf numFmtId="4" fontId="4" fillId="7" borderId="559" xfId="0" applyNumberFormat="1" applyFont="1" applyFill="1" applyBorder="1" applyAlignment="1">
      <alignment horizontal="right"/>
    </xf>
    <xf numFmtId="4" fontId="4" fillId="7" borderId="551" xfId="0" applyNumberFormat="1" applyFont="1" applyFill="1" applyBorder="1" applyAlignment="1">
      <alignment horizontal="right"/>
    </xf>
    <xf numFmtId="4" fontId="4" fillId="7" borderId="611" xfId="0" applyNumberFormat="1" applyFont="1" applyFill="1" applyBorder="1" applyAlignment="1">
      <alignment horizontal="right"/>
    </xf>
    <xf numFmtId="4" fontId="4" fillId="7" borderId="612" xfId="0" applyNumberFormat="1" applyFont="1" applyFill="1" applyBorder="1" applyAlignment="1">
      <alignment horizontal="right"/>
    </xf>
    <xf numFmtId="4" fontId="4" fillId="7" borderId="546" xfId="0" applyNumberFormat="1" applyFont="1" applyFill="1" applyBorder="1" applyAlignment="1">
      <alignment horizontal="right"/>
    </xf>
    <xf numFmtId="4" fontId="4" fillId="7" borderId="613" xfId="0" applyNumberFormat="1" applyFont="1" applyFill="1" applyBorder="1" applyAlignment="1">
      <alignment horizontal="right"/>
    </xf>
    <xf numFmtId="0" fontId="4" fillId="33" borderId="616" xfId="0" applyFont="1" applyFill="1" applyBorder="1" applyAlignment="1" applyProtection="1">
      <alignment horizontal="left"/>
      <protection locked="0"/>
    </xf>
    <xf numFmtId="0" fontId="4" fillId="33" borderId="617" xfId="0" applyFont="1" applyFill="1" applyBorder="1" applyAlignment="1" applyProtection="1">
      <alignment horizontal="left"/>
      <protection locked="0"/>
    </xf>
    <xf numFmtId="3" fontId="38" fillId="3" borderId="584" xfId="15" applyFont="1" applyFill="1" applyBorder="1" applyAlignment="1" applyProtection="1">
      <alignment horizontal="left"/>
    </xf>
    <xf numFmtId="0" fontId="4" fillId="35" borderId="584" xfId="15" applyNumberFormat="1" applyFont="1" applyFill="1" applyBorder="1" applyAlignment="1" applyProtection="1">
      <alignment horizontal="left"/>
      <protection locked="0"/>
    </xf>
    <xf numFmtId="3" fontId="38" fillId="3" borderId="196" xfId="15" applyFont="1" applyFill="1" applyBorder="1" applyAlignment="1" applyProtection="1">
      <alignment horizontal="center" vertical="center"/>
    </xf>
    <xf numFmtId="3" fontId="38" fillId="3" borderId="195" xfId="15" applyFont="1" applyFill="1" applyBorder="1" applyAlignment="1" applyProtection="1">
      <alignment horizontal="center" vertical="center"/>
    </xf>
    <xf numFmtId="3" fontId="38" fillId="3" borderId="197" xfId="15" applyFont="1" applyFill="1" applyBorder="1" applyAlignment="1" applyProtection="1">
      <alignment horizontal="center" vertical="center"/>
    </xf>
    <xf numFmtId="3" fontId="38" fillId="3" borderId="146" xfId="15" applyFont="1" applyFill="1" applyBorder="1" applyAlignment="1" applyProtection="1">
      <alignment horizontal="center" vertical="center"/>
    </xf>
    <xf numFmtId="3" fontId="38" fillId="3" borderId="0" xfId="15" applyFont="1" applyFill="1" applyBorder="1" applyAlignment="1" applyProtection="1">
      <alignment horizontal="center" vertical="center"/>
    </xf>
    <xf numFmtId="3" fontId="38" fillId="3" borderId="54" xfId="15" applyFont="1" applyFill="1" applyBorder="1" applyAlignment="1" applyProtection="1">
      <alignment horizontal="center" vertical="center"/>
    </xf>
    <xf numFmtId="3" fontId="38" fillId="3" borderId="313" xfId="15" applyFont="1" applyFill="1" applyBorder="1" applyAlignment="1" applyProtection="1">
      <alignment horizontal="center" vertical="center"/>
    </xf>
    <xf numFmtId="3" fontId="38" fillId="3" borderId="207" xfId="15" applyFont="1" applyFill="1" applyBorder="1" applyAlignment="1" applyProtection="1">
      <alignment horizontal="center" vertical="center"/>
    </xf>
    <xf numFmtId="3" fontId="38" fillId="3" borderId="267" xfId="15" applyFont="1" applyFill="1" applyBorder="1" applyAlignment="1" applyProtection="1">
      <alignment horizontal="center" vertical="center"/>
    </xf>
    <xf numFmtId="3" fontId="38" fillId="3" borderId="585" xfId="15" applyFont="1" applyFill="1" applyBorder="1" applyAlignment="1" applyProtection="1">
      <alignment horizontal="center"/>
    </xf>
    <xf numFmtId="3" fontId="38" fillId="3" borderId="601" xfId="15" applyFont="1" applyFill="1" applyBorder="1" applyAlignment="1" applyProtection="1">
      <alignment horizontal="center"/>
    </xf>
    <xf numFmtId="3" fontId="38" fillId="3" borderId="602" xfId="15" applyFont="1" applyFill="1" applyBorder="1" applyAlignment="1" applyProtection="1">
      <alignment horizontal="center"/>
    </xf>
    <xf numFmtId="3" fontId="172" fillId="0" borderId="313" xfId="15" applyFont="1" applyFill="1" applyBorder="1" applyAlignment="1" applyProtection="1">
      <alignment horizontal="center"/>
    </xf>
    <xf numFmtId="3" fontId="172" fillId="0" borderId="207" xfId="15" applyFont="1" applyFill="1" applyBorder="1" applyAlignment="1" applyProtection="1">
      <alignment horizontal="center"/>
    </xf>
    <xf numFmtId="3" fontId="172" fillId="0" borderId="267" xfId="15" applyFont="1" applyFill="1" applyBorder="1" applyAlignment="1" applyProtection="1">
      <alignment horizontal="center"/>
    </xf>
    <xf numFmtId="0" fontId="64" fillId="10" borderId="195" xfId="0" applyFont="1" applyFill="1" applyBorder="1" applyAlignment="1">
      <alignment horizontal="center"/>
    </xf>
    <xf numFmtId="0" fontId="64" fillId="10" borderId="197" xfId="0" applyFont="1" applyFill="1" applyBorder="1" applyAlignment="1">
      <alignment horizontal="center"/>
    </xf>
    <xf numFmtId="0" fontId="70" fillId="10" borderId="0" xfId="0" applyFont="1" applyFill="1" applyAlignment="1">
      <alignment horizontal="center"/>
    </xf>
    <xf numFmtId="0" fontId="70" fillId="10" borderId="54" xfId="0" applyFont="1" applyFill="1" applyBorder="1" applyAlignment="1">
      <alignment horizontal="center"/>
    </xf>
    <xf numFmtId="3" fontId="4" fillId="33" borderId="400" xfId="15" applyFont="1" applyFill="1" applyBorder="1" applyAlignment="1" applyProtection="1">
      <alignment horizontal="left"/>
      <protection locked="0"/>
    </xf>
    <xf numFmtId="3" fontId="4" fillId="33" borderId="47" xfId="15" applyFont="1" applyFill="1" applyBorder="1" applyAlignment="1" applyProtection="1">
      <alignment horizontal="left"/>
      <protection locked="0"/>
    </xf>
    <xf numFmtId="3" fontId="4" fillId="33" borderId="596" xfId="15" applyFont="1" applyFill="1" applyBorder="1" applyAlignment="1" applyProtection="1">
      <alignment horizontal="left"/>
      <protection locked="0"/>
    </xf>
    <xf numFmtId="3" fontId="4" fillId="33" borderId="597" xfId="15" applyFont="1" applyFill="1" applyBorder="1" applyAlignment="1" applyProtection="1">
      <alignment horizontal="left"/>
      <protection locked="0"/>
    </xf>
    <xf numFmtId="3" fontId="70" fillId="10" borderId="585" xfId="15" applyFont="1" applyFill="1" applyBorder="1" applyAlignment="1" applyProtection="1">
      <alignment horizontal="center"/>
    </xf>
    <xf numFmtId="3" fontId="70" fillId="10" borderId="602" xfId="15" applyFont="1" applyFill="1" applyBorder="1" applyAlignment="1" applyProtection="1">
      <alignment horizontal="center"/>
    </xf>
    <xf numFmtId="3" fontId="38" fillId="11" borderId="196" xfId="15" applyFont="1" applyFill="1" applyBorder="1" applyAlignment="1" applyProtection="1">
      <alignment horizontal="center"/>
    </xf>
    <xf numFmtId="3" fontId="38" fillId="11" borderId="195" xfId="15" applyFont="1" applyFill="1" applyBorder="1" applyAlignment="1" applyProtection="1">
      <alignment horizontal="center"/>
    </xf>
    <xf numFmtId="3" fontId="38" fillId="11" borderId="197" xfId="15" applyFont="1" applyFill="1" applyBorder="1" applyAlignment="1" applyProtection="1">
      <alignment horizontal="center"/>
    </xf>
    <xf numFmtId="3" fontId="4" fillId="11" borderId="313" xfId="15" applyFont="1" applyFill="1" applyBorder="1" applyAlignment="1" applyProtection="1">
      <alignment horizontal="center"/>
    </xf>
    <xf numFmtId="3" fontId="4" fillId="11" borderId="207" xfId="15" applyFont="1" applyFill="1" applyBorder="1" applyAlignment="1" applyProtection="1">
      <alignment horizontal="center"/>
    </xf>
    <xf numFmtId="3" fontId="4" fillId="11" borderId="267" xfId="15" applyFont="1" applyFill="1" applyBorder="1" applyAlignment="1" applyProtection="1">
      <alignment horizontal="center"/>
    </xf>
    <xf numFmtId="3" fontId="101" fillId="33" borderId="498" xfId="15" applyFont="1" applyFill="1" applyBorder="1" applyAlignment="1" applyProtection="1">
      <alignment horizontal="center"/>
      <protection locked="0"/>
    </xf>
    <xf numFmtId="3" fontId="101" fillId="33" borderId="500" xfId="15" applyFont="1" applyFill="1" applyBorder="1" applyAlignment="1" applyProtection="1">
      <alignment horizontal="center"/>
      <protection locked="0"/>
    </xf>
    <xf numFmtId="3" fontId="101" fillId="33" borderId="598" xfId="15" applyFont="1" applyFill="1" applyBorder="1" applyAlignment="1" applyProtection="1">
      <alignment horizontal="center"/>
      <protection locked="0"/>
    </xf>
    <xf numFmtId="3" fontId="101" fillId="33" borderId="599" xfId="15" applyFont="1" applyFill="1" applyBorder="1" applyAlignment="1" applyProtection="1">
      <alignment horizontal="center"/>
      <protection locked="0"/>
    </xf>
    <xf numFmtId="3" fontId="101" fillId="33" borderId="513" xfId="15" applyFont="1" applyFill="1" applyBorder="1" applyAlignment="1" applyProtection="1">
      <alignment horizontal="center"/>
      <protection locked="0"/>
    </xf>
    <xf numFmtId="3" fontId="101" fillId="33" borderId="600" xfId="15" applyFont="1" applyFill="1" applyBorder="1" applyAlignment="1" applyProtection="1">
      <alignment horizontal="center"/>
      <protection locked="0"/>
    </xf>
    <xf numFmtId="0" fontId="4" fillId="27" borderId="597" xfId="0" applyFont="1" applyFill="1" applyBorder="1" applyAlignment="1">
      <alignment horizontal="left"/>
    </xf>
    <xf numFmtId="0" fontId="4" fillId="27" borderId="402" xfId="0" applyFont="1" applyFill="1" applyBorder="1" applyAlignment="1">
      <alignment horizontal="left"/>
    </xf>
    <xf numFmtId="0" fontId="4" fillId="7" borderId="661" xfId="0" applyFont="1" applyFill="1" applyBorder="1" applyAlignment="1">
      <alignment horizontal="left"/>
    </xf>
    <xf numFmtId="0" fontId="4" fillId="7" borderId="662" xfId="0" applyFont="1" applyFill="1" applyBorder="1" applyAlignment="1">
      <alignment horizontal="left"/>
    </xf>
    <xf numFmtId="0" fontId="4" fillId="0" borderId="511" xfId="0" applyFont="1" applyBorder="1" applyAlignment="1">
      <alignment horizontal="center"/>
    </xf>
    <xf numFmtId="0" fontId="4" fillId="0" borderId="0" xfId="0" applyFont="1" applyAlignment="1">
      <alignment horizontal="center"/>
    </xf>
    <xf numFmtId="3" fontId="134" fillId="27" borderId="460" xfId="0" applyNumberFormat="1" applyFont="1" applyFill="1" applyBorder="1" applyAlignment="1">
      <alignment horizontal="center"/>
    </xf>
    <xf numFmtId="3" fontId="134" fillId="27" borderId="195" xfId="0" applyNumberFormat="1" applyFont="1" applyFill="1" applyBorder="1" applyAlignment="1">
      <alignment horizontal="center"/>
    </xf>
    <xf numFmtId="3" fontId="134" fillId="27" borderId="197" xfId="0" applyNumberFormat="1" applyFont="1" applyFill="1" applyBorder="1" applyAlignment="1">
      <alignment horizontal="center"/>
    </xf>
    <xf numFmtId="3" fontId="134" fillId="27" borderId="670" xfId="0" applyNumberFormat="1" applyFont="1" applyFill="1" applyBorder="1" applyAlignment="1">
      <alignment horizontal="center"/>
    </xf>
    <xf numFmtId="3" fontId="134" fillId="27" borderId="0" xfId="0" applyNumberFormat="1" applyFont="1" applyFill="1" applyAlignment="1">
      <alignment horizontal="center"/>
    </xf>
    <xf numFmtId="3" fontId="134" fillId="27" borderId="54" xfId="0" applyNumberFormat="1" applyFont="1" applyFill="1" applyBorder="1" applyAlignment="1">
      <alignment horizontal="center"/>
    </xf>
    <xf numFmtId="3" fontId="64" fillId="18" borderId="220" xfId="0" applyNumberFormat="1" applyFont="1" applyFill="1" applyBorder="1" applyAlignment="1">
      <alignment horizontal="center"/>
    </xf>
    <xf numFmtId="3" fontId="64" fillId="18" borderId="207" xfId="0" applyNumberFormat="1" applyFont="1" applyFill="1" applyBorder="1" applyAlignment="1">
      <alignment horizontal="center"/>
    </xf>
    <xf numFmtId="3" fontId="64" fillId="18" borderId="267" xfId="0" applyNumberFormat="1" applyFont="1" applyFill="1" applyBorder="1" applyAlignment="1">
      <alignment horizontal="center"/>
    </xf>
    <xf numFmtId="3" fontId="134" fillId="27" borderId="425" xfId="0" applyNumberFormat="1" applyFont="1" applyFill="1" applyBorder="1" applyAlignment="1">
      <alignment horizontal="center"/>
    </xf>
    <xf numFmtId="3" fontId="134" fillId="27" borderId="220" xfId="0" applyNumberFormat="1" applyFont="1" applyFill="1" applyBorder="1" applyAlignment="1">
      <alignment horizontal="center"/>
    </xf>
    <xf numFmtId="3" fontId="134" fillId="27" borderId="207" xfId="0" applyNumberFormat="1" applyFont="1" applyFill="1" applyBorder="1" applyAlignment="1">
      <alignment horizontal="center"/>
    </xf>
    <xf numFmtId="3" fontId="134" fillId="27" borderId="267" xfId="0" applyNumberFormat="1" applyFont="1" applyFill="1" applyBorder="1" applyAlignment="1">
      <alignment horizontal="center"/>
    </xf>
    <xf numFmtId="3" fontId="64" fillId="18" borderId="229" xfId="0" applyNumberFormat="1" applyFont="1" applyFill="1" applyBorder="1" applyAlignment="1">
      <alignment horizontal="center"/>
    </xf>
    <xf numFmtId="0" fontId="4" fillId="7" borderId="597" xfId="0" applyFont="1" applyFill="1" applyBorder="1" applyAlignment="1">
      <alignment horizontal="left"/>
    </xf>
    <xf numFmtId="0" fontId="4" fillId="7" borderId="658" xfId="0" applyFont="1" applyFill="1" applyBorder="1" applyAlignment="1">
      <alignment horizontal="left"/>
    </xf>
    <xf numFmtId="0" fontId="38" fillId="7" borderId="501" xfId="0" applyFont="1" applyFill="1" applyBorder="1" applyAlignment="1">
      <alignment horizontal="left"/>
    </xf>
    <xf numFmtId="0" fontId="38" fillId="7" borderId="649" xfId="0" applyFont="1" applyFill="1" applyBorder="1" applyAlignment="1">
      <alignment horizontal="left"/>
    </xf>
    <xf numFmtId="0" fontId="4" fillId="33" borderId="518" xfId="0" applyFont="1" applyFill="1" applyBorder="1" applyAlignment="1" applyProtection="1">
      <alignment horizontal="left" wrapText="1"/>
      <protection locked="0"/>
    </xf>
    <xf numFmtId="0" fontId="4" fillId="33" borderId="403" xfId="0" applyFont="1" applyFill="1" applyBorder="1" applyAlignment="1" applyProtection="1">
      <alignment horizontal="left" wrapText="1"/>
      <protection locked="0"/>
    </xf>
    <xf numFmtId="0" fontId="4" fillId="33" borderId="658" xfId="0" applyFont="1" applyFill="1" applyBorder="1" applyAlignment="1" applyProtection="1">
      <alignment horizontal="left" wrapText="1"/>
      <protection locked="0"/>
    </xf>
    <xf numFmtId="3" fontId="140" fillId="27" borderId="196" xfId="0" applyNumberFormat="1" applyFont="1" applyFill="1" applyBorder="1" applyAlignment="1">
      <alignment horizontal="center"/>
    </xf>
    <xf numFmtId="3" fontId="140" fillId="27" borderId="195" xfId="0" applyNumberFormat="1" applyFont="1" applyFill="1" applyBorder="1" applyAlignment="1">
      <alignment horizontal="center"/>
    </xf>
    <xf numFmtId="3" fontId="140" fillId="27" borderId="197" xfId="0" applyNumberFormat="1" applyFont="1" applyFill="1" applyBorder="1" applyAlignment="1">
      <alignment horizontal="center"/>
    </xf>
    <xf numFmtId="3" fontId="140" fillId="77" borderId="598" xfId="0" applyNumberFormat="1" applyFont="1" applyFill="1" applyBorder="1" applyAlignment="1" applyProtection="1">
      <alignment horizontal="center"/>
      <protection locked="0"/>
    </xf>
    <xf numFmtId="3" fontId="140" fillId="77" borderId="621" xfId="0" applyNumberFormat="1" applyFont="1" applyFill="1" applyBorder="1" applyAlignment="1" applyProtection="1">
      <alignment horizontal="center"/>
      <protection locked="0"/>
    </xf>
    <xf numFmtId="3" fontId="140" fillId="77" borderId="599" xfId="0" applyNumberFormat="1" applyFont="1" applyFill="1" applyBorder="1" applyAlignment="1" applyProtection="1">
      <alignment horizontal="center"/>
      <protection locked="0"/>
    </xf>
    <xf numFmtId="3" fontId="140" fillId="77" borderId="513" xfId="0" applyNumberFormat="1" applyFont="1" applyFill="1" applyBorder="1" applyAlignment="1" applyProtection="1">
      <alignment horizontal="center"/>
      <protection locked="0"/>
    </xf>
    <xf numFmtId="3" fontId="140" fillId="77" borderId="514" xfId="0" applyNumberFormat="1" applyFont="1" applyFill="1" applyBorder="1" applyAlignment="1" applyProtection="1">
      <alignment horizontal="center"/>
      <protection locked="0"/>
    </xf>
    <xf numFmtId="3" fontId="140" fillId="77" borderId="600" xfId="0" applyNumberFormat="1" applyFont="1" applyFill="1" applyBorder="1" applyAlignment="1" applyProtection="1">
      <alignment horizontal="center"/>
      <protection locked="0"/>
    </xf>
    <xf numFmtId="3" fontId="70" fillId="9" borderId="636" xfId="0" applyNumberFormat="1" applyFont="1" applyFill="1" applyBorder="1" applyAlignment="1">
      <alignment horizontal="center"/>
    </xf>
    <xf numFmtId="3" fontId="64" fillId="18" borderId="54" xfId="0" applyNumberFormat="1" applyFont="1" applyFill="1" applyBorder="1" applyAlignment="1">
      <alignment horizontal="center"/>
    </xf>
    <xf numFmtId="3" fontId="64" fillId="18" borderId="0" xfId="0" applyNumberFormat="1" applyFont="1" applyFill="1" applyAlignment="1">
      <alignment horizontal="center"/>
    </xf>
    <xf numFmtId="3" fontId="70" fillId="9" borderId="601" xfId="0" applyNumberFormat="1" applyFont="1" applyFill="1" applyBorder="1" applyAlignment="1">
      <alignment horizontal="center"/>
    </xf>
    <xf numFmtId="0" fontId="4" fillId="33" borderId="597" xfId="0" applyFont="1" applyFill="1" applyBorder="1" applyAlignment="1" applyProtection="1">
      <alignment horizontal="left"/>
      <protection locked="0"/>
    </xf>
    <xf numFmtId="0" fontId="4" fillId="33" borderId="646" xfId="0" applyFont="1" applyFill="1" applyBorder="1" applyAlignment="1" applyProtection="1">
      <alignment horizontal="left"/>
      <protection locked="0"/>
    </xf>
    <xf numFmtId="3" fontId="64" fillId="10" borderId="604" xfId="0" applyNumberFormat="1" applyFont="1" applyFill="1" applyBorder="1" applyAlignment="1">
      <alignment horizontal="center"/>
    </xf>
    <xf numFmtId="3" fontId="64" fillId="10" borderId="447" xfId="0" applyNumberFormat="1" applyFont="1" applyFill="1" applyBorder="1" applyAlignment="1">
      <alignment horizontal="center"/>
    </xf>
    <xf numFmtId="3" fontId="64" fillId="10" borderId="622" xfId="0" applyNumberFormat="1" applyFont="1" applyFill="1" applyBorder="1" applyAlignment="1">
      <alignment horizontal="center"/>
    </xf>
    <xf numFmtId="3" fontId="140" fillId="27" borderId="654" xfId="0" applyNumberFormat="1" applyFont="1" applyFill="1" applyBorder="1" applyAlignment="1">
      <alignment horizontal="center"/>
    </xf>
    <xf numFmtId="3" fontId="140" fillId="27" borderId="655" xfId="0" applyNumberFormat="1" applyFont="1" applyFill="1" applyBorder="1" applyAlignment="1">
      <alignment horizontal="center"/>
    </xf>
    <xf numFmtId="3" fontId="140" fillId="27" borderId="656" xfId="0" applyNumberFormat="1" applyFont="1" applyFill="1" applyBorder="1" applyAlignment="1">
      <alignment horizontal="center"/>
    </xf>
    <xf numFmtId="0" fontId="4" fillId="60" borderId="651" xfId="0" applyFont="1" applyFill="1" applyBorder="1" applyAlignment="1" applyProtection="1">
      <alignment horizontal="left"/>
      <protection locked="0"/>
    </xf>
    <xf numFmtId="0" fontId="4" fillId="60" borderId="652" xfId="0" applyFont="1" applyFill="1" applyBorder="1" applyAlignment="1" applyProtection="1">
      <alignment horizontal="left"/>
      <protection locked="0"/>
    </xf>
    <xf numFmtId="0" fontId="4" fillId="6" borderId="511" xfId="0" applyFont="1" applyFill="1" applyBorder="1" applyAlignment="1">
      <alignment horizontal="center"/>
    </xf>
    <xf numFmtId="0" fontId="4" fillId="6" borderId="0" xfId="0" applyFont="1" applyFill="1" applyAlignment="1">
      <alignment horizontal="center"/>
    </xf>
    <xf numFmtId="3" fontId="4" fillId="60" borderId="630" xfId="0" applyNumberFormat="1" applyFont="1" applyFill="1" applyBorder="1" applyAlignment="1" applyProtection="1">
      <alignment horizontal="left"/>
      <protection locked="0"/>
    </xf>
    <xf numFmtId="3" fontId="4" fillId="60" borderId="648" xfId="0" applyNumberFormat="1" applyFont="1" applyFill="1" applyBorder="1" applyAlignment="1" applyProtection="1">
      <alignment horizontal="left"/>
      <protection locked="0"/>
    </xf>
    <xf numFmtId="3" fontId="4" fillId="60" borderId="639" xfId="0" applyNumberFormat="1" applyFont="1" applyFill="1" applyBorder="1" applyAlignment="1" applyProtection="1">
      <alignment horizontal="left"/>
      <protection locked="0"/>
    </xf>
    <xf numFmtId="0" fontId="4" fillId="60" borderId="617" xfId="0" applyFont="1" applyFill="1" applyBorder="1" applyAlignment="1" applyProtection="1">
      <alignment horizontal="left"/>
      <protection locked="0"/>
    </xf>
    <xf numFmtId="0" fontId="4" fillId="60" borderId="647" xfId="0" applyFont="1" applyFill="1" applyBorder="1" applyAlignment="1" applyProtection="1">
      <alignment horizontal="left"/>
      <protection locked="0"/>
    </xf>
    <xf numFmtId="0" fontId="4" fillId="33" borderId="551" xfId="0" applyFont="1" applyFill="1" applyBorder="1" applyAlignment="1" applyProtection="1">
      <alignment horizontal="left"/>
      <protection locked="0"/>
    </xf>
    <xf numFmtId="0" fontId="4" fillId="33" borderId="648" xfId="0" applyFont="1" applyFill="1" applyBorder="1" applyAlignment="1" applyProtection="1">
      <alignment horizontal="left"/>
      <protection locked="0"/>
    </xf>
    <xf numFmtId="3" fontId="22" fillId="0" borderId="196" xfId="15" applyFont="1" applyFill="1" applyBorder="1" applyAlignment="1" applyProtection="1">
      <alignment horizontal="center" vertical="center"/>
    </xf>
    <xf numFmtId="3" fontId="22" fillId="0" borderId="195" xfId="15" applyFont="1" applyFill="1" applyBorder="1" applyAlignment="1" applyProtection="1">
      <alignment horizontal="center" vertical="center"/>
    </xf>
    <xf numFmtId="3" fontId="22" fillId="0" borderId="197" xfId="15" applyFont="1" applyFill="1" applyBorder="1" applyAlignment="1" applyProtection="1">
      <alignment horizontal="center" vertical="center"/>
    </xf>
    <xf numFmtId="3" fontId="172" fillId="0" borderId="585" xfId="15" applyFont="1" applyFill="1" applyBorder="1" applyAlignment="1" applyProtection="1">
      <alignment horizontal="center" vertical="center"/>
    </xf>
    <xf numFmtId="3" fontId="172" fillId="0" borderId="601" xfId="15" applyFont="1" applyFill="1" applyBorder="1" applyAlignment="1" applyProtection="1">
      <alignment horizontal="center" vertical="center"/>
    </xf>
    <xf numFmtId="3" fontId="172" fillId="0" borderId="602" xfId="15" applyFont="1" applyFill="1" applyBorder="1" applyAlignment="1" applyProtection="1">
      <alignment horizontal="center" vertical="center"/>
    </xf>
    <xf numFmtId="3" fontId="38" fillId="0" borderId="196" xfId="15" applyFont="1" applyFill="1" applyBorder="1" applyAlignment="1" applyProtection="1">
      <alignment horizontal="center" vertical="center"/>
    </xf>
    <xf numFmtId="3" fontId="38" fillId="0" borderId="195" xfId="15" applyFont="1" applyFill="1" applyBorder="1" applyAlignment="1" applyProtection="1">
      <alignment horizontal="center" vertical="center"/>
    </xf>
    <xf numFmtId="3" fontId="38" fillId="0" borderId="197" xfId="15" applyFont="1" applyFill="1" applyBorder="1" applyAlignment="1" applyProtection="1">
      <alignment horizontal="center" vertical="center"/>
    </xf>
    <xf numFmtId="3" fontId="4" fillId="0" borderId="498" xfId="15" applyFont="1" applyFill="1" applyBorder="1" applyAlignment="1" applyProtection="1">
      <alignment horizontal="center" vertical="center"/>
    </xf>
    <xf numFmtId="3" fontId="4" fillId="0" borderId="494" xfId="15" applyFont="1" applyFill="1" applyBorder="1" applyAlignment="1" applyProtection="1">
      <alignment horizontal="center" vertical="center"/>
    </xf>
    <xf numFmtId="3" fontId="4" fillId="0" borderId="494" xfId="15" applyFont="1" applyFill="1" applyBorder="1" applyAlignment="1" applyProtection="1">
      <alignment horizontal="left" vertical="center" wrapText="1"/>
    </xf>
    <xf numFmtId="3" fontId="4" fillId="0" borderId="513" xfId="15" applyFont="1" applyFill="1" applyBorder="1" applyAlignment="1" applyProtection="1">
      <alignment horizontal="center" vertical="center"/>
    </xf>
    <xf numFmtId="3" fontId="4" fillId="0" borderId="514" xfId="15" applyFont="1" applyFill="1" applyBorder="1" applyAlignment="1" applyProtection="1">
      <alignment horizontal="center" vertical="center"/>
    </xf>
    <xf numFmtId="3" fontId="4" fillId="0" borderId="514" xfId="15" applyFont="1" applyFill="1" applyBorder="1" applyAlignment="1" applyProtection="1">
      <alignment horizontal="left" vertical="center" wrapText="1"/>
    </xf>
    <xf numFmtId="3" fontId="4" fillId="11" borderId="0" xfId="15" applyFont="1" applyFill="1" applyBorder="1" applyAlignment="1" applyProtection="1">
      <alignment horizontal="center"/>
    </xf>
    <xf numFmtId="3" fontId="4" fillId="11" borderId="54" xfId="15" applyFont="1" applyFill="1" applyBorder="1" applyAlignment="1" applyProtection="1">
      <alignment horizontal="center"/>
    </xf>
    <xf numFmtId="3" fontId="70" fillId="10" borderId="313" xfId="15" applyFont="1" applyFill="1" applyBorder="1" applyAlignment="1" applyProtection="1">
      <alignment horizontal="center"/>
    </xf>
    <xf numFmtId="3" fontId="70" fillId="10" borderId="267" xfId="15" applyFont="1" applyFill="1" applyBorder="1" applyAlignment="1" applyProtection="1">
      <alignment horizontal="center"/>
    </xf>
    <xf numFmtId="3" fontId="70" fillId="10" borderId="585" xfId="15" applyFont="1" applyFill="1" applyBorder="1" applyAlignment="1" applyProtection="1">
      <alignment horizontal="left"/>
    </xf>
    <xf numFmtId="3" fontId="70" fillId="10" borderId="601" xfId="15" applyFont="1" applyFill="1" applyBorder="1" applyAlignment="1" applyProtection="1">
      <alignment horizontal="left"/>
    </xf>
    <xf numFmtId="3" fontId="70" fillId="10" borderId="622" xfId="15" applyFont="1" applyFill="1" applyBorder="1" applyAlignment="1" applyProtection="1">
      <alignment horizontal="left"/>
    </xf>
    <xf numFmtId="0" fontId="38" fillId="58" borderId="585" xfId="0" applyFont="1" applyFill="1" applyBorder="1" applyAlignment="1">
      <alignment horizontal="center"/>
    </xf>
    <xf numFmtId="0" fontId="38" fillId="58" borderId="601" xfId="0" applyFont="1" applyFill="1" applyBorder="1" applyAlignment="1">
      <alignment horizontal="center"/>
    </xf>
    <xf numFmtId="0" fontId="38" fillId="58" borderId="602" xfId="0" applyFont="1" applyFill="1" applyBorder="1" applyAlignment="1">
      <alignment horizontal="center"/>
    </xf>
    <xf numFmtId="1" fontId="43" fillId="16" borderId="494" xfId="0" applyNumberFormat="1" applyFont="1" applyFill="1" applyBorder="1" applyAlignment="1">
      <alignment horizontal="center"/>
    </xf>
    <xf numFmtId="1" fontId="43" fillId="16" borderId="624" xfId="0" applyNumberFormat="1" applyFont="1" applyFill="1" applyBorder="1" applyAlignment="1">
      <alignment horizontal="center"/>
    </xf>
    <xf numFmtId="0" fontId="4" fillId="7" borderId="619" xfId="0" applyFont="1" applyFill="1" applyBorder="1" applyAlignment="1">
      <alignment horizontal="left"/>
    </xf>
    <xf numFmtId="0" fontId="38" fillId="27" borderId="47" xfId="0" applyFont="1" applyFill="1" applyBorder="1" applyAlignment="1">
      <alignment horizontal="left"/>
    </xf>
    <xf numFmtId="0" fontId="38" fillId="27" borderId="88" xfId="0" applyFont="1" applyFill="1" applyBorder="1" applyAlignment="1">
      <alignment horizontal="left"/>
    </xf>
    <xf numFmtId="0" fontId="64" fillId="10" borderId="19" xfId="0" applyFont="1" applyFill="1" applyBorder="1" applyAlignment="1">
      <alignment horizontal="left" wrapText="1"/>
    </xf>
    <xf numFmtId="0" fontId="64" fillId="10" borderId="0" xfId="0" applyFont="1" applyFill="1" applyAlignment="1">
      <alignment horizontal="left" wrapText="1"/>
    </xf>
    <xf numFmtId="0" fontId="4" fillId="60" borderId="607" xfId="0" applyFont="1" applyFill="1" applyBorder="1" applyAlignment="1" applyProtection="1">
      <alignment horizontal="left"/>
      <protection locked="0"/>
    </xf>
    <xf numFmtId="0" fontId="4" fillId="60" borderId="628" xfId="0" applyFont="1" applyFill="1" applyBorder="1" applyAlignment="1" applyProtection="1">
      <alignment horizontal="left"/>
      <protection locked="0"/>
    </xf>
    <xf numFmtId="3" fontId="70" fillId="10" borderId="229" xfId="15" applyFont="1" applyFill="1" applyBorder="1" applyAlignment="1" applyProtection="1">
      <alignment horizontal="center"/>
    </xf>
    <xf numFmtId="3" fontId="70" fillId="10" borderId="207" xfId="15" applyFont="1" applyFill="1" applyBorder="1" applyAlignment="1" applyProtection="1">
      <alignment horizontal="center"/>
    </xf>
    <xf numFmtId="0" fontId="4" fillId="27" borderId="619" xfId="0" applyFont="1" applyFill="1" applyBorder="1" applyAlignment="1">
      <alignment horizontal="left"/>
    </xf>
    <xf numFmtId="0" fontId="70" fillId="10" borderId="791" xfId="0" applyFont="1" applyFill="1" applyBorder="1" applyAlignment="1">
      <alignment horizontal="left"/>
    </xf>
    <xf numFmtId="0" fontId="4" fillId="0" borderId="791" xfId="0" applyFont="1" applyBorder="1" applyAlignment="1">
      <alignment horizontal="left"/>
    </xf>
    <xf numFmtId="0" fontId="101" fillId="7" borderId="791" xfId="0" applyFont="1" applyFill="1" applyBorder="1" applyAlignment="1">
      <alignment horizontal="left"/>
    </xf>
    <xf numFmtId="0" fontId="4" fillId="0" borderId="791" xfId="0" applyFont="1" applyBorder="1" applyAlignment="1">
      <alignment horizontal="left" wrapText="1"/>
    </xf>
    <xf numFmtId="0" fontId="64" fillId="10" borderId="626" xfId="0" applyFont="1" applyFill="1" applyBorder="1" applyAlignment="1">
      <alignment horizontal="left"/>
    </xf>
    <xf numFmtId="3" fontId="4" fillId="11" borderId="791" xfId="0" applyNumberFormat="1" applyFont="1" applyFill="1" applyBorder="1" applyAlignment="1">
      <alignment horizontal="left"/>
    </xf>
    <xf numFmtId="3" fontId="4" fillId="6" borderId="791" xfId="0" applyNumberFormat="1" applyFont="1" applyFill="1" applyBorder="1" applyAlignment="1">
      <alignment horizontal="left"/>
    </xf>
    <xf numFmtId="0" fontId="4" fillId="6" borderId="791" xfId="0" applyFont="1" applyFill="1" applyBorder="1" applyAlignment="1">
      <alignment horizontal="left"/>
    </xf>
    <xf numFmtId="0" fontId="38" fillId="7" borderId="621" xfId="0" applyFont="1" applyFill="1" applyBorder="1" applyAlignment="1">
      <alignment horizontal="left"/>
    </xf>
    <xf numFmtId="0" fontId="4" fillId="60" borderId="630" xfId="0" applyFont="1" applyFill="1" applyBorder="1" applyAlignment="1" applyProtection="1">
      <alignment horizontal="left"/>
      <protection locked="0"/>
    </xf>
    <xf numFmtId="0" fontId="4" fillId="60" borderId="631" xfId="0" applyFont="1" applyFill="1" applyBorder="1" applyAlignment="1" applyProtection="1">
      <alignment horizontal="left"/>
      <protection locked="0"/>
    </xf>
    <xf numFmtId="0" fontId="38" fillId="7" borderId="403" xfId="0" applyFont="1" applyFill="1" applyBorder="1" applyAlignment="1">
      <alignment horizontal="left"/>
    </xf>
    <xf numFmtId="0" fontId="38" fillId="7" borderId="641" xfId="0" applyFont="1" applyFill="1" applyBorder="1" applyAlignment="1">
      <alignment horizontal="left"/>
    </xf>
    <xf numFmtId="0" fontId="64" fillId="10" borderId="403" xfId="0" applyFont="1" applyFill="1" applyBorder="1" applyAlignment="1">
      <alignment horizontal="left" wrapText="1"/>
    </xf>
    <xf numFmtId="0" fontId="64" fillId="10" borderId="658" xfId="0" applyFont="1" applyFill="1" applyBorder="1" applyAlignment="1">
      <alignment horizontal="left" wrapText="1"/>
    </xf>
    <xf numFmtId="0" fontId="4" fillId="33" borderId="476" xfId="0" applyFont="1" applyFill="1" applyBorder="1" applyAlignment="1" applyProtection="1">
      <alignment horizontal="left"/>
      <protection locked="0"/>
    </xf>
    <xf numFmtId="0" fontId="4" fillId="33" borderId="477" xfId="0" applyFont="1" applyFill="1" applyBorder="1" applyAlignment="1" applyProtection="1">
      <alignment horizontal="left"/>
      <protection locked="0"/>
    </xf>
    <xf numFmtId="0" fontId="4" fillId="60" borderId="117" xfId="0" applyFont="1" applyFill="1" applyBorder="1" applyAlignment="1" applyProtection="1">
      <alignment horizontal="left"/>
      <protection locked="0"/>
    </xf>
    <xf numFmtId="0" fontId="4" fillId="60" borderId="96" xfId="0" applyFont="1" applyFill="1" applyBorder="1" applyAlignment="1" applyProtection="1">
      <alignment horizontal="left"/>
      <protection locked="0"/>
    </xf>
    <xf numFmtId="0" fontId="4" fillId="60" borderId="403" xfId="0" applyFont="1" applyFill="1" applyBorder="1" applyAlignment="1" applyProtection="1">
      <alignment horizontal="left"/>
      <protection locked="0"/>
    </xf>
    <xf numFmtId="0" fontId="4" fillId="60" borderId="402" xfId="0" applyFont="1" applyFill="1" applyBorder="1" applyAlignment="1" applyProtection="1">
      <alignment horizontal="left"/>
      <protection locked="0"/>
    </xf>
    <xf numFmtId="0" fontId="38" fillId="7" borderId="402" xfId="0" applyFont="1" applyFill="1" applyBorder="1" applyAlignment="1">
      <alignment horizontal="left"/>
    </xf>
    <xf numFmtId="0" fontId="38" fillId="7" borderId="636" xfId="0" applyFont="1" applyFill="1" applyBorder="1" applyAlignment="1">
      <alignment horizontal="left"/>
    </xf>
    <xf numFmtId="0" fontId="38" fillId="7" borderId="637" xfId="0" applyFont="1" applyFill="1" applyBorder="1" applyAlignment="1">
      <alignment horizontal="left"/>
    </xf>
    <xf numFmtId="0" fontId="3" fillId="0" borderId="791" xfId="0" applyFont="1" applyBorder="1" applyAlignment="1">
      <alignment horizontal="left" wrapText="1"/>
    </xf>
    <xf numFmtId="0" fontId="4" fillId="33" borderId="791" xfId="0" applyFont="1" applyFill="1" applyBorder="1" applyAlignment="1" applyProtection="1">
      <alignment horizontal="right"/>
      <protection locked="0"/>
    </xf>
    <xf numFmtId="3" fontId="4" fillId="0" borderId="791" xfId="0" applyNumberFormat="1" applyFont="1" applyBorder="1" applyAlignment="1">
      <alignment horizontal="left"/>
    </xf>
    <xf numFmtId="3" fontId="64" fillId="76" borderId="207" xfId="0" applyNumberFormat="1" applyFont="1" applyFill="1" applyBorder="1" applyAlignment="1">
      <alignment horizontal="center"/>
    </xf>
    <xf numFmtId="0" fontId="64" fillId="76" borderId="207" xfId="0" applyFont="1" applyFill="1" applyBorder="1" applyAlignment="1">
      <alignment horizontal="center"/>
    </xf>
    <xf numFmtId="0" fontId="64" fillId="76" borderId="211" xfId="0" applyFont="1" applyFill="1" applyBorder="1" applyAlignment="1">
      <alignment horizontal="center"/>
    </xf>
    <xf numFmtId="3" fontId="134" fillId="15" borderId="596" xfId="0" applyNumberFormat="1" applyFont="1" applyFill="1" applyBorder="1" applyAlignment="1">
      <alignment horizontal="center"/>
    </xf>
    <xf numFmtId="3" fontId="134" fillId="15" borderId="597" xfId="0" applyNumberFormat="1" applyFont="1" applyFill="1" applyBorder="1" applyAlignment="1">
      <alignment horizontal="center"/>
    </xf>
    <xf numFmtId="3" fontId="134" fillId="15" borderId="620" xfId="0" applyNumberFormat="1" applyFont="1" applyFill="1" applyBorder="1" applyAlignment="1">
      <alignment horizontal="center"/>
    </xf>
    <xf numFmtId="0" fontId="168" fillId="11" borderId="627" xfId="0" applyFont="1" applyFill="1" applyBorder="1" applyAlignment="1">
      <alignment horizontal="center" wrapText="1"/>
    </xf>
    <xf numFmtId="0" fontId="168" fillId="11" borderId="501" xfId="0" applyFont="1" applyFill="1" applyBorder="1" applyAlignment="1">
      <alignment horizontal="center" wrapText="1"/>
    </xf>
    <xf numFmtId="0" fontId="168" fillId="11" borderId="502" xfId="0" applyFont="1" applyFill="1" applyBorder="1" applyAlignment="1">
      <alignment horizontal="center" wrapText="1"/>
    </xf>
    <xf numFmtId="3" fontId="140" fillId="27" borderId="205" xfId="0" applyNumberFormat="1" applyFont="1" applyFill="1" applyBorder="1" applyAlignment="1">
      <alignment horizontal="center"/>
    </xf>
    <xf numFmtId="3" fontId="140" fillId="27" borderId="476" xfId="0" applyNumberFormat="1" applyFont="1" applyFill="1" applyBorder="1" applyAlignment="1">
      <alignment horizontal="center"/>
    </xf>
    <xf numFmtId="3" fontId="140" fillId="27" borderId="614" xfId="0" applyNumberFormat="1" applyFont="1" applyFill="1" applyBorder="1" applyAlignment="1">
      <alignment horizontal="center"/>
    </xf>
    <xf numFmtId="0" fontId="4" fillId="0" borderId="797" xfId="0" applyFont="1" applyBorder="1" applyAlignment="1">
      <alignment horizontal="left"/>
    </xf>
    <xf numFmtId="0" fontId="4" fillId="0" borderId="798" xfId="0" applyFont="1" applyBorder="1" applyAlignment="1">
      <alignment horizontal="left"/>
    </xf>
    <xf numFmtId="0" fontId="4" fillId="0" borderId="799" xfId="0" applyFont="1" applyBorder="1" applyAlignment="1">
      <alignment horizontal="left"/>
    </xf>
    <xf numFmtId="3" fontId="70" fillId="24" borderId="0" xfId="0" applyNumberFormat="1" applyFont="1" applyFill="1" applyAlignment="1">
      <alignment horizontal="left" vertical="center" wrapText="1"/>
    </xf>
    <xf numFmtId="3" fontId="70" fillId="24" borderId="803" xfId="0" applyNumberFormat="1" applyFont="1" applyFill="1" applyBorder="1" applyAlignment="1">
      <alignment horizontal="left" vertical="center" wrapText="1"/>
    </xf>
    <xf numFmtId="0" fontId="101" fillId="6" borderId="791" xfId="0" applyFont="1" applyFill="1" applyBorder="1" applyAlignment="1">
      <alignment horizontal="left"/>
    </xf>
    <xf numFmtId="3" fontId="132" fillId="3" borderId="797" xfId="15" applyFont="1" applyFill="1" applyBorder="1" applyAlignment="1" applyProtection="1">
      <alignment horizontal="center" vertical="center" wrapText="1"/>
    </xf>
    <xf numFmtId="3" fontId="132" fillId="3" borderId="798" xfId="15" applyFont="1" applyFill="1" applyBorder="1" applyAlignment="1" applyProtection="1">
      <alignment horizontal="center" vertical="center" wrapText="1"/>
    </xf>
    <xf numFmtId="3" fontId="132" fillId="3" borderId="799" xfId="15" applyFont="1" applyFill="1" applyBorder="1" applyAlignment="1" applyProtection="1">
      <alignment horizontal="center" vertical="center" wrapText="1"/>
    </xf>
    <xf numFmtId="0" fontId="38" fillId="11" borderId="627" xfId="0" applyFont="1" applyFill="1" applyBorder="1" applyAlignment="1">
      <alignment horizontal="center"/>
    </xf>
    <xf numFmtId="0" fontId="38" fillId="11" borderId="501" xfId="0" applyFont="1" applyFill="1" applyBorder="1" applyAlignment="1">
      <alignment horizontal="center"/>
    </xf>
    <xf numFmtId="3" fontId="134" fillId="15" borderId="621" xfId="0" applyNumberFormat="1" applyFont="1" applyFill="1" applyBorder="1" applyAlignment="1">
      <alignment horizontal="center"/>
    </xf>
    <xf numFmtId="3" fontId="134" fillId="15" borderId="599" xfId="0" applyNumberFormat="1" applyFont="1" applyFill="1" applyBorder="1" applyAlignment="1">
      <alignment horizontal="center"/>
    </xf>
    <xf numFmtId="10" fontId="64" fillId="10" borderId="102" xfId="0" applyNumberFormat="1" applyFont="1" applyFill="1" applyBorder="1" applyAlignment="1">
      <alignment horizontal="center" wrapText="1"/>
    </xf>
    <xf numFmtId="10" fontId="64" fillId="10" borderId="710" xfId="0" applyNumberFormat="1" applyFont="1" applyFill="1" applyBorder="1" applyAlignment="1">
      <alignment horizontal="center" wrapText="1"/>
    </xf>
    <xf numFmtId="3" fontId="70" fillId="10" borderId="103" xfId="1" applyNumberFormat="1" applyFont="1" applyFill="1" applyBorder="1" applyAlignment="1" applyProtection="1">
      <alignment horizontal="right"/>
    </xf>
    <xf numFmtId="3" fontId="70" fillId="10" borderId="242" xfId="1" applyNumberFormat="1" applyFont="1" applyFill="1" applyBorder="1" applyAlignment="1" applyProtection="1">
      <alignment horizontal="right"/>
    </xf>
    <xf numFmtId="0" fontId="29" fillId="0" borderId="672" xfId="0" applyFont="1" applyBorder="1" applyAlignment="1">
      <alignment horizontal="center" wrapText="1"/>
    </xf>
    <xf numFmtId="0" fontId="29" fillId="0" borderId="673" xfId="0" applyFont="1" applyBorder="1" applyAlignment="1">
      <alignment horizontal="center" wrapText="1"/>
    </xf>
    <xf numFmtId="0" fontId="29" fillId="0" borderId="603" xfId="0" applyFont="1" applyBorder="1" applyAlignment="1">
      <alignment horizontal="center"/>
    </xf>
    <xf numFmtId="0" fontId="29" fillId="0" borderId="625" xfId="0" applyFont="1" applyBorder="1" applyAlignment="1">
      <alignment horizontal="center"/>
    </xf>
    <xf numFmtId="0" fontId="64" fillId="18" borderId="713" xfId="0" applyFont="1" applyFill="1" applyBorder="1" applyAlignment="1">
      <alignment horizontal="left" wrapText="1"/>
    </xf>
    <xf numFmtId="0" fontId="64" fillId="18" borderId="714" xfId="0" applyFont="1" applyFill="1" applyBorder="1" applyAlignment="1">
      <alignment horizontal="left" wrapText="1"/>
    </xf>
    <xf numFmtId="0" fontId="64" fillId="18" borderId="715" xfId="0" applyFont="1" applyFill="1" applyBorder="1" applyAlignment="1">
      <alignment horizontal="left" wrapText="1"/>
    </xf>
    <xf numFmtId="0" fontId="29" fillId="0" borderId="603" xfId="0" applyFont="1" applyBorder="1" applyAlignment="1">
      <alignment horizontal="center" wrapText="1"/>
    </xf>
    <xf numFmtId="0" fontId="29" fillId="0" borderId="625" xfId="0" applyFont="1" applyBorder="1" applyAlignment="1">
      <alignment horizontal="center" wrapText="1"/>
    </xf>
    <xf numFmtId="0" fontId="70" fillId="10" borderId="525" xfId="0" applyFont="1" applyFill="1" applyBorder="1" applyAlignment="1">
      <alignment horizontal="left" wrapText="1"/>
    </xf>
    <xf numFmtId="0" fontId="70" fillId="10" borderId="179" xfId="0" applyFont="1" applyFill="1" applyBorder="1" applyAlignment="1">
      <alignment horizontal="left" wrapText="1"/>
    </xf>
    <xf numFmtId="3" fontId="70" fillId="10" borderId="507" xfId="1" applyNumberFormat="1" applyFont="1" applyFill="1" applyBorder="1" applyAlignment="1" applyProtection="1">
      <alignment horizontal="right" wrapText="1"/>
    </xf>
    <xf numFmtId="3" fontId="70" fillId="10" borderId="214" xfId="1" applyNumberFormat="1" applyFont="1" applyFill="1" applyBorder="1" applyAlignment="1" applyProtection="1">
      <alignment horizontal="right" wrapText="1"/>
    </xf>
    <xf numFmtId="0" fontId="29" fillId="0" borderId="245" xfId="0" applyFont="1" applyBorder="1" applyAlignment="1">
      <alignment horizontal="center"/>
    </xf>
    <xf numFmtId="0" fontId="29" fillId="0" borderId="246" xfId="0" applyFont="1" applyBorder="1" applyAlignment="1">
      <alignment horizontal="center"/>
    </xf>
    <xf numFmtId="0" fontId="29" fillId="0" borderId="585" xfId="0" applyFont="1" applyBorder="1" applyAlignment="1">
      <alignment horizontal="center" wrapText="1"/>
    </xf>
    <xf numFmtId="0" fontId="29" fillId="0" borderId="602" xfId="0" applyFont="1" applyBorder="1" applyAlignment="1">
      <alignment horizontal="center" wrapText="1"/>
    </xf>
    <xf numFmtId="0" fontId="70" fillId="10" borderId="525" xfId="0" applyFont="1" applyFill="1" applyBorder="1" applyAlignment="1">
      <alignment horizontal="center" wrapText="1"/>
    </xf>
    <xf numFmtId="0" fontId="70" fillId="10" borderId="179" xfId="0" applyFont="1" applyFill="1" applyBorder="1" applyAlignment="1">
      <alignment horizontal="center" wrapText="1"/>
    </xf>
    <xf numFmtId="0" fontId="38" fillId="0" borderId="724" xfId="0" applyFont="1" applyBorder="1" applyAlignment="1">
      <alignment horizontal="center" wrapText="1"/>
    </xf>
    <xf numFmtId="0" fontId="38" fillId="0" borderId="725" xfId="0" applyFont="1" applyBorder="1" applyAlignment="1">
      <alignment horizontal="center" wrapText="1"/>
    </xf>
    <xf numFmtId="0" fontId="64" fillId="10" borderId="313" xfId="0" applyFont="1" applyFill="1" applyBorder="1"/>
    <xf numFmtId="0" fontId="64" fillId="10" borderId="207" xfId="0" applyFont="1" applyFill="1" applyBorder="1"/>
    <xf numFmtId="0" fontId="38" fillId="0" borderId="195" xfId="0" applyFont="1" applyBorder="1" applyAlignment="1">
      <alignment horizontal="center"/>
    </xf>
    <xf numFmtId="0" fontId="3" fillId="0" borderId="204" xfId="0" applyFont="1" applyBorder="1" applyAlignment="1">
      <alignment horizontal="left"/>
    </xf>
  </cellXfs>
  <cellStyles count="201">
    <cellStyle name="1000-sep (2 dec) 2" xfId="74" xr:uid="{00000000-0005-0000-0000-000001000000}"/>
    <cellStyle name="1000-sep_KD-lån" xfId="3" xr:uid="{00000000-0005-0000-0000-000003000000}"/>
    <cellStyle name="1000-sep+,00_aktuel-aar" xfId="4" xr:uid="{00000000-0005-0000-0000-000004000000}"/>
    <cellStyle name="12" xfId="5" xr:uid="{00000000-0005-0000-0000-000005000000}"/>
    <cellStyle name="14" xfId="6" xr:uid="{00000000-0005-0000-0000-000006000000}"/>
    <cellStyle name="9" xfId="7" xr:uid="{00000000-0005-0000-0000-000007000000}"/>
    <cellStyle name="Besøgt link" xfId="151" builtinId="9" hidden="1"/>
    <cellStyle name="Besøgt link" xfId="143" builtinId="9" hidden="1"/>
    <cellStyle name="Besøgt link" xfId="135" builtinId="9" hidden="1"/>
    <cellStyle name="Besøgt link" xfId="127" builtinId="9" hidden="1"/>
    <cellStyle name="Besøgt link" xfId="119" builtinId="9" hidden="1"/>
    <cellStyle name="Besøgt link" xfId="107" builtinId="9" hidden="1"/>
    <cellStyle name="Besøgt link" xfId="99" builtinId="9" hidden="1"/>
    <cellStyle name="Besøgt link" xfId="91" builtinId="9" hidden="1"/>
    <cellStyle name="Besøgt link" xfId="82" builtinId="9" hidden="1"/>
    <cellStyle name="Besøgt link" xfId="69" builtinId="9" hidden="1"/>
    <cellStyle name="Besøgt link" xfId="39" builtinId="9" hidden="1"/>
    <cellStyle name="Besøgt link" xfId="52" builtinId="9" hidden="1"/>
    <cellStyle name="Besøgt link" xfId="57" builtinId="9" hidden="1"/>
    <cellStyle name="Besøgt link" xfId="64" builtinId="9" hidden="1"/>
    <cellStyle name="Besøgt link" xfId="40" builtinId="9" hidden="1"/>
    <cellStyle name="Besøgt link" xfId="36" builtinId="9" hidden="1"/>
    <cellStyle name="Besøgt link" xfId="31" builtinId="9" hidden="1"/>
    <cellStyle name="Besøgt link" xfId="30" builtinId="9" hidden="1"/>
    <cellStyle name="Besøgt link" xfId="35" builtinId="9" hidden="1"/>
    <cellStyle name="Besøgt link" xfId="51" builtinId="9" hidden="1"/>
    <cellStyle name="Besøgt link" xfId="63" builtinId="9" hidden="1"/>
    <cellStyle name="Besøgt link" xfId="56" builtinId="9" hidden="1"/>
    <cellStyle name="Besøgt link" xfId="43" builtinId="9" hidden="1"/>
    <cellStyle name="Besøgt link" xfId="38" builtinId="9" hidden="1"/>
    <cellStyle name="Besøgt link" xfId="71" builtinId="9" hidden="1"/>
    <cellStyle name="Besøgt link" xfId="84" builtinId="9" hidden="1"/>
    <cellStyle name="Besøgt link" xfId="93" builtinId="9" hidden="1"/>
    <cellStyle name="Besøgt link" xfId="101" builtinId="9" hidden="1"/>
    <cellStyle name="Besøgt link" xfId="109" builtinId="9" hidden="1"/>
    <cellStyle name="Besøgt link" xfId="121" builtinId="9" hidden="1"/>
    <cellStyle name="Besøgt link" xfId="129" builtinId="9" hidden="1"/>
    <cellStyle name="Besøgt link" xfId="137" builtinId="9" hidden="1"/>
    <cellStyle name="Besøgt link" xfId="145" builtinId="9" hidden="1"/>
    <cellStyle name="Besøgt link" xfId="153" builtinId="9" hidden="1"/>
    <cellStyle name="Besøgt link" xfId="161" builtinId="9" hidden="1"/>
    <cellStyle name="Besøgt link" xfId="169" builtinId="9" hidden="1"/>
    <cellStyle name="Besøgt link" xfId="178" builtinId="9" hidden="1"/>
    <cellStyle name="Besøgt link" xfId="188" builtinId="9" hidden="1"/>
    <cellStyle name="Besøgt link" xfId="196" builtinId="9" hidden="1"/>
    <cellStyle name="Besøgt link" xfId="197" builtinId="9" hidden="1"/>
    <cellStyle name="Besøgt link" xfId="189" builtinId="9" hidden="1"/>
    <cellStyle name="Besøgt link" xfId="179" builtinId="9" hidden="1"/>
    <cellStyle name="Besøgt link" xfId="170" builtinId="9" hidden="1"/>
    <cellStyle name="Besøgt link" xfId="162" builtinId="9" hidden="1"/>
    <cellStyle name="Besøgt link" xfId="154" builtinId="9" hidden="1"/>
    <cellStyle name="Besøgt link" xfId="146" builtinId="9" hidden="1"/>
    <cellStyle name="Besøgt link" xfId="138" builtinId="9" hidden="1"/>
    <cellStyle name="Besøgt link" xfId="130" builtinId="9" hidden="1"/>
    <cellStyle name="Besøgt link" xfId="92" builtinId="9" hidden="1"/>
    <cellStyle name="Besøgt link" xfId="98" builtinId="9" hidden="1"/>
    <cellStyle name="Besøgt link" xfId="104" builtinId="9" hidden="1"/>
    <cellStyle name="Besøgt link" xfId="108" builtinId="9" hidden="1"/>
    <cellStyle name="Besøgt link" xfId="118" builtinId="9" hidden="1"/>
    <cellStyle name="Besøgt link" xfId="124" builtinId="9" hidden="1"/>
    <cellStyle name="Besøgt link" xfId="128" builtinId="9" hidden="1"/>
    <cellStyle name="Besøgt link" xfId="114" builtinId="9" hidden="1"/>
    <cellStyle name="Besøgt link" xfId="94" builtinId="9" hidden="1"/>
    <cellStyle name="Besøgt link" xfId="81" builtinId="9" hidden="1"/>
    <cellStyle name="Besøgt link" xfId="85" builtinId="9" hidden="1"/>
    <cellStyle name="Besøgt link" xfId="77" builtinId="9" hidden="1"/>
    <cellStyle name="Besøgt link" xfId="70" builtinId="9" hidden="1"/>
    <cellStyle name="Besøgt link" xfId="66" builtinId="9" hidden="1"/>
    <cellStyle name="Besøgt link" xfId="68" builtinId="9" hidden="1"/>
    <cellStyle name="Besøgt link" xfId="87" builtinId="9" hidden="1"/>
    <cellStyle name="Besøgt link" xfId="83" builtinId="9" hidden="1"/>
    <cellStyle name="Besøgt link" xfId="79" builtinId="9" hidden="1"/>
    <cellStyle name="Besøgt link" xfId="102" builtinId="9" hidden="1"/>
    <cellStyle name="Besøgt link" xfId="122" builtinId="9" hidden="1"/>
    <cellStyle name="Besøgt link" xfId="126" builtinId="9" hidden="1"/>
    <cellStyle name="Besøgt link" xfId="120" builtinId="9" hidden="1"/>
    <cellStyle name="Besøgt link" xfId="116" builtinId="9" hidden="1"/>
    <cellStyle name="Besøgt link" xfId="106" builtinId="9" hidden="1"/>
    <cellStyle name="Besøgt link" xfId="100" builtinId="9" hidden="1"/>
    <cellStyle name="Besøgt link" xfId="96" builtinId="9" hidden="1"/>
    <cellStyle name="Besøgt link" xfId="89" builtinId="9" hidden="1"/>
    <cellStyle name="Besøgt link" xfId="134" builtinId="9" hidden="1"/>
    <cellStyle name="Besøgt link" xfId="142" builtinId="9" hidden="1"/>
    <cellStyle name="Besøgt link" xfId="150" builtinId="9" hidden="1"/>
    <cellStyle name="Besøgt link" xfId="158" builtinId="9" hidden="1"/>
    <cellStyle name="Besøgt link" xfId="166" builtinId="9" hidden="1"/>
    <cellStyle name="Besøgt link" xfId="175" builtinId="9" hidden="1"/>
    <cellStyle name="Besøgt link" xfId="185" builtinId="9" hidden="1"/>
    <cellStyle name="Besøgt link" xfId="193" builtinId="9" hidden="1"/>
    <cellStyle name="Besøgt link" xfId="200" builtinId="9" hidden="1"/>
    <cellStyle name="Besøgt link" xfId="192" builtinId="9" hidden="1"/>
    <cellStyle name="Besøgt link" xfId="184" builtinId="9" hidden="1"/>
    <cellStyle name="Besøgt link" xfId="173" builtinId="9" hidden="1"/>
    <cellStyle name="Besøgt link" xfId="165" builtinId="9" hidden="1"/>
    <cellStyle name="Besøgt link" xfId="157" builtinId="9" hidden="1"/>
    <cellStyle name="Besøgt link" xfId="149" builtinId="9" hidden="1"/>
    <cellStyle name="Besøgt link" xfId="141" builtinId="9" hidden="1"/>
    <cellStyle name="Besøgt link" xfId="133" builtinId="9" hidden="1"/>
    <cellStyle name="Besøgt link" xfId="125" builtinId="9" hidden="1"/>
    <cellStyle name="Besøgt link" xfId="117" builtinId="9" hidden="1"/>
    <cellStyle name="Besøgt link" xfId="105" builtinId="9" hidden="1"/>
    <cellStyle name="Besøgt link" xfId="97" builtinId="9" hidden="1"/>
    <cellStyle name="Besøgt link" xfId="88" builtinId="9" hidden="1"/>
    <cellStyle name="Besøgt link" xfId="80" builtinId="9" hidden="1"/>
    <cellStyle name="Besøgt link" xfId="67" builtinId="9" hidden="1"/>
    <cellStyle name="Besøgt link" xfId="41" builtinId="9" hidden="1"/>
    <cellStyle name="Besøgt link" xfId="53" builtinId="9" hidden="1"/>
    <cellStyle name="Besøgt link" xfId="60" builtinId="9" hidden="1"/>
    <cellStyle name="Besøgt link" xfId="61" builtinId="9" hidden="1"/>
    <cellStyle name="Besøgt link" xfId="33" builtinId="9" hidden="1"/>
    <cellStyle name="Besøgt link" xfId="37" builtinId="9" hidden="1"/>
    <cellStyle name="Besøgt link" xfId="29" builtinId="9" hidden="1"/>
    <cellStyle name="Besøgt link" xfId="32" builtinId="9" hidden="1"/>
    <cellStyle name="Besøgt link" xfId="34" builtinId="9" hidden="1"/>
    <cellStyle name="Besøgt link" xfId="55" builtinId="9" hidden="1"/>
    <cellStyle name="Besøgt link" xfId="62" builtinId="9" hidden="1"/>
    <cellStyle name="Besøgt link" xfId="54" builtinId="9" hidden="1"/>
    <cellStyle name="Besøgt link" xfId="42" builtinId="9" hidden="1"/>
    <cellStyle name="Besøgt link" xfId="65" builtinId="9" hidden="1"/>
    <cellStyle name="Besøgt link" xfId="78" builtinId="9" hidden="1"/>
    <cellStyle name="Besøgt link" xfId="86" builtinId="9" hidden="1"/>
    <cellStyle name="Besøgt link" xfId="95" builtinId="9" hidden="1"/>
    <cellStyle name="Besøgt link" xfId="103" builtinId="9" hidden="1"/>
    <cellStyle name="Besøgt link" xfId="115" builtinId="9" hidden="1"/>
    <cellStyle name="Besøgt link" xfId="123" builtinId="9" hidden="1"/>
    <cellStyle name="Besøgt link" xfId="131" builtinId="9" hidden="1"/>
    <cellStyle name="Besøgt link" xfId="139" builtinId="9" hidden="1"/>
    <cellStyle name="Besøgt link" xfId="147" builtinId="9" hidden="1"/>
    <cellStyle name="Besøgt link" xfId="155" builtinId="9" hidden="1"/>
    <cellStyle name="Besøgt link" xfId="168" builtinId="9" hidden="1"/>
    <cellStyle name="Besøgt link" xfId="172" builtinId="9" hidden="1"/>
    <cellStyle name="Besøgt link" xfId="181" builtinId="9" hidden="1"/>
    <cellStyle name="Besøgt link" xfId="187" builtinId="9" hidden="1"/>
    <cellStyle name="Besøgt link" xfId="191" builtinId="9" hidden="1"/>
    <cellStyle name="Besøgt link" xfId="199" builtinId="9" hidden="1"/>
    <cellStyle name="Besøgt link" xfId="198" builtinId="9" hidden="1"/>
    <cellStyle name="Besøgt link" xfId="194" builtinId="9" hidden="1"/>
    <cellStyle name="Besøgt link" xfId="186" builtinId="9" hidden="1"/>
    <cellStyle name="Besøgt link" xfId="180" builtinId="9" hidden="1"/>
    <cellStyle name="Besøgt link" xfId="176" builtinId="9" hidden="1"/>
    <cellStyle name="Besøgt link" xfId="167" builtinId="9" hidden="1"/>
    <cellStyle name="Besøgt link" xfId="163" builtinId="9" hidden="1"/>
    <cellStyle name="Besøgt link" xfId="159" builtinId="9" hidden="1"/>
    <cellStyle name="Besøgt link" xfId="171" builtinId="9" hidden="1"/>
    <cellStyle name="Besøgt link" xfId="190" builtinId="9" hidden="1"/>
    <cellStyle name="Besøgt link" xfId="195" builtinId="9" hidden="1"/>
    <cellStyle name="Besøgt link" xfId="177" builtinId="9" hidden="1"/>
    <cellStyle name="Besøgt link" xfId="148" builtinId="9" hidden="1"/>
    <cellStyle name="Besøgt link" xfId="152" builtinId="9" hidden="1"/>
    <cellStyle name="Besøgt link" xfId="156" builtinId="9" hidden="1"/>
    <cellStyle name="Besøgt link" xfId="160" builtinId="9" hidden="1"/>
    <cellStyle name="Besøgt link" xfId="164" builtinId="9" hidden="1"/>
    <cellStyle name="Besøgt link" xfId="144" builtinId="9" hidden="1"/>
    <cellStyle name="Besøgt link" xfId="136" builtinId="9" hidden="1"/>
    <cellStyle name="Besøgt link" xfId="140" builtinId="9" hidden="1"/>
    <cellStyle name="Besøgt link" xfId="132" builtinId="9" hidden="1"/>
    <cellStyle name="Chicago" xfId="8" xr:uid="{00000000-0005-0000-0000-00009E000000}"/>
    <cellStyle name="Comma [0]_DelAktPl.xls" xfId="49" xr:uid="{00000000-0005-0000-0000-00009F000000}"/>
    <cellStyle name="Comma_DelAktPl.xls" xfId="9" xr:uid="{00000000-0005-0000-0000-0000A0000000}"/>
    <cellStyle name="Comma_Lon.xls1" xfId="46" xr:uid="{00000000-0005-0000-0000-0000A1000000}"/>
    <cellStyle name="Comma_Lon.xls1 2" xfId="110" xr:uid="{00000000-0005-0000-0000-0000A2000000}"/>
    <cellStyle name="courier" xfId="10" xr:uid="{00000000-0005-0000-0000-0000A3000000}"/>
    <cellStyle name="courier_031SKPE.XLS" xfId="11" xr:uid="{00000000-0005-0000-0000-0000A4000000}"/>
    <cellStyle name="Currency [0]_5Straat2003.xls" xfId="12" xr:uid="{00000000-0005-0000-0000-0000A5000000}"/>
    <cellStyle name="Currency_DelAktPl.xls" xfId="50" xr:uid="{00000000-0005-0000-0000-0000A6000000}"/>
    <cellStyle name="Followed Hyperlink" xfId="13" xr:uid="{00000000-0005-0000-0000-0000A7000000}"/>
    <cellStyle name="Komma" xfId="1" builtinId="3"/>
    <cellStyle name="Komma [0]" xfId="2" builtinId="6"/>
    <cellStyle name="Komma 2" xfId="183" xr:uid="{00000000-0005-0000-0000-0000A9000000}"/>
    <cellStyle name="komma0" xfId="15" xr:uid="{00000000-0005-0000-0000-0000AA000000}"/>
    <cellStyle name="komma0 2" xfId="48" xr:uid="{00000000-0005-0000-0000-0000AB000000}"/>
    <cellStyle name="komma0 3" xfId="72" xr:uid="{00000000-0005-0000-0000-0000AC000000}"/>
    <cellStyle name="komma1" xfId="16" xr:uid="{00000000-0005-0000-0000-0000AD000000}"/>
    <cellStyle name="komma2" xfId="17" xr:uid="{00000000-0005-0000-0000-0000AE000000}"/>
    <cellStyle name="komma2 2" xfId="76" xr:uid="{00000000-0005-0000-0000-0000AF000000}"/>
    <cellStyle name="komma4" xfId="18" xr:uid="{00000000-0005-0000-0000-0000B0000000}"/>
    <cellStyle name="kr" xfId="19" xr:uid="{00000000-0005-0000-0000-0000B1000000}"/>
    <cellStyle name="Link" xfId="14" builtinId="8"/>
    <cellStyle name="Normal" xfId="0" builtinId="0"/>
    <cellStyle name="Normal 2" xfId="44" xr:uid="{00000000-0005-0000-0000-0000B3000000}"/>
    <cellStyle name="Normal 2 2" xfId="113" xr:uid="{00000000-0005-0000-0000-0000B4000000}"/>
    <cellStyle name="Normal 3" xfId="58" xr:uid="{00000000-0005-0000-0000-0000B5000000}"/>
    <cellStyle name="Normal 4" xfId="90" xr:uid="{00000000-0005-0000-0000-0000B6000000}"/>
    <cellStyle name="Normal 5" xfId="112" xr:uid="{00000000-0005-0000-0000-0000B7000000}"/>
    <cellStyle name="Normal 6" xfId="182" xr:uid="{00000000-0005-0000-0000-0000B8000000}"/>
    <cellStyle name="Normal_KD-lån" xfId="20" xr:uid="{00000000-0005-0000-0000-0000B9000000}"/>
    <cellStyle name="Normal_Lon.xls1" xfId="45" xr:uid="{00000000-0005-0000-0000-0000BA000000}"/>
    <cellStyle name="Normal_LonAug00.xls 2" xfId="59" xr:uid="{00000000-0005-0000-0000-0000BB000000}"/>
    <cellStyle name="Normal_NYRen2003bud15" xfId="21" xr:uid="{00000000-0005-0000-0000-0000BC000000}"/>
    <cellStyle name="Normal_t-tabel" xfId="22" xr:uid="{00000000-0005-0000-0000-0000BD000000}"/>
    <cellStyle name="prc0" xfId="23" xr:uid="{00000000-0005-0000-0000-0000BE000000}"/>
    <cellStyle name="prc0 2" xfId="73" xr:uid="{00000000-0005-0000-0000-0000BF000000}"/>
    <cellStyle name="prc1" xfId="24" xr:uid="{00000000-0005-0000-0000-0000C0000000}"/>
    <cellStyle name="prc2" xfId="25" xr:uid="{00000000-0005-0000-0000-0000C1000000}"/>
    <cellStyle name="Procent" xfId="26" builtinId="5"/>
    <cellStyle name="Procent 2" xfId="47" xr:uid="{00000000-0005-0000-0000-0000C3000000}"/>
    <cellStyle name="Procent 3" xfId="75" xr:uid="{00000000-0005-0000-0000-0000C4000000}"/>
    <cellStyle name="Procent 4" xfId="111" xr:uid="{00000000-0005-0000-0000-0000C5000000}"/>
    <cellStyle name="skkode" xfId="27" xr:uid="{00000000-0005-0000-0000-0000C6000000}"/>
    <cellStyle name="skygget" xfId="28" xr:uid="{00000000-0005-0000-0000-0000C7000000}"/>
    <cellStyle name="Valuta" xfId="174" builtinId="4"/>
  </cellStyles>
  <dxfs count="58">
    <dxf>
      <font>
        <strike val="0"/>
        <color theme="0"/>
      </font>
      <fill>
        <patternFill>
          <bgColor rgb="FFC00000"/>
        </patternFill>
      </fill>
    </dxf>
    <dxf>
      <font>
        <color theme="1"/>
      </font>
      <fill>
        <patternFill>
          <bgColor rgb="FF00B05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BBE"/>
      <color rgb="FF346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59338471839602E-2"/>
          <c:y val="8.4070978098594429E-2"/>
          <c:w val="0.91313582937876303"/>
          <c:h val="0.78761232113419799"/>
        </c:manualLayout>
      </c:layout>
      <c:lineChart>
        <c:grouping val="standard"/>
        <c:varyColors val="0"/>
        <c:ser>
          <c:idx val="0"/>
          <c:order val="0"/>
          <c:tx>
            <c:strRef>
              <c:f>Prognose!$A$9</c:f>
              <c:strCache>
                <c:ptCount val="1"/>
                <c:pt idx="0">
                  <c:v>Elevtal</c:v>
                </c:pt>
              </c:strCache>
            </c:strRef>
          </c:tx>
          <c:spPr>
            <a:ln w="12700">
              <a:solidFill>
                <a:srgbClr val="900000"/>
              </a:solidFill>
              <a:prstDash val="solid"/>
            </a:ln>
          </c:spPr>
          <c:marker>
            <c:symbol val="x"/>
            <c:size val="6"/>
            <c:spPr>
              <a:noFill/>
              <a:ln>
                <a:solidFill>
                  <a:srgbClr val="800000"/>
                </a:solidFill>
                <a:prstDash val="solid"/>
              </a:ln>
            </c:spPr>
          </c:marker>
          <c:cat>
            <c:numRef>
              <c:f>Prognose!$B$4:$E$4</c:f>
              <c:numCache>
                <c:formatCode>General</c:formatCode>
                <c:ptCount val="4"/>
                <c:pt idx="0">
                  <c:v>2023</c:v>
                </c:pt>
                <c:pt idx="1">
                  <c:v>2024</c:v>
                </c:pt>
                <c:pt idx="2">
                  <c:v>2025</c:v>
                </c:pt>
                <c:pt idx="3">
                  <c:v>2026</c:v>
                </c:pt>
              </c:numCache>
            </c:numRef>
          </c:cat>
          <c:val>
            <c:numRef>
              <c:f>Prognose!$B$9:$E$9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47AE-4A41-8143-430C4D95D1B1}"/>
            </c:ext>
          </c:extLst>
        </c:ser>
        <c:ser>
          <c:idx val="1"/>
          <c:order val="1"/>
          <c:tx>
            <c:strRef>
              <c:f>Prognose!$A$10</c:f>
              <c:strCache>
                <c:ptCount val="1"/>
                <c:pt idx="0">
                  <c:v>SFO</c:v>
                </c:pt>
              </c:strCache>
            </c:strRef>
          </c:tx>
          <c:spPr>
            <a:ln w="12700">
              <a:solidFill>
                <a:srgbClr val="F20884"/>
              </a:solidFill>
              <a:prstDash val="solid"/>
            </a:ln>
          </c:spPr>
          <c:marker>
            <c:symbol val="none"/>
          </c:marker>
          <c:cat>
            <c:numRef>
              <c:f>Prognose!$B$4:$E$4</c:f>
              <c:numCache>
                <c:formatCode>General</c:formatCode>
                <c:ptCount val="4"/>
                <c:pt idx="0">
                  <c:v>2023</c:v>
                </c:pt>
                <c:pt idx="1">
                  <c:v>2024</c:v>
                </c:pt>
                <c:pt idx="2">
                  <c:v>2025</c:v>
                </c:pt>
                <c:pt idx="3">
                  <c:v>2026</c:v>
                </c:pt>
              </c:numCache>
            </c:numRef>
          </c:cat>
          <c:val>
            <c:numRef>
              <c:f>Prognose!$B$10:$E$10</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47AE-4A41-8143-430C4D95D1B1}"/>
            </c:ext>
          </c:extLst>
        </c:ser>
        <c:dLbls>
          <c:showLegendKey val="0"/>
          <c:showVal val="0"/>
          <c:showCatName val="0"/>
          <c:showSerName val="0"/>
          <c:showPercent val="0"/>
          <c:showBubbleSize val="0"/>
        </c:dLbls>
        <c:marker val="1"/>
        <c:smooth val="0"/>
        <c:axId val="180661248"/>
        <c:axId val="180663040"/>
      </c:lineChart>
      <c:catAx>
        <c:axId val="18066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da-DK"/>
          </a:p>
        </c:txPr>
        <c:crossAx val="180663040"/>
        <c:crosses val="autoZero"/>
        <c:auto val="1"/>
        <c:lblAlgn val="ctr"/>
        <c:lblOffset val="100"/>
        <c:tickLblSkip val="1"/>
        <c:tickMarkSkip val="1"/>
        <c:noMultiLvlLbl val="0"/>
      </c:catAx>
      <c:valAx>
        <c:axId val="1806630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da-DK"/>
          </a:p>
        </c:txPr>
        <c:crossAx val="180661248"/>
        <c:crosses val="autoZero"/>
        <c:crossBetween val="between"/>
      </c:valAx>
      <c:spPr>
        <a:solidFill>
          <a:srgbClr val="C0C0C0"/>
        </a:solidFill>
        <a:ln w="12700">
          <a:solidFill>
            <a:srgbClr val="808080"/>
          </a:solidFill>
          <a:prstDash val="solid"/>
        </a:ln>
      </c:spPr>
    </c:plotArea>
    <c:legend>
      <c:legendPos val="r"/>
      <c:layout>
        <c:manualLayout>
          <c:xMode val="edge"/>
          <c:yMode val="edge"/>
          <c:x val="0.57664233576642299"/>
          <c:y val="0.34472101962984714"/>
          <c:w val="0.226277372262774"/>
          <c:h val="5.279511111448091E-2"/>
        </c:manualLayout>
      </c:layout>
      <c:overlay val="0"/>
      <c:spPr>
        <a:solidFill>
          <a:srgbClr val="FFFFFF"/>
        </a:solidFill>
        <a:ln w="3175">
          <a:solidFill>
            <a:srgbClr val="000000"/>
          </a:solidFill>
          <a:prstDash val="solid"/>
        </a:ln>
      </c:spPr>
      <c:txPr>
        <a:bodyPr/>
        <a:lstStyle/>
        <a:p>
          <a:pPr>
            <a:defRPr sz="535" b="0" i="0" u="none" strike="noStrike" baseline="0">
              <a:solidFill>
                <a:srgbClr val="000000"/>
              </a:solidFill>
              <a:latin typeface="Geneva"/>
              <a:ea typeface="Geneva"/>
              <a:cs typeface="Geneva"/>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000000000000211" r="0.75000000000000211" t="1" header="0.51180555555555807" footer="0.51180555555555807"/>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2992868151201"/>
          <c:y val="7.1428669766767386E-2"/>
          <c:w val="0.86105994475372405"/>
          <c:h val="0.81579059680992205"/>
        </c:manualLayout>
      </c:layout>
      <c:lineChart>
        <c:grouping val="standard"/>
        <c:varyColors val="0"/>
        <c:ser>
          <c:idx val="0"/>
          <c:order val="0"/>
          <c:tx>
            <c:strRef>
              <c:f>Prognose!$A$5</c:f>
              <c:strCache>
                <c:ptCount val="1"/>
                <c:pt idx="0">
                  <c:v>Indtægter</c:v>
                </c:pt>
              </c:strCache>
            </c:strRef>
          </c:tx>
          <c:spPr>
            <a:ln w="12700">
              <a:solidFill>
                <a:srgbClr val="000090"/>
              </a:solidFill>
              <a:prstDash val="solid"/>
            </a:ln>
          </c:spPr>
          <c:marker>
            <c:symbol val="triangle"/>
            <c:size val="6"/>
            <c:spPr>
              <a:solidFill>
                <a:srgbClr val="000080"/>
              </a:solidFill>
              <a:ln>
                <a:solidFill>
                  <a:srgbClr val="000090"/>
                </a:solidFill>
                <a:prstDash val="solid"/>
              </a:ln>
            </c:spPr>
          </c:marker>
          <c:cat>
            <c:numRef>
              <c:f>Prognose!$B$4:$E$4</c:f>
              <c:numCache>
                <c:formatCode>General</c:formatCode>
                <c:ptCount val="4"/>
                <c:pt idx="0">
                  <c:v>2023</c:v>
                </c:pt>
                <c:pt idx="1">
                  <c:v>2024</c:v>
                </c:pt>
                <c:pt idx="2">
                  <c:v>2025</c:v>
                </c:pt>
                <c:pt idx="3">
                  <c:v>2026</c:v>
                </c:pt>
              </c:numCache>
            </c:numRef>
          </c:cat>
          <c:val>
            <c:numRef>
              <c:f>Prognose!$B$5:$E$5</c:f>
              <c:numCache>
                <c:formatCode>#,##0</c:formatCode>
                <c:ptCount val="4"/>
                <c:pt idx="0">
                  <c:v>0</c:v>
                </c:pt>
                <c:pt idx="1">
                  <c:v>0</c:v>
                </c:pt>
                <c:pt idx="2">
                  <c:v>135843</c:v>
                </c:pt>
                <c:pt idx="3">
                  <c:v>135843</c:v>
                </c:pt>
              </c:numCache>
            </c:numRef>
          </c:val>
          <c:smooth val="0"/>
          <c:extLst>
            <c:ext xmlns:c16="http://schemas.microsoft.com/office/drawing/2014/chart" uri="{C3380CC4-5D6E-409C-BE32-E72D297353CC}">
              <c16:uniqueId val="{00000000-B277-474D-A20A-F6573F4F7FF6}"/>
            </c:ext>
          </c:extLst>
        </c:ser>
        <c:ser>
          <c:idx val="1"/>
          <c:order val="1"/>
          <c:tx>
            <c:strRef>
              <c:f>Prognose!$A$6</c:f>
              <c:strCache>
                <c:ptCount val="1"/>
                <c:pt idx="0">
                  <c:v>Udgifter</c:v>
                </c:pt>
              </c:strCache>
            </c:strRef>
          </c:tx>
          <c:spPr>
            <a:ln w="12700">
              <a:solidFill>
                <a:srgbClr val="DD0806"/>
              </a:solidFill>
              <a:prstDash val="solid"/>
            </a:ln>
          </c:spPr>
          <c:marker>
            <c:symbol val="diamond"/>
            <c:size val="6"/>
            <c:spPr>
              <a:solidFill>
                <a:srgbClr val="FF0000"/>
              </a:solidFill>
              <a:ln>
                <a:solidFill>
                  <a:srgbClr val="DD0806"/>
                </a:solidFill>
                <a:prstDash val="solid"/>
              </a:ln>
            </c:spPr>
          </c:marker>
          <c:cat>
            <c:numRef>
              <c:f>Prognose!$B$4:$E$4</c:f>
              <c:numCache>
                <c:formatCode>General</c:formatCode>
                <c:ptCount val="4"/>
                <c:pt idx="0">
                  <c:v>2023</c:v>
                </c:pt>
                <c:pt idx="1">
                  <c:v>2024</c:v>
                </c:pt>
                <c:pt idx="2">
                  <c:v>2025</c:v>
                </c:pt>
                <c:pt idx="3">
                  <c:v>2026</c:v>
                </c:pt>
              </c:numCache>
            </c:numRef>
          </c:cat>
          <c:val>
            <c:numRef>
              <c:f>Prognose!$B$6:$E$6</c:f>
              <c:numCache>
                <c:formatCode>#,##0</c:formatCode>
                <c:ptCount val="4"/>
                <c:pt idx="0">
                  <c:v>0</c:v>
                </c:pt>
                <c:pt idx="1">
                  <c:v>0</c:v>
                </c:pt>
                <c:pt idx="2">
                  <c:v>8920</c:v>
                </c:pt>
                <c:pt idx="3">
                  <c:v>9053.7999999999993</c:v>
                </c:pt>
              </c:numCache>
            </c:numRef>
          </c:val>
          <c:smooth val="0"/>
          <c:extLst>
            <c:ext xmlns:c16="http://schemas.microsoft.com/office/drawing/2014/chart" uri="{C3380CC4-5D6E-409C-BE32-E72D297353CC}">
              <c16:uniqueId val="{00000001-B277-474D-A20A-F6573F4F7FF6}"/>
            </c:ext>
          </c:extLst>
        </c:ser>
        <c:ser>
          <c:idx val="2"/>
          <c:order val="2"/>
          <c:tx>
            <c:strRef>
              <c:f>Prognose!$A$7</c:f>
              <c:strCache>
                <c:ptCount val="1"/>
                <c:pt idx="0">
                  <c:v>Driftsresultat</c:v>
                </c:pt>
              </c:strCache>
            </c:strRef>
          </c:tx>
          <c:spPr>
            <a:ln w="12700">
              <a:solidFill>
                <a:srgbClr val="006411"/>
              </a:solidFill>
              <a:prstDash val="solid"/>
            </a:ln>
          </c:spPr>
          <c:marker>
            <c:symbol val="circle"/>
            <c:size val="6"/>
            <c:spPr>
              <a:solidFill>
                <a:srgbClr val="008000"/>
              </a:solidFill>
              <a:ln>
                <a:solidFill>
                  <a:srgbClr val="006411"/>
                </a:solidFill>
                <a:prstDash val="solid"/>
              </a:ln>
            </c:spPr>
          </c:marker>
          <c:cat>
            <c:numRef>
              <c:f>Prognose!$B$4:$E$4</c:f>
              <c:numCache>
                <c:formatCode>General</c:formatCode>
                <c:ptCount val="4"/>
                <c:pt idx="0">
                  <c:v>2023</c:v>
                </c:pt>
                <c:pt idx="1">
                  <c:v>2024</c:v>
                </c:pt>
                <c:pt idx="2">
                  <c:v>2025</c:v>
                </c:pt>
                <c:pt idx="3">
                  <c:v>2026</c:v>
                </c:pt>
              </c:numCache>
            </c:numRef>
          </c:cat>
          <c:val>
            <c:numRef>
              <c:f>Prognose!$B$7:$E$7</c:f>
              <c:numCache>
                <c:formatCode>#,##0</c:formatCode>
                <c:ptCount val="4"/>
                <c:pt idx="0">
                  <c:v>0</c:v>
                </c:pt>
                <c:pt idx="1">
                  <c:v>0</c:v>
                </c:pt>
                <c:pt idx="2">
                  <c:v>126923</c:v>
                </c:pt>
                <c:pt idx="3">
                  <c:v>126789.2</c:v>
                </c:pt>
              </c:numCache>
            </c:numRef>
          </c:val>
          <c:smooth val="0"/>
          <c:extLst>
            <c:ext xmlns:c16="http://schemas.microsoft.com/office/drawing/2014/chart" uri="{C3380CC4-5D6E-409C-BE32-E72D297353CC}">
              <c16:uniqueId val="{00000002-B277-474D-A20A-F6573F4F7FF6}"/>
            </c:ext>
          </c:extLst>
        </c:ser>
        <c:ser>
          <c:idx val="3"/>
          <c:order val="3"/>
          <c:tx>
            <c:strRef>
              <c:f>Prognose!$A$9</c:f>
              <c:strCache>
                <c:ptCount val="1"/>
                <c:pt idx="0">
                  <c:v>Elevtal</c:v>
                </c:pt>
              </c:strCache>
            </c:strRef>
          </c:tx>
          <c:spPr>
            <a:ln w="12700">
              <a:solidFill>
                <a:srgbClr val="00CCFF"/>
              </a:solidFill>
              <a:prstDash val="solid"/>
            </a:ln>
          </c:spPr>
          <c:marker>
            <c:symbol val="none"/>
          </c:marker>
          <c:cat>
            <c:numRef>
              <c:f>Prognose!$B$4:$E$4</c:f>
              <c:numCache>
                <c:formatCode>General</c:formatCode>
                <c:ptCount val="4"/>
                <c:pt idx="0">
                  <c:v>2023</c:v>
                </c:pt>
                <c:pt idx="1">
                  <c:v>2024</c:v>
                </c:pt>
                <c:pt idx="2">
                  <c:v>2025</c:v>
                </c:pt>
                <c:pt idx="3">
                  <c:v>2026</c:v>
                </c:pt>
              </c:numCache>
            </c:numRef>
          </c:cat>
          <c:val>
            <c:numRef>
              <c:f>Prognose!$B$9:$E$9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3-B277-474D-A20A-F6573F4F7FF6}"/>
            </c:ext>
          </c:extLst>
        </c:ser>
        <c:ser>
          <c:idx val="4"/>
          <c:order val="4"/>
          <c:tx>
            <c:strRef>
              <c:f>Prognose!$A$8</c:f>
              <c:strCache>
                <c:ptCount val="1"/>
                <c:pt idx="0">
                  <c:v>Likvider</c:v>
                </c:pt>
              </c:strCache>
            </c:strRef>
          </c:tx>
          <c:spPr>
            <a:ln w="12700">
              <a:solidFill>
                <a:srgbClr val="993366"/>
              </a:solidFill>
              <a:prstDash val="solid"/>
            </a:ln>
          </c:spPr>
          <c:marker>
            <c:symbol val="none"/>
          </c:marker>
          <c:cat>
            <c:numRef>
              <c:f>Prognose!$B$4:$E$4</c:f>
              <c:numCache>
                <c:formatCode>General</c:formatCode>
                <c:ptCount val="4"/>
                <c:pt idx="0">
                  <c:v>2023</c:v>
                </c:pt>
                <c:pt idx="1">
                  <c:v>2024</c:v>
                </c:pt>
                <c:pt idx="2">
                  <c:v>2025</c:v>
                </c:pt>
                <c:pt idx="3">
                  <c:v>2026</c:v>
                </c:pt>
              </c:numCache>
            </c:numRef>
          </c:cat>
          <c:val>
            <c:numRef>
              <c:f>Prognose!$B$8:$E$8</c:f>
              <c:numCache>
                <c:formatCode>#,##0</c:formatCode>
                <c:ptCount val="4"/>
                <c:pt idx="0">
                  <c:v>0</c:v>
                </c:pt>
                <c:pt idx="1">
                  <c:v>0</c:v>
                </c:pt>
                <c:pt idx="2">
                  <c:v>126923</c:v>
                </c:pt>
                <c:pt idx="3">
                  <c:v>253712.2</c:v>
                </c:pt>
              </c:numCache>
            </c:numRef>
          </c:val>
          <c:smooth val="0"/>
          <c:extLst>
            <c:ext xmlns:c16="http://schemas.microsoft.com/office/drawing/2014/chart" uri="{C3380CC4-5D6E-409C-BE32-E72D297353CC}">
              <c16:uniqueId val="{00000004-B277-474D-A20A-F6573F4F7FF6}"/>
            </c:ext>
          </c:extLst>
        </c:ser>
        <c:dLbls>
          <c:showLegendKey val="0"/>
          <c:showVal val="0"/>
          <c:showCatName val="0"/>
          <c:showSerName val="0"/>
          <c:showPercent val="0"/>
          <c:showBubbleSize val="0"/>
        </c:dLbls>
        <c:marker val="1"/>
        <c:smooth val="0"/>
        <c:axId val="180325376"/>
        <c:axId val="180339456"/>
      </c:lineChart>
      <c:catAx>
        <c:axId val="180325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Geneva"/>
                <a:ea typeface="Geneva"/>
                <a:cs typeface="Geneva"/>
              </a:defRPr>
            </a:pPr>
            <a:endParaRPr lang="da-DK"/>
          </a:p>
        </c:txPr>
        <c:crossAx val="180339456"/>
        <c:crosses val="autoZero"/>
        <c:auto val="1"/>
        <c:lblAlgn val="ctr"/>
        <c:lblOffset val="100"/>
        <c:tickLblSkip val="1"/>
        <c:tickMarkSkip val="1"/>
        <c:noMultiLvlLbl val="0"/>
      </c:catAx>
      <c:valAx>
        <c:axId val="1803394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Geneva"/>
                <a:ea typeface="Geneva"/>
                <a:cs typeface="Geneva"/>
              </a:defRPr>
            </a:pPr>
            <a:endParaRPr lang="da-DK"/>
          </a:p>
        </c:txPr>
        <c:crossAx val="180325376"/>
        <c:crosses val="autoZero"/>
        <c:crossBetween val="between"/>
      </c:valAx>
      <c:spPr>
        <a:solidFill>
          <a:srgbClr val="C0C0C0"/>
        </a:solidFill>
        <a:ln w="12700">
          <a:solidFill>
            <a:srgbClr val="808080"/>
          </a:solidFill>
          <a:prstDash val="solid"/>
        </a:ln>
      </c:spPr>
    </c:plotArea>
    <c:legend>
      <c:legendPos val="r"/>
      <c:layout>
        <c:manualLayout>
          <c:xMode val="edge"/>
          <c:yMode val="edge"/>
          <c:x val="0.71044881120065295"/>
          <c:y val="0.62953072042465297"/>
          <c:w val="0.14984238669594302"/>
          <c:h val="0.192612385353605"/>
        </c:manualLayout>
      </c:layout>
      <c:overlay val="0"/>
      <c:spPr>
        <a:solidFill>
          <a:srgbClr val="FFFFFF"/>
        </a:solidFill>
        <a:ln w="3175">
          <a:solidFill>
            <a:srgbClr val="000000"/>
          </a:solidFill>
          <a:prstDash val="solid"/>
        </a:ln>
      </c:spPr>
      <c:txPr>
        <a:bodyPr/>
        <a:lstStyle/>
        <a:p>
          <a:pPr>
            <a:defRPr sz="490" b="0" i="0" u="none" strike="noStrike" baseline="0">
              <a:solidFill>
                <a:srgbClr val="000000"/>
              </a:solidFill>
              <a:latin typeface="Geneva"/>
              <a:ea typeface="Geneva"/>
              <a:cs typeface="Geneva"/>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000000000000211" r="0.75000000000000211" t="1" header="0.51180555555555807" footer="0.51180555555555807"/>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hyperlink" Target="#Ejendom!A36"/><Relationship Id="rId18" Type="http://schemas.openxmlformats.org/officeDocument/2006/relationships/hyperlink" Target="#Administration!A132"/><Relationship Id="rId26" Type="http://schemas.openxmlformats.org/officeDocument/2006/relationships/hyperlink" Target="#'Lon p&#230;d., TAP mm'!BN1"/><Relationship Id="rId39" Type="http://schemas.openxmlformats.org/officeDocument/2006/relationships/hyperlink" Target="#'Lon p&#230;d., TAP mm'!V60"/><Relationship Id="rId21" Type="http://schemas.openxmlformats.org/officeDocument/2006/relationships/hyperlink" Target="#Statstilskud!A47"/><Relationship Id="rId34" Type="http://schemas.openxmlformats.org/officeDocument/2006/relationships/hyperlink" Target="#Administration!A133"/><Relationship Id="rId42" Type="http://schemas.openxmlformats.org/officeDocument/2006/relationships/hyperlink" Target="#'Lon p&#230;d., TAP mm'!AJ5"/><Relationship Id="rId47" Type="http://schemas.openxmlformats.org/officeDocument/2006/relationships/hyperlink" Target="#'Heltids SFO'!A1"/><Relationship Id="rId50" Type="http://schemas.openxmlformats.org/officeDocument/2006/relationships/hyperlink" Target="#'Skolepenge, pasningsordning.'!A104"/><Relationship Id="rId7" Type="http://schemas.openxmlformats.org/officeDocument/2006/relationships/hyperlink" Target="#'Skolepenge, pasningsordning.'!A29"/><Relationship Id="rId2" Type="http://schemas.openxmlformats.org/officeDocument/2006/relationships/image" Target="../media/image1.png"/><Relationship Id="rId16" Type="http://schemas.openxmlformats.org/officeDocument/2006/relationships/hyperlink" Target="#'Lon p&#230;d., TAP mm'!BH60"/><Relationship Id="rId29" Type="http://schemas.openxmlformats.org/officeDocument/2006/relationships/hyperlink" Target="#Ejendom!A67"/><Relationship Id="rId11" Type="http://schemas.openxmlformats.org/officeDocument/2006/relationships/hyperlink" Target="#'Undervisning-SFO udgifter'!A4"/><Relationship Id="rId24" Type="http://schemas.openxmlformats.org/officeDocument/2006/relationships/hyperlink" Target="#'Lon p&#230;d., TAP mm'!C5"/><Relationship Id="rId32" Type="http://schemas.openxmlformats.org/officeDocument/2006/relationships/hyperlink" Target="#'Lon p&#230;d., TAP mm'!A1"/><Relationship Id="rId37" Type="http://schemas.openxmlformats.org/officeDocument/2006/relationships/hyperlink" Target="#Administration!A150"/><Relationship Id="rId40" Type="http://schemas.openxmlformats.org/officeDocument/2006/relationships/hyperlink" Target="#'Heltids SFO'!A30"/><Relationship Id="rId45" Type="http://schemas.openxmlformats.org/officeDocument/2006/relationships/hyperlink" Target="#'Skolepenge, pasningsordning.'!A58"/><Relationship Id="rId53" Type="http://schemas.openxmlformats.org/officeDocument/2006/relationships/hyperlink" Target="#'Lon p&#230;d., TAP mm'!CA60"/><Relationship Id="rId5" Type="http://schemas.openxmlformats.org/officeDocument/2006/relationships/hyperlink" Target="#Statstilskud!A1"/><Relationship Id="rId10" Type="http://schemas.openxmlformats.org/officeDocument/2006/relationships/hyperlink" Target="#Daginstitution!A1"/><Relationship Id="rId19" Type="http://schemas.openxmlformats.org/officeDocument/2006/relationships/hyperlink" Target="#Administration!A143"/><Relationship Id="rId31" Type="http://schemas.openxmlformats.org/officeDocument/2006/relationships/hyperlink" Target="#Ejendom!A91"/><Relationship Id="rId44" Type="http://schemas.openxmlformats.org/officeDocument/2006/relationships/hyperlink" Target="#'Skolepenge, pasningsordning.'!A85"/><Relationship Id="rId52" Type="http://schemas.openxmlformats.org/officeDocument/2006/relationships/hyperlink" Target="#'Lon p&#230;d., TAP mm'!BH1"/><Relationship Id="rId4" Type="http://schemas.openxmlformats.org/officeDocument/2006/relationships/image" Target="../media/image2.png"/><Relationship Id="rId9" Type="http://schemas.openxmlformats.org/officeDocument/2006/relationships/hyperlink" Target="#'Lon p&#230;d., TAP mm'!AB5"/><Relationship Id="rId14" Type="http://schemas.openxmlformats.org/officeDocument/2006/relationships/hyperlink" Target="#'Lon p&#230;d., TAP mm'!CA1"/><Relationship Id="rId22" Type="http://schemas.openxmlformats.org/officeDocument/2006/relationships/hyperlink" Target="#'Skolepenge, pasningsordning.'!A1"/><Relationship Id="rId27" Type="http://schemas.openxmlformats.org/officeDocument/2006/relationships/hyperlink" Target="#Ejendom!A1"/><Relationship Id="rId30" Type="http://schemas.openxmlformats.org/officeDocument/2006/relationships/hyperlink" Target="#Ejendom!A58"/><Relationship Id="rId35" Type="http://schemas.openxmlformats.org/officeDocument/2006/relationships/hyperlink" Target="#'Prio-renter'!A1"/><Relationship Id="rId43" Type="http://schemas.openxmlformats.org/officeDocument/2006/relationships/hyperlink" Target="#'Lon p&#230;d., TAP mm'!AJ60"/><Relationship Id="rId48" Type="http://schemas.openxmlformats.org/officeDocument/2006/relationships/hyperlink" Target="#'Skolepenge, pasningsordning.'!H86"/><Relationship Id="rId8" Type="http://schemas.openxmlformats.org/officeDocument/2006/relationships/hyperlink" Target="#'lon undervisning'!A60"/><Relationship Id="rId51" Type="http://schemas.openxmlformats.org/officeDocument/2006/relationships/hyperlink" Target="#Daginstitution!A69"/><Relationship Id="rId3" Type="http://schemas.openxmlformats.org/officeDocument/2006/relationships/hyperlink" Target="#Hovedskema!A1"/><Relationship Id="rId12" Type="http://schemas.openxmlformats.org/officeDocument/2006/relationships/hyperlink" Target="#'Lon p&#230;d., TAP mm'!BN60"/><Relationship Id="rId17" Type="http://schemas.openxmlformats.org/officeDocument/2006/relationships/hyperlink" Target="#Administration!A1"/><Relationship Id="rId25" Type="http://schemas.openxmlformats.org/officeDocument/2006/relationships/hyperlink" Target="#Undervisningsudg.!A1"/><Relationship Id="rId33" Type="http://schemas.openxmlformats.org/officeDocument/2006/relationships/hyperlink" Target="#Administration!E103"/><Relationship Id="rId38" Type="http://schemas.openxmlformats.org/officeDocument/2006/relationships/hyperlink" Target="#'Lon p&#230;d., TAP mm'!C60"/><Relationship Id="rId46" Type="http://schemas.openxmlformats.org/officeDocument/2006/relationships/hyperlink" Target="#Daginstitution!A35"/><Relationship Id="rId20" Type="http://schemas.openxmlformats.org/officeDocument/2006/relationships/hyperlink" Target="#Administration!F136"/><Relationship Id="rId41" Type="http://schemas.openxmlformats.org/officeDocument/2006/relationships/hyperlink" Target="#'Undervisning-SFO udgifter'!A108"/><Relationship Id="rId54" Type="http://schemas.openxmlformats.org/officeDocument/2006/relationships/hyperlink" Target="#Administration!A108"/><Relationship Id="rId1" Type="http://schemas.openxmlformats.org/officeDocument/2006/relationships/hyperlink" Target="#Elevprognose"/><Relationship Id="rId6" Type="http://schemas.openxmlformats.org/officeDocument/2006/relationships/image" Target="../media/image4.jpeg"/><Relationship Id="rId15" Type="http://schemas.openxmlformats.org/officeDocument/2006/relationships/hyperlink" Target="#Skolemadsordning!A1"/><Relationship Id="rId23" Type="http://schemas.openxmlformats.org/officeDocument/2006/relationships/hyperlink" Target="#'lon undervisning'!A1"/><Relationship Id="rId28" Type="http://schemas.openxmlformats.org/officeDocument/2006/relationships/hyperlink" Target="#Ejendom!A20"/><Relationship Id="rId36" Type="http://schemas.openxmlformats.org/officeDocument/2006/relationships/hyperlink" Target="#Administration!F143"/><Relationship Id="rId49" Type="http://schemas.openxmlformats.org/officeDocument/2006/relationships/hyperlink" Target="#'Skolepenge, pasningsordning.'!A105"/></Relationships>
</file>

<file path=xl/drawings/_rels/drawing3.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hyperlink" Target="#elev0o"/><Relationship Id="rId7" Type="http://schemas.openxmlformats.org/officeDocument/2006/relationships/hyperlink" Target="Noter.xlsx" TargetMode="External"/><Relationship Id="rId2" Type="http://schemas.openxmlformats.org/officeDocument/2006/relationships/image" Target="../media/image5.jpeg"/><Relationship Id="rId1" Type="http://schemas.openxmlformats.org/officeDocument/2006/relationships/hyperlink" Target="#'Resultat '!A1"/><Relationship Id="rId6" Type="http://schemas.openxmlformats.org/officeDocument/2006/relationships/image" Target="../media/image7.jpeg"/><Relationship Id="rId5" Type="http://schemas.openxmlformats.org/officeDocument/2006/relationships/hyperlink" Target="#Hovedskema!A1"/><Relationship Id="rId4"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3" Type="http://schemas.openxmlformats.org/officeDocument/2006/relationships/hyperlink" Target="#elev0o"/><Relationship Id="rId7" Type="http://schemas.openxmlformats.org/officeDocument/2006/relationships/hyperlink" Target="#elevprognose"/><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jpeg"/><Relationship Id="rId5" Type="http://schemas.openxmlformats.org/officeDocument/2006/relationships/hyperlink" Target="#Hovedskema!A1"/><Relationship Id="rId4"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1850546</xdr:colOff>
      <xdr:row>0</xdr:row>
      <xdr:rowOff>9525</xdr:rowOff>
    </xdr:from>
    <xdr:to>
      <xdr:col>4</xdr:col>
      <xdr:colOff>641829</xdr:colOff>
      <xdr:row>0</xdr:row>
      <xdr:rowOff>300634</xdr:rowOff>
    </xdr:to>
    <xdr:pic>
      <xdr:nvPicPr>
        <xdr:cNvPr id="5" name="Billed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rcRect/>
        <a:stretch/>
      </xdr:blipFill>
      <xdr:spPr>
        <a:xfrm>
          <a:off x="3410832" y="9525"/>
          <a:ext cx="1802997" cy="291109"/>
        </a:xfrm>
        <a:prstGeom prst="rect">
          <a:avLst/>
        </a:prstGeom>
      </xdr:spPr>
    </xdr:pic>
    <xdr:clientData/>
  </xdr:twoCellAnchor>
  <xdr:twoCellAnchor editAs="oneCell">
    <xdr:from>
      <xdr:col>1</xdr:col>
      <xdr:colOff>416994</xdr:colOff>
      <xdr:row>0</xdr:row>
      <xdr:rowOff>28575</xdr:rowOff>
    </xdr:from>
    <xdr:to>
      <xdr:col>2</xdr:col>
      <xdr:colOff>1449905</xdr:colOff>
      <xdr:row>0</xdr:row>
      <xdr:rowOff>301629</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rcRect/>
        <a:stretch/>
      </xdr:blipFill>
      <xdr:spPr>
        <a:xfrm>
          <a:off x="1460208" y="28575"/>
          <a:ext cx="1549983" cy="273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1243588</xdr:colOff>
      <xdr:row>0</xdr:row>
      <xdr:rowOff>38100</xdr:rowOff>
    </xdr:from>
    <xdr:to>
      <xdr:col>2</xdr:col>
      <xdr:colOff>3060607</xdr:colOff>
      <xdr:row>1</xdr:row>
      <xdr:rowOff>503</xdr:rowOff>
    </xdr:to>
    <xdr:pic>
      <xdr:nvPicPr>
        <xdr:cNvPr id="6" name="Billede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rcRect/>
        <a:stretch/>
      </xdr:blipFill>
      <xdr:spPr>
        <a:xfrm>
          <a:off x="2290376" y="38100"/>
          <a:ext cx="1817019" cy="293373"/>
        </a:xfrm>
        <a:prstGeom prst="rect">
          <a:avLst/>
        </a:prstGeom>
      </xdr:spPr>
    </xdr:pic>
    <xdr:clientData/>
  </xdr:twoCellAnchor>
  <xdr:twoCellAnchor editAs="oneCell">
    <xdr:from>
      <xdr:col>1</xdr:col>
      <xdr:colOff>87935</xdr:colOff>
      <xdr:row>0</xdr:row>
      <xdr:rowOff>43969</xdr:rowOff>
    </xdr:from>
    <xdr:to>
      <xdr:col>2</xdr:col>
      <xdr:colOff>783554</xdr:colOff>
      <xdr:row>0</xdr:row>
      <xdr:rowOff>317023</xdr:rowOff>
    </xdr:to>
    <xdr:pic>
      <xdr:nvPicPr>
        <xdr:cNvPr id="7" name="Billede 6">
          <a:hlinkClick xmlns:r="http://schemas.openxmlformats.org/officeDocument/2006/relationships" r:id="rId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rcRect/>
        <a:stretch/>
      </xdr:blipFill>
      <xdr:spPr>
        <a:xfrm>
          <a:off x="280359" y="43969"/>
          <a:ext cx="1549983" cy="273054"/>
        </a:xfrm>
        <a:prstGeom prst="rect">
          <a:avLst/>
        </a:prstGeom>
      </xdr:spPr>
    </xdr:pic>
    <xdr:clientData/>
  </xdr:twoCellAnchor>
  <xdr:twoCellAnchor editAs="oneCell">
    <xdr:from>
      <xdr:col>0</xdr:col>
      <xdr:colOff>0</xdr:colOff>
      <xdr:row>11</xdr:row>
      <xdr:rowOff>6350</xdr:rowOff>
    </xdr:from>
    <xdr:to>
      <xdr:col>1</xdr:col>
      <xdr:colOff>428625</xdr:colOff>
      <xdr:row>11</xdr:row>
      <xdr:rowOff>194309</xdr:rowOff>
    </xdr:to>
    <xdr:pic>
      <xdr:nvPicPr>
        <xdr:cNvPr id="2" name="Billede 1">
          <a:hlinkClick xmlns:r="http://schemas.openxmlformats.org/officeDocument/2006/relationships" r:id="rId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343150"/>
          <a:ext cx="619125" cy="187959"/>
        </a:xfrm>
        <a:prstGeom prst="rect">
          <a:avLst/>
        </a:prstGeom>
      </xdr:spPr>
    </xdr:pic>
    <xdr:clientData/>
  </xdr:twoCellAnchor>
  <xdr:twoCellAnchor editAs="oneCell">
    <xdr:from>
      <xdr:col>0</xdr:col>
      <xdr:colOff>0</xdr:colOff>
      <xdr:row>15</xdr:row>
      <xdr:rowOff>0</xdr:rowOff>
    </xdr:from>
    <xdr:to>
      <xdr:col>1</xdr:col>
      <xdr:colOff>428625</xdr:colOff>
      <xdr:row>16</xdr:row>
      <xdr:rowOff>21203</xdr:rowOff>
    </xdr:to>
    <xdr:pic>
      <xdr:nvPicPr>
        <xdr:cNvPr id="9" name="Billede 8">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514600"/>
          <a:ext cx="600075" cy="184784"/>
        </a:xfrm>
        <a:prstGeom prst="rect">
          <a:avLst/>
        </a:prstGeom>
      </xdr:spPr>
    </xdr:pic>
    <xdr:clientData/>
  </xdr:twoCellAnchor>
  <xdr:twoCellAnchor editAs="oneCell">
    <xdr:from>
      <xdr:col>0</xdr:col>
      <xdr:colOff>0</xdr:colOff>
      <xdr:row>31</xdr:row>
      <xdr:rowOff>0</xdr:rowOff>
    </xdr:from>
    <xdr:to>
      <xdr:col>1</xdr:col>
      <xdr:colOff>428625</xdr:colOff>
      <xdr:row>31</xdr:row>
      <xdr:rowOff>187959</xdr:rowOff>
    </xdr:to>
    <xdr:pic>
      <xdr:nvPicPr>
        <xdr:cNvPr id="10" name="Billede 9">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343275"/>
          <a:ext cx="600075" cy="184784"/>
        </a:xfrm>
        <a:prstGeom prst="rect">
          <a:avLst/>
        </a:prstGeom>
      </xdr:spPr>
    </xdr:pic>
    <xdr:clientData/>
  </xdr:twoCellAnchor>
  <xdr:twoCellAnchor editAs="oneCell">
    <xdr:from>
      <xdr:col>0</xdr:col>
      <xdr:colOff>0</xdr:colOff>
      <xdr:row>36</xdr:row>
      <xdr:rowOff>0</xdr:rowOff>
    </xdr:from>
    <xdr:to>
      <xdr:col>1</xdr:col>
      <xdr:colOff>428625</xdr:colOff>
      <xdr:row>36</xdr:row>
      <xdr:rowOff>191134</xdr:rowOff>
    </xdr:to>
    <xdr:pic>
      <xdr:nvPicPr>
        <xdr:cNvPr id="11" name="Billede 10">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086225"/>
          <a:ext cx="600075" cy="184784"/>
        </a:xfrm>
        <a:prstGeom prst="rect">
          <a:avLst/>
        </a:prstGeom>
      </xdr:spPr>
    </xdr:pic>
    <xdr:clientData/>
  </xdr:twoCellAnchor>
  <xdr:twoCellAnchor editAs="oneCell">
    <xdr:from>
      <xdr:col>0</xdr:col>
      <xdr:colOff>0</xdr:colOff>
      <xdr:row>38</xdr:row>
      <xdr:rowOff>0</xdr:rowOff>
    </xdr:from>
    <xdr:to>
      <xdr:col>1</xdr:col>
      <xdr:colOff>428625</xdr:colOff>
      <xdr:row>38</xdr:row>
      <xdr:rowOff>197484</xdr:rowOff>
    </xdr:to>
    <xdr:pic>
      <xdr:nvPicPr>
        <xdr:cNvPr id="12" name="Billede 11">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00575"/>
          <a:ext cx="600075" cy="184784"/>
        </a:xfrm>
        <a:prstGeom prst="rect">
          <a:avLst/>
        </a:prstGeom>
      </xdr:spPr>
    </xdr:pic>
    <xdr:clientData/>
  </xdr:twoCellAnchor>
  <xdr:twoCellAnchor editAs="oneCell">
    <xdr:from>
      <xdr:col>0</xdr:col>
      <xdr:colOff>0</xdr:colOff>
      <xdr:row>38</xdr:row>
      <xdr:rowOff>6350</xdr:rowOff>
    </xdr:from>
    <xdr:to>
      <xdr:col>1</xdr:col>
      <xdr:colOff>430767</xdr:colOff>
      <xdr:row>38</xdr:row>
      <xdr:rowOff>165652</xdr:rowOff>
    </xdr:to>
    <xdr:pic>
      <xdr:nvPicPr>
        <xdr:cNvPr id="13" name="Billede 12">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053220"/>
          <a:ext cx="618506" cy="159302"/>
        </a:xfrm>
        <a:prstGeom prst="rect">
          <a:avLst/>
        </a:prstGeom>
      </xdr:spPr>
    </xdr:pic>
    <xdr:clientData/>
  </xdr:twoCellAnchor>
  <xdr:twoCellAnchor editAs="oneCell">
    <xdr:from>
      <xdr:col>0</xdr:col>
      <xdr:colOff>0</xdr:colOff>
      <xdr:row>45</xdr:row>
      <xdr:rowOff>0</xdr:rowOff>
    </xdr:from>
    <xdr:to>
      <xdr:col>1</xdr:col>
      <xdr:colOff>428625</xdr:colOff>
      <xdr:row>45</xdr:row>
      <xdr:rowOff>187959</xdr:rowOff>
    </xdr:to>
    <xdr:pic>
      <xdr:nvPicPr>
        <xdr:cNvPr id="14" name="Billede 13">
          <a:hlinkClick xmlns:r="http://schemas.openxmlformats.org/officeDocument/2006/relationships" r:id="rId12"/>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419725"/>
          <a:ext cx="600075" cy="184784"/>
        </a:xfrm>
        <a:prstGeom prst="rect">
          <a:avLst/>
        </a:prstGeom>
      </xdr:spPr>
    </xdr:pic>
    <xdr:clientData/>
  </xdr:twoCellAnchor>
  <xdr:twoCellAnchor editAs="oneCell">
    <xdr:from>
      <xdr:col>0</xdr:col>
      <xdr:colOff>0</xdr:colOff>
      <xdr:row>47</xdr:row>
      <xdr:rowOff>196850</xdr:rowOff>
    </xdr:from>
    <xdr:to>
      <xdr:col>1</xdr:col>
      <xdr:colOff>428625</xdr:colOff>
      <xdr:row>48</xdr:row>
      <xdr:rowOff>181609</xdr:rowOff>
    </xdr:to>
    <xdr:pic>
      <xdr:nvPicPr>
        <xdr:cNvPr id="15" name="Billede 14">
          <a:hlinkClick xmlns:r="http://schemas.openxmlformats.org/officeDocument/2006/relationships" r:id="rId13"/>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305550"/>
          <a:ext cx="619125" cy="187959"/>
        </a:xfrm>
        <a:prstGeom prst="rect">
          <a:avLst/>
        </a:prstGeom>
      </xdr:spPr>
    </xdr:pic>
    <xdr:clientData/>
  </xdr:twoCellAnchor>
  <xdr:twoCellAnchor editAs="oneCell">
    <xdr:from>
      <xdr:col>0</xdr:col>
      <xdr:colOff>0</xdr:colOff>
      <xdr:row>53</xdr:row>
      <xdr:rowOff>190500</xdr:rowOff>
    </xdr:from>
    <xdr:to>
      <xdr:col>1</xdr:col>
      <xdr:colOff>428625</xdr:colOff>
      <xdr:row>54</xdr:row>
      <xdr:rowOff>175259</xdr:rowOff>
    </xdr:to>
    <xdr:pic>
      <xdr:nvPicPr>
        <xdr:cNvPr id="16" name="Billede 15">
          <a:hlinkClick xmlns:r="http://schemas.openxmlformats.org/officeDocument/2006/relationships" r:id="rId14"/>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518400"/>
          <a:ext cx="619125" cy="187959"/>
        </a:xfrm>
        <a:prstGeom prst="rect">
          <a:avLst/>
        </a:prstGeom>
      </xdr:spPr>
    </xdr:pic>
    <xdr:clientData/>
  </xdr:twoCellAnchor>
  <xdr:twoCellAnchor editAs="oneCell">
    <xdr:from>
      <xdr:col>0</xdr:col>
      <xdr:colOff>0</xdr:colOff>
      <xdr:row>55</xdr:row>
      <xdr:rowOff>200025</xdr:rowOff>
    </xdr:from>
    <xdr:to>
      <xdr:col>1</xdr:col>
      <xdr:colOff>428625</xdr:colOff>
      <xdr:row>56</xdr:row>
      <xdr:rowOff>184784</xdr:rowOff>
    </xdr:to>
    <xdr:pic>
      <xdr:nvPicPr>
        <xdr:cNvPr id="17" name="Billede 16">
          <a:hlinkClick xmlns:r="http://schemas.openxmlformats.org/officeDocument/2006/relationships" r:id="rId15"/>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731125"/>
          <a:ext cx="619125" cy="187959"/>
        </a:xfrm>
        <a:prstGeom prst="rect">
          <a:avLst/>
        </a:prstGeom>
      </xdr:spPr>
    </xdr:pic>
    <xdr:clientData/>
  </xdr:twoCellAnchor>
  <xdr:twoCellAnchor editAs="oneCell">
    <xdr:from>
      <xdr:col>0</xdr:col>
      <xdr:colOff>15875</xdr:colOff>
      <xdr:row>61</xdr:row>
      <xdr:rowOff>12700</xdr:rowOff>
    </xdr:from>
    <xdr:to>
      <xdr:col>1</xdr:col>
      <xdr:colOff>444500</xdr:colOff>
      <xdr:row>62</xdr:row>
      <xdr:rowOff>10159</xdr:rowOff>
    </xdr:to>
    <xdr:pic>
      <xdr:nvPicPr>
        <xdr:cNvPr id="18" name="Billede 17">
          <a:hlinkClick xmlns:r="http://schemas.openxmlformats.org/officeDocument/2006/relationships" r:id="rId16"/>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75" y="8559800"/>
          <a:ext cx="619125" cy="200659"/>
        </a:xfrm>
        <a:prstGeom prst="rect">
          <a:avLst/>
        </a:prstGeom>
      </xdr:spPr>
    </xdr:pic>
    <xdr:clientData/>
  </xdr:twoCellAnchor>
  <xdr:twoCellAnchor editAs="oneCell">
    <xdr:from>
      <xdr:col>0</xdr:col>
      <xdr:colOff>12700</xdr:colOff>
      <xdr:row>61</xdr:row>
      <xdr:rowOff>193675</xdr:rowOff>
    </xdr:from>
    <xdr:to>
      <xdr:col>1</xdr:col>
      <xdr:colOff>441325</xdr:colOff>
      <xdr:row>62</xdr:row>
      <xdr:rowOff>187959</xdr:rowOff>
    </xdr:to>
    <xdr:pic>
      <xdr:nvPicPr>
        <xdr:cNvPr id="19" name="Billede 18">
          <a:hlinkClick xmlns:r="http://schemas.openxmlformats.org/officeDocument/2006/relationships" r:id="rId17"/>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8740775"/>
          <a:ext cx="619125" cy="197484"/>
        </a:xfrm>
        <a:prstGeom prst="rect">
          <a:avLst/>
        </a:prstGeom>
      </xdr:spPr>
    </xdr:pic>
    <xdr:clientData/>
  </xdr:twoCellAnchor>
  <xdr:twoCellAnchor editAs="oneCell">
    <xdr:from>
      <xdr:col>0</xdr:col>
      <xdr:colOff>0</xdr:colOff>
      <xdr:row>70</xdr:row>
      <xdr:rowOff>0</xdr:rowOff>
    </xdr:from>
    <xdr:to>
      <xdr:col>1</xdr:col>
      <xdr:colOff>428625</xdr:colOff>
      <xdr:row>70</xdr:row>
      <xdr:rowOff>197484</xdr:rowOff>
    </xdr:to>
    <xdr:pic>
      <xdr:nvPicPr>
        <xdr:cNvPr id="20" name="Billede 19">
          <a:hlinkClick xmlns:r="http://schemas.openxmlformats.org/officeDocument/2006/relationships" r:id="rId18"/>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9715500"/>
          <a:ext cx="600075" cy="184784"/>
        </a:xfrm>
        <a:prstGeom prst="rect">
          <a:avLst/>
        </a:prstGeom>
      </xdr:spPr>
    </xdr:pic>
    <xdr:clientData/>
  </xdr:twoCellAnchor>
  <xdr:twoCellAnchor editAs="oneCell">
    <xdr:from>
      <xdr:col>0</xdr:col>
      <xdr:colOff>0</xdr:colOff>
      <xdr:row>74</xdr:row>
      <xdr:rowOff>0</xdr:rowOff>
    </xdr:from>
    <xdr:to>
      <xdr:col>1</xdr:col>
      <xdr:colOff>428625</xdr:colOff>
      <xdr:row>74</xdr:row>
      <xdr:rowOff>187959</xdr:rowOff>
    </xdr:to>
    <xdr:pic>
      <xdr:nvPicPr>
        <xdr:cNvPr id="21" name="Billede 20">
          <a:hlinkClick xmlns:r="http://schemas.openxmlformats.org/officeDocument/2006/relationships" r:id="rId19"/>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325100"/>
          <a:ext cx="600075" cy="184784"/>
        </a:xfrm>
        <a:prstGeom prst="rect">
          <a:avLst/>
        </a:prstGeom>
      </xdr:spPr>
    </xdr:pic>
    <xdr:clientData/>
  </xdr:twoCellAnchor>
  <xdr:twoCellAnchor editAs="oneCell">
    <xdr:from>
      <xdr:col>0</xdr:col>
      <xdr:colOff>0</xdr:colOff>
      <xdr:row>79</xdr:row>
      <xdr:rowOff>6350</xdr:rowOff>
    </xdr:from>
    <xdr:to>
      <xdr:col>1</xdr:col>
      <xdr:colOff>428625</xdr:colOff>
      <xdr:row>79</xdr:row>
      <xdr:rowOff>194309</xdr:rowOff>
    </xdr:to>
    <xdr:pic>
      <xdr:nvPicPr>
        <xdr:cNvPr id="22" name="Billede 21">
          <a:hlinkClick xmlns:r="http://schemas.openxmlformats.org/officeDocument/2006/relationships" r:id="rId20"/>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147550"/>
          <a:ext cx="619125" cy="187959"/>
        </a:xfrm>
        <a:prstGeom prst="rect">
          <a:avLst/>
        </a:prstGeom>
      </xdr:spPr>
    </xdr:pic>
    <xdr:clientData/>
  </xdr:twoCellAnchor>
  <xdr:twoCellAnchor editAs="oneCell">
    <xdr:from>
      <xdr:col>0</xdr:col>
      <xdr:colOff>0</xdr:colOff>
      <xdr:row>11</xdr:row>
      <xdr:rowOff>190500</xdr:rowOff>
    </xdr:from>
    <xdr:to>
      <xdr:col>1</xdr:col>
      <xdr:colOff>428625</xdr:colOff>
      <xdr:row>12</xdr:row>
      <xdr:rowOff>162558</xdr:rowOff>
    </xdr:to>
    <xdr:pic>
      <xdr:nvPicPr>
        <xdr:cNvPr id="23" name="Billede 22">
          <a:hlinkClick xmlns:r="http://schemas.openxmlformats.org/officeDocument/2006/relationships" r:id="rId21"/>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527300"/>
          <a:ext cx="619125" cy="187959"/>
        </a:xfrm>
        <a:prstGeom prst="rect">
          <a:avLst/>
        </a:prstGeom>
      </xdr:spPr>
    </xdr:pic>
    <xdr:clientData/>
  </xdr:twoCellAnchor>
  <xdr:twoCellAnchor editAs="oneCell">
    <xdr:from>
      <xdr:col>0</xdr:col>
      <xdr:colOff>0</xdr:colOff>
      <xdr:row>14</xdr:row>
      <xdr:rowOff>0</xdr:rowOff>
    </xdr:from>
    <xdr:to>
      <xdr:col>1</xdr:col>
      <xdr:colOff>428625</xdr:colOff>
      <xdr:row>15</xdr:row>
      <xdr:rowOff>22858</xdr:rowOff>
    </xdr:to>
    <xdr:pic>
      <xdr:nvPicPr>
        <xdr:cNvPr id="24" name="Billede 23">
          <a:hlinkClick xmlns:r="http://schemas.openxmlformats.org/officeDocument/2006/relationships" r:id="rId22"/>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717800"/>
          <a:ext cx="619125" cy="187959"/>
        </a:xfrm>
        <a:prstGeom prst="rect">
          <a:avLst/>
        </a:prstGeom>
      </xdr:spPr>
    </xdr:pic>
    <xdr:clientData/>
  </xdr:twoCellAnchor>
  <xdr:twoCellAnchor editAs="oneCell">
    <xdr:from>
      <xdr:col>0</xdr:col>
      <xdr:colOff>0</xdr:colOff>
      <xdr:row>17</xdr:row>
      <xdr:rowOff>0</xdr:rowOff>
    </xdr:from>
    <xdr:to>
      <xdr:col>1</xdr:col>
      <xdr:colOff>428625</xdr:colOff>
      <xdr:row>17</xdr:row>
      <xdr:rowOff>187959</xdr:rowOff>
    </xdr:to>
    <xdr:pic>
      <xdr:nvPicPr>
        <xdr:cNvPr id="25" name="Billede 24">
          <a:hlinkClick xmlns:r="http://schemas.openxmlformats.org/officeDocument/2006/relationships" r:id="rId10"/>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060700"/>
          <a:ext cx="619125" cy="187959"/>
        </a:xfrm>
        <a:prstGeom prst="rect">
          <a:avLst/>
        </a:prstGeom>
      </xdr:spPr>
    </xdr:pic>
    <xdr:clientData/>
  </xdr:twoCellAnchor>
  <xdr:twoCellAnchor editAs="oneCell">
    <xdr:from>
      <xdr:col>0</xdr:col>
      <xdr:colOff>0</xdr:colOff>
      <xdr:row>30</xdr:row>
      <xdr:rowOff>0</xdr:rowOff>
    </xdr:from>
    <xdr:to>
      <xdr:col>1</xdr:col>
      <xdr:colOff>428625</xdr:colOff>
      <xdr:row>30</xdr:row>
      <xdr:rowOff>187959</xdr:rowOff>
    </xdr:to>
    <xdr:pic>
      <xdr:nvPicPr>
        <xdr:cNvPr id="26" name="Billede 25">
          <a:hlinkClick xmlns:r="http://schemas.openxmlformats.org/officeDocument/2006/relationships" r:id="rId23"/>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581400"/>
          <a:ext cx="619125" cy="187959"/>
        </a:xfrm>
        <a:prstGeom prst="rect">
          <a:avLst/>
        </a:prstGeom>
      </xdr:spPr>
    </xdr:pic>
    <xdr:clientData/>
  </xdr:twoCellAnchor>
  <xdr:twoCellAnchor editAs="oneCell">
    <xdr:from>
      <xdr:col>0</xdr:col>
      <xdr:colOff>0</xdr:colOff>
      <xdr:row>32</xdr:row>
      <xdr:rowOff>0</xdr:rowOff>
    </xdr:from>
    <xdr:to>
      <xdr:col>1</xdr:col>
      <xdr:colOff>428625</xdr:colOff>
      <xdr:row>32</xdr:row>
      <xdr:rowOff>187959</xdr:rowOff>
    </xdr:to>
    <xdr:pic>
      <xdr:nvPicPr>
        <xdr:cNvPr id="27" name="Billede 26">
          <a:hlinkClick xmlns:r="http://schemas.openxmlformats.org/officeDocument/2006/relationships" r:id="rId24"/>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911600"/>
          <a:ext cx="619125" cy="187959"/>
        </a:xfrm>
        <a:prstGeom prst="rect">
          <a:avLst/>
        </a:prstGeom>
      </xdr:spPr>
    </xdr:pic>
    <xdr:clientData/>
  </xdr:twoCellAnchor>
  <xdr:twoCellAnchor editAs="oneCell">
    <xdr:from>
      <xdr:col>0</xdr:col>
      <xdr:colOff>0</xdr:colOff>
      <xdr:row>39</xdr:row>
      <xdr:rowOff>0</xdr:rowOff>
    </xdr:from>
    <xdr:to>
      <xdr:col>1</xdr:col>
      <xdr:colOff>428625</xdr:colOff>
      <xdr:row>39</xdr:row>
      <xdr:rowOff>187959</xdr:rowOff>
    </xdr:to>
    <xdr:pic>
      <xdr:nvPicPr>
        <xdr:cNvPr id="28" name="Billede 27">
          <a:hlinkClick xmlns:r="http://schemas.openxmlformats.org/officeDocument/2006/relationships" r:id="rId25"/>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737100"/>
          <a:ext cx="619125" cy="187959"/>
        </a:xfrm>
        <a:prstGeom prst="rect">
          <a:avLst/>
        </a:prstGeom>
      </xdr:spPr>
    </xdr:pic>
    <xdr:clientData/>
  </xdr:twoCellAnchor>
  <xdr:twoCellAnchor editAs="oneCell">
    <xdr:from>
      <xdr:col>0</xdr:col>
      <xdr:colOff>0</xdr:colOff>
      <xdr:row>44</xdr:row>
      <xdr:rowOff>0</xdr:rowOff>
    </xdr:from>
    <xdr:to>
      <xdr:col>1</xdr:col>
      <xdr:colOff>428625</xdr:colOff>
      <xdr:row>44</xdr:row>
      <xdr:rowOff>187959</xdr:rowOff>
    </xdr:to>
    <xdr:pic>
      <xdr:nvPicPr>
        <xdr:cNvPr id="29" name="Billede 28">
          <a:hlinkClick xmlns:r="http://schemas.openxmlformats.org/officeDocument/2006/relationships" r:id="rId26"/>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092700"/>
          <a:ext cx="619125" cy="187959"/>
        </a:xfrm>
        <a:prstGeom prst="rect">
          <a:avLst/>
        </a:prstGeom>
      </xdr:spPr>
    </xdr:pic>
    <xdr:clientData/>
  </xdr:twoCellAnchor>
  <xdr:twoCellAnchor editAs="oneCell">
    <xdr:from>
      <xdr:col>0</xdr:col>
      <xdr:colOff>0</xdr:colOff>
      <xdr:row>46</xdr:row>
      <xdr:rowOff>0</xdr:rowOff>
    </xdr:from>
    <xdr:to>
      <xdr:col>1</xdr:col>
      <xdr:colOff>428625</xdr:colOff>
      <xdr:row>46</xdr:row>
      <xdr:rowOff>187959</xdr:rowOff>
    </xdr:to>
    <xdr:pic>
      <xdr:nvPicPr>
        <xdr:cNvPr id="30" name="Billede 29">
          <a:hlinkClick xmlns:r="http://schemas.openxmlformats.org/officeDocument/2006/relationships" r:id="rId27"/>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422900"/>
          <a:ext cx="619125" cy="187959"/>
        </a:xfrm>
        <a:prstGeom prst="rect">
          <a:avLst/>
        </a:prstGeom>
      </xdr:spPr>
    </xdr:pic>
    <xdr:clientData/>
  </xdr:twoCellAnchor>
  <xdr:twoCellAnchor editAs="oneCell">
    <xdr:from>
      <xdr:col>0</xdr:col>
      <xdr:colOff>0</xdr:colOff>
      <xdr:row>47</xdr:row>
      <xdr:rowOff>0</xdr:rowOff>
    </xdr:from>
    <xdr:to>
      <xdr:col>1</xdr:col>
      <xdr:colOff>428625</xdr:colOff>
      <xdr:row>47</xdr:row>
      <xdr:rowOff>187959</xdr:rowOff>
    </xdr:to>
    <xdr:pic>
      <xdr:nvPicPr>
        <xdr:cNvPr id="31" name="Billede 30">
          <a:hlinkClick xmlns:r="http://schemas.openxmlformats.org/officeDocument/2006/relationships" r:id="rId28"/>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588000"/>
          <a:ext cx="619125" cy="187959"/>
        </a:xfrm>
        <a:prstGeom prst="rect">
          <a:avLst/>
        </a:prstGeom>
      </xdr:spPr>
    </xdr:pic>
    <xdr:clientData/>
  </xdr:twoCellAnchor>
  <xdr:twoCellAnchor editAs="oneCell">
    <xdr:from>
      <xdr:col>0</xdr:col>
      <xdr:colOff>0</xdr:colOff>
      <xdr:row>50</xdr:row>
      <xdr:rowOff>0</xdr:rowOff>
    </xdr:from>
    <xdr:to>
      <xdr:col>1</xdr:col>
      <xdr:colOff>428625</xdr:colOff>
      <xdr:row>50</xdr:row>
      <xdr:rowOff>187959</xdr:rowOff>
    </xdr:to>
    <xdr:pic>
      <xdr:nvPicPr>
        <xdr:cNvPr id="32" name="Billede 31">
          <a:hlinkClick xmlns:r="http://schemas.openxmlformats.org/officeDocument/2006/relationships" r:id="rId29"/>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083300"/>
          <a:ext cx="619125" cy="187959"/>
        </a:xfrm>
        <a:prstGeom prst="rect">
          <a:avLst/>
        </a:prstGeom>
      </xdr:spPr>
    </xdr:pic>
    <xdr:clientData/>
  </xdr:twoCellAnchor>
  <xdr:twoCellAnchor editAs="oneCell">
    <xdr:from>
      <xdr:col>0</xdr:col>
      <xdr:colOff>0</xdr:colOff>
      <xdr:row>49</xdr:row>
      <xdr:rowOff>0</xdr:rowOff>
    </xdr:from>
    <xdr:to>
      <xdr:col>1</xdr:col>
      <xdr:colOff>428625</xdr:colOff>
      <xdr:row>49</xdr:row>
      <xdr:rowOff>187959</xdr:rowOff>
    </xdr:to>
    <xdr:pic>
      <xdr:nvPicPr>
        <xdr:cNvPr id="33" name="Billede 32">
          <a:hlinkClick xmlns:r="http://schemas.openxmlformats.org/officeDocument/2006/relationships" r:id="rId30"/>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918200"/>
          <a:ext cx="619125" cy="187959"/>
        </a:xfrm>
        <a:prstGeom prst="rect">
          <a:avLst/>
        </a:prstGeom>
      </xdr:spPr>
    </xdr:pic>
    <xdr:clientData/>
  </xdr:twoCellAnchor>
  <xdr:twoCellAnchor editAs="oneCell">
    <xdr:from>
      <xdr:col>0</xdr:col>
      <xdr:colOff>0</xdr:colOff>
      <xdr:row>51</xdr:row>
      <xdr:rowOff>0</xdr:rowOff>
    </xdr:from>
    <xdr:to>
      <xdr:col>1</xdr:col>
      <xdr:colOff>428625</xdr:colOff>
      <xdr:row>51</xdr:row>
      <xdr:rowOff>187959</xdr:rowOff>
    </xdr:to>
    <xdr:pic>
      <xdr:nvPicPr>
        <xdr:cNvPr id="34" name="Billede 33">
          <a:hlinkClick xmlns:r="http://schemas.openxmlformats.org/officeDocument/2006/relationships" r:id="rId31"/>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248400"/>
          <a:ext cx="619125" cy="187959"/>
        </a:xfrm>
        <a:prstGeom prst="rect">
          <a:avLst/>
        </a:prstGeom>
      </xdr:spPr>
    </xdr:pic>
    <xdr:clientData/>
  </xdr:twoCellAnchor>
  <xdr:twoCellAnchor editAs="oneCell">
    <xdr:from>
      <xdr:col>0</xdr:col>
      <xdr:colOff>0</xdr:colOff>
      <xdr:row>52</xdr:row>
      <xdr:rowOff>177800</xdr:rowOff>
    </xdr:from>
    <xdr:to>
      <xdr:col>1</xdr:col>
      <xdr:colOff>428625</xdr:colOff>
      <xdr:row>53</xdr:row>
      <xdr:rowOff>162560</xdr:rowOff>
    </xdr:to>
    <xdr:pic>
      <xdr:nvPicPr>
        <xdr:cNvPr id="35" name="Billede 34">
          <a:hlinkClick xmlns:r="http://schemas.openxmlformats.org/officeDocument/2006/relationships" r:id="rId32"/>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302500"/>
          <a:ext cx="619125" cy="187959"/>
        </a:xfrm>
        <a:prstGeom prst="rect">
          <a:avLst/>
        </a:prstGeom>
      </xdr:spPr>
    </xdr:pic>
    <xdr:clientData/>
  </xdr:twoCellAnchor>
  <xdr:twoCellAnchor editAs="oneCell">
    <xdr:from>
      <xdr:col>0</xdr:col>
      <xdr:colOff>0</xdr:colOff>
      <xdr:row>57</xdr:row>
      <xdr:rowOff>0</xdr:rowOff>
    </xdr:from>
    <xdr:to>
      <xdr:col>1</xdr:col>
      <xdr:colOff>428625</xdr:colOff>
      <xdr:row>57</xdr:row>
      <xdr:rowOff>187959</xdr:rowOff>
    </xdr:to>
    <xdr:pic>
      <xdr:nvPicPr>
        <xdr:cNvPr id="36" name="Billede 35">
          <a:hlinkClick xmlns:r="http://schemas.openxmlformats.org/officeDocument/2006/relationships" r:id="rId1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099300"/>
          <a:ext cx="619125" cy="187959"/>
        </a:xfrm>
        <a:prstGeom prst="rect">
          <a:avLst/>
        </a:prstGeom>
      </xdr:spPr>
    </xdr:pic>
    <xdr:clientData/>
  </xdr:twoCellAnchor>
  <xdr:twoCellAnchor editAs="oneCell">
    <xdr:from>
      <xdr:col>0</xdr:col>
      <xdr:colOff>0</xdr:colOff>
      <xdr:row>60</xdr:row>
      <xdr:rowOff>0</xdr:rowOff>
    </xdr:from>
    <xdr:to>
      <xdr:col>1</xdr:col>
      <xdr:colOff>428625</xdr:colOff>
      <xdr:row>61</xdr:row>
      <xdr:rowOff>1</xdr:rowOff>
    </xdr:to>
    <xdr:pic>
      <xdr:nvPicPr>
        <xdr:cNvPr id="37" name="Billede 36">
          <a:hlinkClick xmlns:r="http://schemas.openxmlformats.org/officeDocument/2006/relationships" r:id="rId32"/>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43900"/>
          <a:ext cx="619125" cy="203200"/>
        </a:xfrm>
        <a:prstGeom prst="rect">
          <a:avLst/>
        </a:prstGeom>
      </xdr:spPr>
    </xdr:pic>
    <xdr:clientData/>
  </xdr:twoCellAnchor>
  <xdr:twoCellAnchor editAs="oneCell">
    <xdr:from>
      <xdr:col>0</xdr:col>
      <xdr:colOff>0</xdr:colOff>
      <xdr:row>69</xdr:row>
      <xdr:rowOff>0</xdr:rowOff>
    </xdr:from>
    <xdr:to>
      <xdr:col>1</xdr:col>
      <xdr:colOff>428625</xdr:colOff>
      <xdr:row>69</xdr:row>
      <xdr:rowOff>197484</xdr:rowOff>
    </xdr:to>
    <xdr:pic>
      <xdr:nvPicPr>
        <xdr:cNvPr id="39" name="Billede 38">
          <a:hlinkClick xmlns:r="http://schemas.openxmlformats.org/officeDocument/2006/relationships" r:id="rId33"/>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109200"/>
          <a:ext cx="619125" cy="197484"/>
        </a:xfrm>
        <a:prstGeom prst="rect">
          <a:avLst/>
        </a:prstGeom>
      </xdr:spPr>
    </xdr:pic>
    <xdr:clientData/>
  </xdr:twoCellAnchor>
  <xdr:twoCellAnchor editAs="oneCell">
    <xdr:from>
      <xdr:col>0</xdr:col>
      <xdr:colOff>0</xdr:colOff>
      <xdr:row>71</xdr:row>
      <xdr:rowOff>0</xdr:rowOff>
    </xdr:from>
    <xdr:to>
      <xdr:col>1</xdr:col>
      <xdr:colOff>428625</xdr:colOff>
      <xdr:row>71</xdr:row>
      <xdr:rowOff>197484</xdr:rowOff>
    </xdr:to>
    <xdr:pic>
      <xdr:nvPicPr>
        <xdr:cNvPr id="40" name="Billede 39">
          <a:hlinkClick xmlns:r="http://schemas.openxmlformats.org/officeDocument/2006/relationships" r:id="rId34"/>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515600"/>
          <a:ext cx="619125" cy="197484"/>
        </a:xfrm>
        <a:prstGeom prst="rect">
          <a:avLst/>
        </a:prstGeom>
      </xdr:spPr>
    </xdr:pic>
    <xdr:clientData/>
  </xdr:twoCellAnchor>
  <xdr:twoCellAnchor editAs="oneCell">
    <xdr:from>
      <xdr:col>0</xdr:col>
      <xdr:colOff>12700</xdr:colOff>
      <xdr:row>73</xdr:row>
      <xdr:rowOff>0</xdr:rowOff>
    </xdr:from>
    <xdr:to>
      <xdr:col>1</xdr:col>
      <xdr:colOff>441325</xdr:colOff>
      <xdr:row>73</xdr:row>
      <xdr:rowOff>187959</xdr:rowOff>
    </xdr:to>
    <xdr:pic>
      <xdr:nvPicPr>
        <xdr:cNvPr id="41" name="Billede 40">
          <a:hlinkClick xmlns:r="http://schemas.openxmlformats.org/officeDocument/2006/relationships" r:id="rId35"/>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10922000"/>
          <a:ext cx="619125" cy="187959"/>
        </a:xfrm>
        <a:prstGeom prst="rect">
          <a:avLst/>
        </a:prstGeom>
      </xdr:spPr>
    </xdr:pic>
    <xdr:clientData/>
  </xdr:twoCellAnchor>
  <xdr:twoCellAnchor editAs="oneCell">
    <xdr:from>
      <xdr:col>0</xdr:col>
      <xdr:colOff>0</xdr:colOff>
      <xdr:row>80</xdr:row>
      <xdr:rowOff>12700</xdr:rowOff>
    </xdr:from>
    <xdr:to>
      <xdr:col>1</xdr:col>
      <xdr:colOff>428625</xdr:colOff>
      <xdr:row>81</xdr:row>
      <xdr:rowOff>1878</xdr:rowOff>
    </xdr:to>
    <xdr:pic>
      <xdr:nvPicPr>
        <xdr:cNvPr id="42" name="Billede 41">
          <a:hlinkClick xmlns:r="http://schemas.openxmlformats.org/officeDocument/2006/relationships" r:id="rId36"/>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357100"/>
          <a:ext cx="619125" cy="187959"/>
        </a:xfrm>
        <a:prstGeom prst="rect">
          <a:avLst/>
        </a:prstGeom>
      </xdr:spPr>
    </xdr:pic>
    <xdr:clientData/>
  </xdr:twoCellAnchor>
  <xdr:twoCellAnchor editAs="oneCell">
    <xdr:from>
      <xdr:col>0</xdr:col>
      <xdr:colOff>0</xdr:colOff>
      <xdr:row>75</xdr:row>
      <xdr:rowOff>0</xdr:rowOff>
    </xdr:from>
    <xdr:to>
      <xdr:col>1</xdr:col>
      <xdr:colOff>428625</xdr:colOff>
      <xdr:row>75</xdr:row>
      <xdr:rowOff>187959</xdr:rowOff>
    </xdr:to>
    <xdr:pic>
      <xdr:nvPicPr>
        <xdr:cNvPr id="43" name="Billede 42">
          <a:hlinkClick xmlns:r="http://schemas.openxmlformats.org/officeDocument/2006/relationships" r:id="rId37"/>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28400"/>
          <a:ext cx="619125" cy="187959"/>
        </a:xfrm>
        <a:prstGeom prst="rect">
          <a:avLst/>
        </a:prstGeom>
      </xdr:spPr>
    </xdr:pic>
    <xdr:clientData/>
  </xdr:twoCellAnchor>
  <xdr:twoCellAnchor editAs="oneCell">
    <xdr:from>
      <xdr:col>0</xdr:col>
      <xdr:colOff>0</xdr:colOff>
      <xdr:row>33</xdr:row>
      <xdr:rowOff>0</xdr:rowOff>
    </xdr:from>
    <xdr:to>
      <xdr:col>1</xdr:col>
      <xdr:colOff>428625</xdr:colOff>
      <xdr:row>33</xdr:row>
      <xdr:rowOff>187959</xdr:rowOff>
    </xdr:to>
    <xdr:pic>
      <xdr:nvPicPr>
        <xdr:cNvPr id="44" name="Billede 43">
          <a:hlinkClick xmlns:r="http://schemas.openxmlformats.org/officeDocument/2006/relationships" r:id="rId38"/>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251739"/>
          <a:ext cx="616364" cy="187959"/>
        </a:xfrm>
        <a:prstGeom prst="rect">
          <a:avLst/>
        </a:prstGeom>
      </xdr:spPr>
    </xdr:pic>
    <xdr:clientData/>
  </xdr:twoCellAnchor>
  <xdr:twoCellAnchor editAs="oneCell">
    <xdr:from>
      <xdr:col>0</xdr:col>
      <xdr:colOff>0</xdr:colOff>
      <xdr:row>37</xdr:row>
      <xdr:rowOff>11044</xdr:rowOff>
    </xdr:from>
    <xdr:to>
      <xdr:col>1</xdr:col>
      <xdr:colOff>428625</xdr:colOff>
      <xdr:row>38</xdr:row>
      <xdr:rowOff>3396</xdr:rowOff>
    </xdr:to>
    <xdr:pic>
      <xdr:nvPicPr>
        <xdr:cNvPr id="45" name="Billede 44">
          <a:hlinkClick xmlns:r="http://schemas.openxmlformats.org/officeDocument/2006/relationships" r:id="rId39"/>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60348"/>
          <a:ext cx="616364" cy="191134"/>
        </a:xfrm>
        <a:prstGeom prst="rect">
          <a:avLst/>
        </a:prstGeom>
      </xdr:spPr>
    </xdr:pic>
    <xdr:clientData/>
  </xdr:twoCellAnchor>
  <xdr:twoCellAnchor editAs="oneCell">
    <xdr:from>
      <xdr:col>0</xdr:col>
      <xdr:colOff>0</xdr:colOff>
      <xdr:row>41</xdr:row>
      <xdr:rowOff>0</xdr:rowOff>
    </xdr:from>
    <xdr:to>
      <xdr:col>1</xdr:col>
      <xdr:colOff>428625</xdr:colOff>
      <xdr:row>41</xdr:row>
      <xdr:rowOff>197484</xdr:rowOff>
    </xdr:to>
    <xdr:pic>
      <xdr:nvPicPr>
        <xdr:cNvPr id="46" name="Billede 45">
          <a:hlinkClick xmlns:r="http://schemas.openxmlformats.org/officeDocument/2006/relationships" r:id="rId40"/>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848087"/>
          <a:ext cx="616364" cy="197484"/>
        </a:xfrm>
        <a:prstGeom prst="rect">
          <a:avLst/>
        </a:prstGeom>
      </xdr:spPr>
    </xdr:pic>
    <xdr:clientData/>
  </xdr:twoCellAnchor>
  <xdr:twoCellAnchor editAs="oneCell">
    <xdr:from>
      <xdr:col>0</xdr:col>
      <xdr:colOff>0</xdr:colOff>
      <xdr:row>39</xdr:row>
      <xdr:rowOff>11044</xdr:rowOff>
    </xdr:from>
    <xdr:to>
      <xdr:col>1</xdr:col>
      <xdr:colOff>428625</xdr:colOff>
      <xdr:row>40</xdr:row>
      <xdr:rowOff>3395</xdr:rowOff>
    </xdr:to>
    <xdr:pic>
      <xdr:nvPicPr>
        <xdr:cNvPr id="47" name="Billede 46">
          <a:hlinkClick xmlns:r="http://schemas.openxmlformats.org/officeDocument/2006/relationships" r:id="rId41"/>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60348"/>
          <a:ext cx="616364" cy="191134"/>
        </a:xfrm>
        <a:prstGeom prst="rect">
          <a:avLst/>
        </a:prstGeom>
      </xdr:spPr>
    </xdr:pic>
    <xdr:clientData/>
  </xdr:twoCellAnchor>
  <xdr:twoCellAnchor editAs="oneCell">
    <xdr:from>
      <xdr:col>0</xdr:col>
      <xdr:colOff>0</xdr:colOff>
      <xdr:row>34</xdr:row>
      <xdr:rowOff>0</xdr:rowOff>
    </xdr:from>
    <xdr:to>
      <xdr:col>1</xdr:col>
      <xdr:colOff>428625</xdr:colOff>
      <xdr:row>34</xdr:row>
      <xdr:rowOff>187959</xdr:rowOff>
    </xdr:to>
    <xdr:pic>
      <xdr:nvPicPr>
        <xdr:cNvPr id="48" name="Billede 47">
          <a:hlinkClick xmlns:r="http://schemas.openxmlformats.org/officeDocument/2006/relationships" r:id="rId42"/>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052957"/>
          <a:ext cx="616364" cy="187959"/>
        </a:xfrm>
        <a:prstGeom prst="rect">
          <a:avLst/>
        </a:prstGeom>
      </xdr:spPr>
    </xdr:pic>
    <xdr:clientData/>
  </xdr:twoCellAnchor>
  <xdr:twoCellAnchor editAs="oneCell">
    <xdr:from>
      <xdr:col>0</xdr:col>
      <xdr:colOff>0</xdr:colOff>
      <xdr:row>35</xdr:row>
      <xdr:rowOff>0</xdr:rowOff>
    </xdr:from>
    <xdr:to>
      <xdr:col>1</xdr:col>
      <xdr:colOff>428625</xdr:colOff>
      <xdr:row>35</xdr:row>
      <xdr:rowOff>187959</xdr:rowOff>
    </xdr:to>
    <xdr:pic>
      <xdr:nvPicPr>
        <xdr:cNvPr id="49" name="Billede 48">
          <a:hlinkClick xmlns:r="http://schemas.openxmlformats.org/officeDocument/2006/relationships" r:id="rId43"/>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251739"/>
          <a:ext cx="616364" cy="187959"/>
        </a:xfrm>
        <a:prstGeom prst="rect">
          <a:avLst/>
        </a:prstGeom>
      </xdr:spPr>
    </xdr:pic>
    <xdr:clientData/>
  </xdr:twoCellAnchor>
  <xdr:twoCellAnchor editAs="oneCell">
    <xdr:from>
      <xdr:col>0</xdr:col>
      <xdr:colOff>0</xdr:colOff>
      <xdr:row>27</xdr:row>
      <xdr:rowOff>0</xdr:rowOff>
    </xdr:from>
    <xdr:to>
      <xdr:col>1</xdr:col>
      <xdr:colOff>428625</xdr:colOff>
      <xdr:row>27</xdr:row>
      <xdr:rowOff>187959</xdr:rowOff>
    </xdr:to>
    <xdr:pic>
      <xdr:nvPicPr>
        <xdr:cNvPr id="50" name="Billede 49">
          <a:hlinkClick xmlns:r="http://schemas.openxmlformats.org/officeDocument/2006/relationships" r:id="rId44"/>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257826"/>
          <a:ext cx="616364" cy="187959"/>
        </a:xfrm>
        <a:prstGeom prst="rect">
          <a:avLst/>
        </a:prstGeom>
      </xdr:spPr>
    </xdr:pic>
    <xdr:clientData/>
  </xdr:twoCellAnchor>
  <xdr:twoCellAnchor editAs="oneCell">
    <xdr:from>
      <xdr:col>0</xdr:col>
      <xdr:colOff>0</xdr:colOff>
      <xdr:row>16</xdr:row>
      <xdr:rowOff>0</xdr:rowOff>
    </xdr:from>
    <xdr:to>
      <xdr:col>1</xdr:col>
      <xdr:colOff>428625</xdr:colOff>
      <xdr:row>17</xdr:row>
      <xdr:rowOff>21200</xdr:rowOff>
    </xdr:to>
    <xdr:pic>
      <xdr:nvPicPr>
        <xdr:cNvPr id="52" name="Billede 51">
          <a:hlinkClick xmlns:r="http://schemas.openxmlformats.org/officeDocument/2006/relationships" r:id="rId45"/>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434522"/>
          <a:ext cx="616364" cy="186854"/>
        </a:xfrm>
        <a:prstGeom prst="rect">
          <a:avLst/>
        </a:prstGeom>
      </xdr:spPr>
    </xdr:pic>
    <xdr:clientData/>
  </xdr:twoCellAnchor>
  <xdr:twoCellAnchor editAs="oneCell">
    <xdr:from>
      <xdr:col>0</xdr:col>
      <xdr:colOff>0</xdr:colOff>
      <xdr:row>18</xdr:row>
      <xdr:rowOff>11044</xdr:rowOff>
    </xdr:from>
    <xdr:to>
      <xdr:col>1</xdr:col>
      <xdr:colOff>428625</xdr:colOff>
      <xdr:row>19</xdr:row>
      <xdr:rowOff>220</xdr:rowOff>
    </xdr:to>
    <xdr:pic>
      <xdr:nvPicPr>
        <xdr:cNvPr id="51" name="Billede 50">
          <a:hlinkClick xmlns:r="http://schemas.openxmlformats.org/officeDocument/2006/relationships" r:id="rId46"/>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964609"/>
          <a:ext cx="616364" cy="187959"/>
        </a:xfrm>
        <a:prstGeom prst="rect">
          <a:avLst/>
        </a:prstGeom>
      </xdr:spPr>
    </xdr:pic>
    <xdr:clientData/>
  </xdr:twoCellAnchor>
  <xdr:twoCellAnchor editAs="oneCell">
    <xdr:from>
      <xdr:col>0</xdr:col>
      <xdr:colOff>0</xdr:colOff>
      <xdr:row>19</xdr:row>
      <xdr:rowOff>19878</xdr:rowOff>
    </xdr:from>
    <xdr:to>
      <xdr:col>1</xdr:col>
      <xdr:colOff>428625</xdr:colOff>
      <xdr:row>20</xdr:row>
      <xdr:rowOff>9056</xdr:rowOff>
    </xdr:to>
    <xdr:pic>
      <xdr:nvPicPr>
        <xdr:cNvPr id="53" name="Billede 52">
          <a:hlinkClick xmlns:r="http://schemas.openxmlformats.org/officeDocument/2006/relationships" r:id="rId47"/>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172226"/>
          <a:ext cx="616364" cy="187959"/>
        </a:xfrm>
        <a:prstGeom prst="rect">
          <a:avLst/>
        </a:prstGeom>
      </xdr:spPr>
    </xdr:pic>
    <xdr:clientData/>
  </xdr:twoCellAnchor>
  <xdr:twoCellAnchor editAs="oneCell">
    <xdr:from>
      <xdr:col>0</xdr:col>
      <xdr:colOff>0</xdr:colOff>
      <xdr:row>20</xdr:row>
      <xdr:rowOff>0</xdr:rowOff>
    </xdr:from>
    <xdr:to>
      <xdr:col>1</xdr:col>
      <xdr:colOff>428625</xdr:colOff>
      <xdr:row>20</xdr:row>
      <xdr:rowOff>187959</xdr:rowOff>
    </xdr:to>
    <xdr:pic>
      <xdr:nvPicPr>
        <xdr:cNvPr id="54" name="Billede 53">
          <a:hlinkClick xmlns:r="http://schemas.openxmlformats.org/officeDocument/2006/relationships" r:id="rId48"/>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351130"/>
          <a:ext cx="616364" cy="187959"/>
        </a:xfrm>
        <a:prstGeom prst="rect">
          <a:avLst/>
        </a:prstGeom>
      </xdr:spPr>
    </xdr:pic>
    <xdr:clientData/>
  </xdr:twoCellAnchor>
  <xdr:twoCellAnchor editAs="oneCell">
    <xdr:from>
      <xdr:col>0</xdr:col>
      <xdr:colOff>0</xdr:colOff>
      <xdr:row>23</xdr:row>
      <xdr:rowOff>33130</xdr:rowOff>
    </xdr:from>
    <xdr:to>
      <xdr:col>1</xdr:col>
      <xdr:colOff>428625</xdr:colOff>
      <xdr:row>24</xdr:row>
      <xdr:rowOff>22306</xdr:rowOff>
    </xdr:to>
    <xdr:pic>
      <xdr:nvPicPr>
        <xdr:cNvPr id="55" name="Billede 54">
          <a:hlinkClick xmlns:r="http://schemas.openxmlformats.org/officeDocument/2006/relationships" r:id="rId49"/>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980608"/>
          <a:ext cx="616364" cy="187959"/>
        </a:xfrm>
        <a:prstGeom prst="rect">
          <a:avLst/>
        </a:prstGeom>
      </xdr:spPr>
    </xdr:pic>
    <xdr:clientData/>
  </xdr:twoCellAnchor>
  <xdr:twoCellAnchor editAs="oneCell">
    <xdr:from>
      <xdr:col>0</xdr:col>
      <xdr:colOff>0</xdr:colOff>
      <xdr:row>24</xdr:row>
      <xdr:rowOff>22087</xdr:rowOff>
    </xdr:from>
    <xdr:to>
      <xdr:col>1</xdr:col>
      <xdr:colOff>428625</xdr:colOff>
      <xdr:row>25</xdr:row>
      <xdr:rowOff>11265</xdr:rowOff>
    </xdr:to>
    <xdr:pic>
      <xdr:nvPicPr>
        <xdr:cNvPr id="56" name="Billede 55">
          <a:hlinkClick xmlns:r="http://schemas.openxmlformats.org/officeDocument/2006/relationships" r:id="rId10"/>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168348"/>
          <a:ext cx="616364" cy="187959"/>
        </a:xfrm>
        <a:prstGeom prst="rect">
          <a:avLst/>
        </a:prstGeom>
      </xdr:spPr>
    </xdr:pic>
    <xdr:clientData/>
  </xdr:twoCellAnchor>
  <xdr:twoCellAnchor editAs="oneCell">
    <xdr:from>
      <xdr:col>0</xdr:col>
      <xdr:colOff>0</xdr:colOff>
      <xdr:row>25</xdr:row>
      <xdr:rowOff>11044</xdr:rowOff>
    </xdr:from>
    <xdr:to>
      <xdr:col>1</xdr:col>
      <xdr:colOff>428625</xdr:colOff>
      <xdr:row>26</xdr:row>
      <xdr:rowOff>220</xdr:rowOff>
    </xdr:to>
    <xdr:pic>
      <xdr:nvPicPr>
        <xdr:cNvPr id="57" name="Billede 56">
          <a:hlinkClick xmlns:r="http://schemas.openxmlformats.org/officeDocument/2006/relationships" r:id="rId4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356087"/>
          <a:ext cx="616364" cy="187959"/>
        </a:xfrm>
        <a:prstGeom prst="rect">
          <a:avLst/>
        </a:prstGeom>
      </xdr:spPr>
    </xdr:pic>
    <xdr:clientData/>
  </xdr:twoCellAnchor>
  <xdr:twoCellAnchor editAs="oneCell">
    <xdr:from>
      <xdr:col>0</xdr:col>
      <xdr:colOff>0</xdr:colOff>
      <xdr:row>26</xdr:row>
      <xdr:rowOff>0</xdr:rowOff>
    </xdr:from>
    <xdr:to>
      <xdr:col>1</xdr:col>
      <xdr:colOff>428625</xdr:colOff>
      <xdr:row>27</xdr:row>
      <xdr:rowOff>96</xdr:rowOff>
    </xdr:to>
    <xdr:pic>
      <xdr:nvPicPr>
        <xdr:cNvPr id="58" name="Billede 57">
          <a:hlinkClick xmlns:r="http://schemas.openxmlformats.org/officeDocument/2006/relationships" r:id="rId4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543826"/>
          <a:ext cx="616364" cy="198783"/>
        </a:xfrm>
        <a:prstGeom prst="rect">
          <a:avLst/>
        </a:prstGeom>
      </xdr:spPr>
    </xdr:pic>
    <xdr:clientData/>
  </xdr:twoCellAnchor>
  <xdr:twoCellAnchor editAs="oneCell">
    <xdr:from>
      <xdr:col>0</xdr:col>
      <xdr:colOff>0</xdr:colOff>
      <xdr:row>22</xdr:row>
      <xdr:rowOff>33130</xdr:rowOff>
    </xdr:from>
    <xdr:to>
      <xdr:col>1</xdr:col>
      <xdr:colOff>428625</xdr:colOff>
      <xdr:row>23</xdr:row>
      <xdr:rowOff>22307</xdr:rowOff>
    </xdr:to>
    <xdr:pic>
      <xdr:nvPicPr>
        <xdr:cNvPr id="59" name="Billede 58">
          <a:hlinkClick xmlns:r="http://schemas.openxmlformats.org/officeDocument/2006/relationships" r:id="rId50"/>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781826"/>
          <a:ext cx="616364" cy="187959"/>
        </a:xfrm>
        <a:prstGeom prst="rect">
          <a:avLst/>
        </a:prstGeom>
      </xdr:spPr>
    </xdr:pic>
    <xdr:clientData/>
  </xdr:twoCellAnchor>
  <xdr:twoCellAnchor editAs="oneCell">
    <xdr:from>
      <xdr:col>0</xdr:col>
      <xdr:colOff>0</xdr:colOff>
      <xdr:row>40</xdr:row>
      <xdr:rowOff>11044</xdr:rowOff>
    </xdr:from>
    <xdr:to>
      <xdr:col>1</xdr:col>
      <xdr:colOff>428625</xdr:colOff>
      <xdr:row>41</xdr:row>
      <xdr:rowOff>3395</xdr:rowOff>
    </xdr:to>
    <xdr:pic>
      <xdr:nvPicPr>
        <xdr:cNvPr id="60" name="Billede 59">
          <a:hlinkClick xmlns:r="http://schemas.openxmlformats.org/officeDocument/2006/relationships" r:id="rId5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161131"/>
          <a:ext cx="616364" cy="191134"/>
        </a:xfrm>
        <a:prstGeom prst="rect">
          <a:avLst/>
        </a:prstGeom>
      </xdr:spPr>
    </xdr:pic>
    <xdr:clientData/>
  </xdr:twoCellAnchor>
  <xdr:twoCellAnchor editAs="oneCell">
    <xdr:from>
      <xdr:col>0</xdr:col>
      <xdr:colOff>0</xdr:colOff>
      <xdr:row>59</xdr:row>
      <xdr:rowOff>190500</xdr:rowOff>
    </xdr:from>
    <xdr:to>
      <xdr:col>1</xdr:col>
      <xdr:colOff>428625</xdr:colOff>
      <xdr:row>60</xdr:row>
      <xdr:rowOff>175258</xdr:rowOff>
    </xdr:to>
    <xdr:pic>
      <xdr:nvPicPr>
        <xdr:cNvPr id="61" name="Billede 60">
          <a:hlinkClick xmlns:r="http://schemas.openxmlformats.org/officeDocument/2006/relationships" r:id="rId52"/>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123543"/>
          <a:ext cx="616364" cy="183542"/>
        </a:xfrm>
        <a:prstGeom prst="rect">
          <a:avLst/>
        </a:prstGeom>
      </xdr:spPr>
    </xdr:pic>
    <xdr:clientData/>
  </xdr:twoCellAnchor>
  <xdr:twoCellAnchor editAs="oneCell">
    <xdr:from>
      <xdr:col>0</xdr:col>
      <xdr:colOff>0</xdr:colOff>
      <xdr:row>58</xdr:row>
      <xdr:rowOff>177800</xdr:rowOff>
    </xdr:from>
    <xdr:to>
      <xdr:col>1</xdr:col>
      <xdr:colOff>428625</xdr:colOff>
      <xdr:row>59</xdr:row>
      <xdr:rowOff>162559</xdr:rowOff>
    </xdr:to>
    <xdr:pic>
      <xdr:nvPicPr>
        <xdr:cNvPr id="62" name="Billede 61">
          <a:hlinkClick xmlns:r="http://schemas.openxmlformats.org/officeDocument/2006/relationships" r:id="rId32"/>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912061"/>
          <a:ext cx="616364" cy="183541"/>
        </a:xfrm>
        <a:prstGeom prst="rect">
          <a:avLst/>
        </a:prstGeom>
      </xdr:spPr>
    </xdr:pic>
    <xdr:clientData/>
  </xdr:twoCellAnchor>
  <xdr:twoCellAnchor editAs="oneCell">
    <xdr:from>
      <xdr:col>0</xdr:col>
      <xdr:colOff>0</xdr:colOff>
      <xdr:row>55</xdr:row>
      <xdr:rowOff>2760</xdr:rowOff>
    </xdr:from>
    <xdr:to>
      <xdr:col>1</xdr:col>
      <xdr:colOff>428625</xdr:colOff>
      <xdr:row>55</xdr:row>
      <xdr:rowOff>186302</xdr:rowOff>
    </xdr:to>
    <xdr:pic>
      <xdr:nvPicPr>
        <xdr:cNvPr id="63" name="Billede 62">
          <a:hlinkClick xmlns:r="http://schemas.openxmlformats.org/officeDocument/2006/relationships" r:id="rId53"/>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3369"/>
          <a:ext cx="616364" cy="183542"/>
        </a:xfrm>
        <a:prstGeom prst="rect">
          <a:avLst/>
        </a:prstGeom>
      </xdr:spPr>
    </xdr:pic>
    <xdr:clientData/>
  </xdr:twoCellAnchor>
  <xdr:twoCellAnchor editAs="oneCell">
    <xdr:from>
      <xdr:col>0</xdr:col>
      <xdr:colOff>12700</xdr:colOff>
      <xdr:row>62</xdr:row>
      <xdr:rowOff>187739</xdr:rowOff>
    </xdr:from>
    <xdr:to>
      <xdr:col>1</xdr:col>
      <xdr:colOff>441325</xdr:colOff>
      <xdr:row>63</xdr:row>
      <xdr:rowOff>176916</xdr:rowOff>
    </xdr:to>
    <xdr:pic>
      <xdr:nvPicPr>
        <xdr:cNvPr id="65" name="Billede 64">
          <a:hlinkClick xmlns:r="http://schemas.openxmlformats.org/officeDocument/2006/relationships" r:id="rId54"/>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12909826"/>
          <a:ext cx="616364" cy="1879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516472</xdr:colOff>
      <xdr:row>0</xdr:row>
      <xdr:rowOff>9525</xdr:rowOff>
    </xdr:from>
    <xdr:to>
      <xdr:col>4</xdr:col>
      <xdr:colOff>445552</xdr:colOff>
      <xdr:row>0</xdr:row>
      <xdr:rowOff>300634</xdr:rowOff>
    </xdr:to>
    <xdr:pic>
      <xdr:nvPicPr>
        <xdr:cNvPr id="9" name="Billede 8">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rcRect/>
        <a:stretch/>
      </xdr:blipFill>
      <xdr:spPr>
        <a:xfrm>
          <a:off x="2345982" y="9525"/>
          <a:ext cx="1802997" cy="291109"/>
        </a:xfrm>
        <a:prstGeom prst="rect">
          <a:avLst/>
        </a:prstGeom>
      </xdr:spPr>
    </xdr:pic>
    <xdr:clientData/>
  </xdr:twoCellAnchor>
  <xdr:twoCellAnchor editAs="oneCell">
    <xdr:from>
      <xdr:col>0</xdr:col>
      <xdr:colOff>282638</xdr:colOff>
      <xdr:row>0</xdr:row>
      <xdr:rowOff>28575</xdr:rowOff>
    </xdr:from>
    <xdr:to>
      <xdr:col>2</xdr:col>
      <xdr:colOff>3111</xdr:colOff>
      <xdr:row>0</xdr:row>
      <xdr:rowOff>301629</xdr:rowOff>
    </xdr:to>
    <xdr:pic>
      <xdr:nvPicPr>
        <xdr:cNvPr id="10" name="Billede 9">
          <a:hlinkClick xmlns:r="http://schemas.openxmlformats.org/officeDocument/2006/relationships" r:id="rId3"/>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srcRect/>
        <a:stretch/>
      </xdr:blipFill>
      <xdr:spPr>
        <a:xfrm>
          <a:off x="282638" y="28575"/>
          <a:ext cx="1549983" cy="273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248653</xdr:colOff>
      <xdr:row>0</xdr:row>
      <xdr:rowOff>28575</xdr:rowOff>
    </xdr:from>
    <xdr:to>
      <xdr:col>2</xdr:col>
      <xdr:colOff>443496</xdr:colOff>
      <xdr:row>0</xdr:row>
      <xdr:rowOff>301629</xdr:rowOff>
    </xdr:to>
    <xdr:pic>
      <xdr:nvPicPr>
        <xdr:cNvPr id="13" name="Billede 12">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srcRect/>
        <a:stretch/>
      </xdr:blipFill>
      <xdr:spPr>
        <a:xfrm>
          <a:off x="248653" y="28575"/>
          <a:ext cx="1549983" cy="273054"/>
        </a:xfrm>
        <a:prstGeom prst="rect">
          <a:avLst/>
        </a:prstGeom>
      </xdr:spPr>
    </xdr:pic>
    <xdr:clientData/>
  </xdr:twoCellAnchor>
  <xdr:twoCellAnchor editAs="oneCell">
    <xdr:from>
      <xdr:col>2</xdr:col>
      <xdr:colOff>753069</xdr:colOff>
      <xdr:row>0</xdr:row>
      <xdr:rowOff>9525</xdr:rowOff>
    </xdr:from>
    <xdr:to>
      <xdr:col>5</xdr:col>
      <xdr:colOff>2621</xdr:colOff>
      <xdr:row>0</xdr:row>
      <xdr:rowOff>300634</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rcRect/>
        <a:stretch/>
      </xdr:blipFill>
      <xdr:spPr>
        <a:xfrm>
          <a:off x="2108209" y="9525"/>
          <a:ext cx="1802997" cy="2911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1076325</xdr:colOff>
      <xdr:row>25</xdr:row>
      <xdr:rowOff>60325</xdr:rowOff>
    </xdr:from>
    <xdr:to>
      <xdr:col>30</xdr:col>
      <xdr:colOff>1346200</xdr:colOff>
      <xdr:row>34</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25028525" y="5203825"/>
          <a:ext cx="269875" cy="2378075"/>
        </a:xfrm>
        <a:prstGeom prst="rightBrace">
          <a:avLst>
            <a:gd name="adj1" fmla="val 8233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30</xdr:col>
      <xdr:colOff>1498600</xdr:colOff>
      <xdr:row>26</xdr:row>
      <xdr:rowOff>0</xdr:rowOff>
    </xdr:from>
    <xdr:to>
      <xdr:col>30</xdr:col>
      <xdr:colOff>2672129</xdr:colOff>
      <xdr:row>32</xdr:row>
      <xdr:rowOff>76200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11890375" y="4292600"/>
          <a:ext cx="1173529" cy="161290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da-DK" sz="1100" b="0" i="0" u="none" strike="noStrike" baseline="0">
              <a:solidFill>
                <a:srgbClr val="000000"/>
              </a:solidFill>
              <a:latin typeface="Verdana"/>
              <a:ea typeface="Verdana"/>
              <a:cs typeface="Verdana"/>
            </a:rPr>
            <a:t>Alle beløb indtastes i 2012</a:t>
          </a:r>
        </a:p>
        <a:p>
          <a:pPr algn="l" rtl="0">
            <a:lnSpc>
              <a:spcPts val="1200"/>
            </a:lnSpc>
            <a:defRPr sz="1000"/>
          </a:pPr>
          <a:r>
            <a:rPr lang="da-DK" sz="1100" b="0" i="0" u="none" strike="noStrike" baseline="0">
              <a:solidFill>
                <a:srgbClr val="000000"/>
              </a:solidFill>
              <a:latin typeface="Verdana"/>
              <a:ea typeface="Verdana"/>
              <a:cs typeface="Verdana"/>
            </a:rPr>
            <a:t>-grundbeløb pr. år, så omregnes de automatisk til aktuel løn pr. md.</a:t>
          </a:r>
        </a:p>
        <a:p>
          <a:pPr algn="l" rtl="0">
            <a:lnSpc>
              <a:spcPts val="1100"/>
            </a:lnSpc>
            <a:defRPr sz="1000"/>
          </a:pPr>
          <a:r>
            <a:rPr lang="da-DK" sz="1100" b="0" i="0" u="none" strike="noStrike" baseline="0">
              <a:solidFill>
                <a:srgbClr val="000000"/>
              </a:solidFill>
              <a:latin typeface="Verdana"/>
              <a:ea typeface="Verdana"/>
              <a:cs typeface="Verdana"/>
            </a:rPr>
            <a:t>Lin. 17-20 ganges med BG!</a:t>
          </a:r>
        </a:p>
      </xdr:txBody>
    </xdr:sp>
    <xdr:clientData/>
  </xdr:twoCellAnchor>
  <xdr:twoCellAnchor editAs="oneCell">
    <xdr:from>
      <xdr:col>0</xdr:col>
      <xdr:colOff>181784</xdr:colOff>
      <xdr:row>0</xdr:row>
      <xdr:rowOff>28575</xdr:rowOff>
    </xdr:from>
    <xdr:to>
      <xdr:col>1</xdr:col>
      <xdr:colOff>1434290</xdr:colOff>
      <xdr:row>0</xdr:row>
      <xdr:rowOff>301629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xdr:blipFill>
      <xdr:spPr>
        <a:xfrm>
          <a:off x="181784" y="28575"/>
          <a:ext cx="1549983" cy="273054"/>
        </a:xfrm>
        <a:prstGeom prst="rect">
          <a:avLst/>
        </a:prstGeom>
      </xdr:spPr>
    </xdr:pic>
    <xdr:clientData/>
  </xdr:twoCellAnchor>
  <xdr:twoCellAnchor editAs="oneCell">
    <xdr:from>
      <xdr:col>1</xdr:col>
      <xdr:colOff>1827414</xdr:colOff>
      <xdr:row>0</xdr:row>
      <xdr:rowOff>9525</xdr:rowOff>
    </xdr:from>
    <xdr:to>
      <xdr:col>1</xdr:col>
      <xdr:colOff>3630411</xdr:colOff>
      <xdr:row>0</xdr:row>
      <xdr:rowOff>300634</xdr:rowOff>
    </xdr:to>
    <xdr:pic>
      <xdr:nvPicPr>
        <xdr:cNvPr id="12" name="Billede 11">
          <a:hlinkClick xmlns:r="http://schemas.openxmlformats.org/officeDocument/2006/relationships" r:id="rId3"/>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srcRect/>
        <a:stretch/>
      </xdr:blipFill>
      <xdr:spPr>
        <a:xfrm>
          <a:off x="2124891" y="9525"/>
          <a:ext cx="1802997" cy="2911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179096</xdr:colOff>
      <xdr:row>1</xdr:row>
      <xdr:rowOff>28575</xdr:rowOff>
    </xdr:from>
    <xdr:to>
      <xdr:col>1</xdr:col>
      <xdr:colOff>1449679</xdr:colOff>
      <xdr:row>1</xdr:row>
      <xdr:rowOff>301629</xdr:rowOff>
    </xdr:to>
    <xdr:pic>
      <xdr:nvPicPr>
        <xdr:cNvPr id="8" name="Billede 7">
          <a:hlinkClick xmlns:r="http://schemas.openxmlformats.org/officeDocument/2006/relationships" r:id="rId1"/>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rcRect/>
        <a:stretch/>
      </xdr:blipFill>
      <xdr:spPr>
        <a:xfrm>
          <a:off x="179096" y="193675"/>
          <a:ext cx="1549983" cy="273054"/>
        </a:xfrm>
        <a:prstGeom prst="rect">
          <a:avLst/>
        </a:prstGeom>
      </xdr:spPr>
    </xdr:pic>
    <xdr:clientData/>
  </xdr:twoCellAnchor>
  <xdr:twoCellAnchor editAs="oneCell">
    <xdr:from>
      <xdr:col>1</xdr:col>
      <xdr:colOff>1840114</xdr:colOff>
      <xdr:row>1</xdr:row>
      <xdr:rowOff>9525</xdr:rowOff>
    </xdr:from>
    <xdr:to>
      <xdr:col>1</xdr:col>
      <xdr:colOff>3643111</xdr:colOff>
      <xdr:row>1</xdr:row>
      <xdr:rowOff>300634</xdr:rowOff>
    </xdr:to>
    <xdr:pic>
      <xdr:nvPicPr>
        <xdr:cNvPr id="10" name="Billede 9">
          <a:hlinkClick xmlns:r="http://schemas.openxmlformats.org/officeDocument/2006/relationships" r:id="rId3"/>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rcRect/>
        <a:stretch/>
      </xdr:blipFill>
      <xdr:spPr>
        <a:xfrm>
          <a:off x="2119514" y="174625"/>
          <a:ext cx="1802997" cy="291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19050</xdr:colOff>
      <xdr:row>19</xdr:row>
      <xdr:rowOff>57150</xdr:rowOff>
    </xdr:from>
    <xdr:to>
      <xdr:col>4</xdr:col>
      <xdr:colOff>19050</xdr:colOff>
      <xdr:row>19</xdr:row>
      <xdr:rowOff>114300</xdr:rowOff>
    </xdr:to>
    <xdr:sp macro="" textlink="">
      <xdr:nvSpPr>
        <xdr:cNvPr id="549147" name="Line 2">
          <a:extLst>
            <a:ext uri="{FF2B5EF4-FFF2-40B4-BE49-F238E27FC236}">
              <a16:creationId xmlns:a16="http://schemas.microsoft.com/office/drawing/2014/main" id="{00000000-0008-0000-0A00-00001B610800}"/>
            </a:ext>
          </a:extLst>
        </xdr:cNvPr>
        <xdr:cNvSpPr>
          <a:spLocks noChangeShapeType="1"/>
        </xdr:cNvSpPr>
      </xdr:nvSpPr>
      <xdr:spPr bwMode="auto">
        <a:xfrm flipV="1">
          <a:off x="4248150" y="2971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25</xdr:row>
      <xdr:rowOff>57150</xdr:rowOff>
    </xdr:from>
    <xdr:to>
      <xdr:col>4</xdr:col>
      <xdr:colOff>19050</xdr:colOff>
      <xdr:row>25</xdr:row>
      <xdr:rowOff>114300</xdr:rowOff>
    </xdr:to>
    <xdr:sp macro="" textlink="">
      <xdr:nvSpPr>
        <xdr:cNvPr id="549149" name="Line 4">
          <a:extLst>
            <a:ext uri="{FF2B5EF4-FFF2-40B4-BE49-F238E27FC236}">
              <a16:creationId xmlns:a16="http://schemas.microsoft.com/office/drawing/2014/main" id="{00000000-0008-0000-0A00-00001D610800}"/>
            </a:ext>
          </a:extLst>
        </xdr:cNvPr>
        <xdr:cNvSpPr>
          <a:spLocks noChangeShapeType="1"/>
        </xdr:cNvSpPr>
      </xdr:nvSpPr>
      <xdr:spPr bwMode="auto">
        <a:xfrm flipV="1">
          <a:off x="4248150" y="5067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31</xdr:row>
      <xdr:rowOff>57150</xdr:rowOff>
    </xdr:from>
    <xdr:to>
      <xdr:col>4</xdr:col>
      <xdr:colOff>19050</xdr:colOff>
      <xdr:row>31</xdr:row>
      <xdr:rowOff>114300</xdr:rowOff>
    </xdr:to>
    <xdr:sp macro="" textlink="">
      <xdr:nvSpPr>
        <xdr:cNvPr id="549151" name="Line 6">
          <a:extLst>
            <a:ext uri="{FF2B5EF4-FFF2-40B4-BE49-F238E27FC236}">
              <a16:creationId xmlns:a16="http://schemas.microsoft.com/office/drawing/2014/main" id="{00000000-0008-0000-0A00-00001F610800}"/>
            </a:ext>
          </a:extLst>
        </xdr:cNvPr>
        <xdr:cNvSpPr>
          <a:spLocks noChangeShapeType="1"/>
        </xdr:cNvSpPr>
      </xdr:nvSpPr>
      <xdr:spPr bwMode="auto">
        <a:xfrm flipV="1">
          <a:off x="4248150" y="5829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62</xdr:row>
      <xdr:rowOff>57150</xdr:rowOff>
    </xdr:from>
    <xdr:to>
      <xdr:col>4</xdr:col>
      <xdr:colOff>19050</xdr:colOff>
      <xdr:row>62</xdr:row>
      <xdr:rowOff>114300</xdr:rowOff>
    </xdr:to>
    <xdr:sp macro="" textlink="">
      <xdr:nvSpPr>
        <xdr:cNvPr id="549153" name="Line 8">
          <a:extLst>
            <a:ext uri="{FF2B5EF4-FFF2-40B4-BE49-F238E27FC236}">
              <a16:creationId xmlns:a16="http://schemas.microsoft.com/office/drawing/2014/main" id="{00000000-0008-0000-0A00-000021610800}"/>
            </a:ext>
          </a:extLst>
        </xdr:cNvPr>
        <xdr:cNvSpPr>
          <a:spLocks noChangeShapeType="1"/>
        </xdr:cNvSpPr>
      </xdr:nvSpPr>
      <xdr:spPr bwMode="auto">
        <a:xfrm flipV="1">
          <a:off x="4248150" y="7543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71</xdr:row>
      <xdr:rowOff>57150</xdr:rowOff>
    </xdr:from>
    <xdr:to>
      <xdr:col>4</xdr:col>
      <xdr:colOff>19050</xdr:colOff>
      <xdr:row>71</xdr:row>
      <xdr:rowOff>114300</xdr:rowOff>
    </xdr:to>
    <xdr:sp macro="" textlink="">
      <xdr:nvSpPr>
        <xdr:cNvPr id="549155" name="Line 10">
          <a:extLst>
            <a:ext uri="{FF2B5EF4-FFF2-40B4-BE49-F238E27FC236}">
              <a16:creationId xmlns:a16="http://schemas.microsoft.com/office/drawing/2014/main" id="{00000000-0008-0000-0A00-000023610800}"/>
            </a:ext>
          </a:extLst>
        </xdr:cNvPr>
        <xdr:cNvSpPr>
          <a:spLocks noChangeShapeType="1"/>
        </xdr:cNvSpPr>
      </xdr:nvSpPr>
      <xdr:spPr bwMode="auto">
        <a:xfrm flipV="1">
          <a:off x="4248150" y="9258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85</xdr:row>
      <xdr:rowOff>57150</xdr:rowOff>
    </xdr:from>
    <xdr:to>
      <xdr:col>4</xdr:col>
      <xdr:colOff>19050</xdr:colOff>
      <xdr:row>85</xdr:row>
      <xdr:rowOff>114300</xdr:rowOff>
    </xdr:to>
    <xdr:sp macro="" textlink="">
      <xdr:nvSpPr>
        <xdr:cNvPr id="549157" name="Line 14">
          <a:extLst>
            <a:ext uri="{FF2B5EF4-FFF2-40B4-BE49-F238E27FC236}">
              <a16:creationId xmlns:a16="http://schemas.microsoft.com/office/drawing/2014/main" id="{00000000-0008-0000-0A00-000025610800}"/>
            </a:ext>
          </a:extLst>
        </xdr:cNvPr>
        <xdr:cNvSpPr>
          <a:spLocks noChangeShapeType="1"/>
        </xdr:cNvSpPr>
      </xdr:nvSpPr>
      <xdr:spPr bwMode="auto">
        <a:xfrm flipV="1">
          <a:off x="4248150" y="10582275"/>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91</xdr:row>
      <xdr:rowOff>57150</xdr:rowOff>
    </xdr:from>
    <xdr:to>
      <xdr:col>4</xdr:col>
      <xdr:colOff>19050</xdr:colOff>
      <xdr:row>91</xdr:row>
      <xdr:rowOff>142875</xdr:rowOff>
    </xdr:to>
    <xdr:sp macro="" textlink="">
      <xdr:nvSpPr>
        <xdr:cNvPr id="549159" name="Line 18">
          <a:extLst>
            <a:ext uri="{FF2B5EF4-FFF2-40B4-BE49-F238E27FC236}">
              <a16:creationId xmlns:a16="http://schemas.microsoft.com/office/drawing/2014/main" id="{00000000-0008-0000-0A00-000027610800}"/>
            </a:ext>
          </a:extLst>
        </xdr:cNvPr>
        <xdr:cNvSpPr>
          <a:spLocks noChangeShapeType="1"/>
        </xdr:cNvSpPr>
      </xdr:nvSpPr>
      <xdr:spPr bwMode="auto">
        <a:xfrm flipV="1">
          <a:off x="4248150" y="11725275"/>
          <a:ext cx="0" cy="85725"/>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58</xdr:row>
      <xdr:rowOff>57150</xdr:rowOff>
    </xdr:from>
    <xdr:to>
      <xdr:col>4</xdr:col>
      <xdr:colOff>19050</xdr:colOff>
      <xdr:row>58</xdr:row>
      <xdr:rowOff>114300</xdr:rowOff>
    </xdr:to>
    <xdr:sp macro="" textlink="">
      <xdr:nvSpPr>
        <xdr:cNvPr id="549163" name="Line 25">
          <a:extLst>
            <a:ext uri="{FF2B5EF4-FFF2-40B4-BE49-F238E27FC236}">
              <a16:creationId xmlns:a16="http://schemas.microsoft.com/office/drawing/2014/main" id="{00000000-0008-0000-0A00-00002B610800}"/>
            </a:ext>
          </a:extLst>
        </xdr:cNvPr>
        <xdr:cNvSpPr>
          <a:spLocks noChangeShapeType="1"/>
        </xdr:cNvSpPr>
      </xdr:nvSpPr>
      <xdr:spPr bwMode="auto">
        <a:xfrm flipV="1">
          <a:off x="4248150" y="6781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128</xdr:row>
      <xdr:rowOff>57150</xdr:rowOff>
    </xdr:from>
    <xdr:to>
      <xdr:col>4</xdr:col>
      <xdr:colOff>19050</xdr:colOff>
      <xdr:row>128</xdr:row>
      <xdr:rowOff>114300</xdr:rowOff>
    </xdr:to>
    <xdr:sp macro="" textlink="">
      <xdr:nvSpPr>
        <xdr:cNvPr id="549167" name="Line 29">
          <a:extLst>
            <a:ext uri="{FF2B5EF4-FFF2-40B4-BE49-F238E27FC236}">
              <a16:creationId xmlns:a16="http://schemas.microsoft.com/office/drawing/2014/main" id="{00000000-0008-0000-0A00-00002F610800}"/>
            </a:ext>
          </a:extLst>
        </xdr:cNvPr>
        <xdr:cNvSpPr>
          <a:spLocks noChangeShapeType="1"/>
        </xdr:cNvSpPr>
      </xdr:nvSpPr>
      <xdr:spPr bwMode="auto">
        <a:xfrm flipV="1">
          <a:off x="4248150" y="148971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111</xdr:row>
      <xdr:rowOff>57150</xdr:rowOff>
    </xdr:from>
    <xdr:to>
      <xdr:col>4</xdr:col>
      <xdr:colOff>19050</xdr:colOff>
      <xdr:row>111</xdr:row>
      <xdr:rowOff>114300</xdr:rowOff>
    </xdr:to>
    <xdr:sp macro="" textlink="">
      <xdr:nvSpPr>
        <xdr:cNvPr id="549170" name="Line 27">
          <a:extLst>
            <a:ext uri="{FF2B5EF4-FFF2-40B4-BE49-F238E27FC236}">
              <a16:creationId xmlns:a16="http://schemas.microsoft.com/office/drawing/2014/main" id="{00000000-0008-0000-0A00-000032610800}"/>
            </a:ext>
          </a:extLst>
        </xdr:cNvPr>
        <xdr:cNvSpPr>
          <a:spLocks noChangeShapeType="1"/>
        </xdr:cNvSpPr>
      </xdr:nvSpPr>
      <xdr:spPr bwMode="auto">
        <a:xfrm flipV="1">
          <a:off x="4248150" y="13058775"/>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editAs="oneCell">
    <xdr:from>
      <xdr:col>0</xdr:col>
      <xdr:colOff>187033</xdr:colOff>
      <xdr:row>0</xdr:row>
      <xdr:rowOff>28575</xdr:rowOff>
    </xdr:from>
    <xdr:to>
      <xdr:col>2</xdr:col>
      <xdr:colOff>721016</xdr:colOff>
      <xdr:row>0</xdr:row>
      <xdr:rowOff>301629</xdr:rowOff>
    </xdr:to>
    <xdr:pic>
      <xdr:nvPicPr>
        <xdr:cNvPr id="33" name="Billede 32">
          <a:hlinkClick xmlns:r="http://schemas.openxmlformats.org/officeDocument/2006/relationships" r:id="rId1"/>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2"/>
        <a:srcRect/>
        <a:stretch/>
      </xdr:blipFill>
      <xdr:spPr>
        <a:xfrm>
          <a:off x="187033" y="28575"/>
          <a:ext cx="1549983" cy="273054"/>
        </a:xfrm>
        <a:prstGeom prst="rect">
          <a:avLst/>
        </a:prstGeom>
      </xdr:spPr>
    </xdr:pic>
    <xdr:clientData/>
  </xdr:twoCellAnchor>
  <xdr:twoCellAnchor editAs="oneCell">
    <xdr:from>
      <xdr:col>2</xdr:col>
      <xdr:colOff>1814714</xdr:colOff>
      <xdr:row>0</xdr:row>
      <xdr:rowOff>9525</xdr:rowOff>
    </xdr:from>
    <xdr:to>
      <xdr:col>2</xdr:col>
      <xdr:colOff>3389111</xdr:colOff>
      <xdr:row>0</xdr:row>
      <xdr:rowOff>300634</xdr:rowOff>
    </xdr:to>
    <xdr:pic>
      <xdr:nvPicPr>
        <xdr:cNvPr id="45" name="Billede 44">
          <a:hlinkClick xmlns:r="http://schemas.openxmlformats.org/officeDocument/2006/relationships" r:id="rId3"/>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4"/>
        <a:srcRect/>
        <a:stretch/>
      </xdr:blipFill>
      <xdr:spPr>
        <a:xfrm>
          <a:off x="2830714" y="9525"/>
          <a:ext cx="1802997" cy="291109"/>
        </a:xfrm>
        <a:prstGeom prst="rect">
          <a:avLst/>
        </a:prstGeom>
      </xdr:spPr>
    </xdr:pic>
    <xdr:clientData/>
  </xdr:twoCellAnchor>
  <xdr:twoCellAnchor>
    <xdr:from>
      <xdr:col>4</xdr:col>
      <xdr:colOff>19050</xdr:colOff>
      <xdr:row>38</xdr:row>
      <xdr:rowOff>57150</xdr:rowOff>
    </xdr:from>
    <xdr:to>
      <xdr:col>4</xdr:col>
      <xdr:colOff>19050</xdr:colOff>
      <xdr:row>38</xdr:row>
      <xdr:rowOff>114300</xdr:rowOff>
    </xdr:to>
    <xdr:sp macro="" textlink="">
      <xdr:nvSpPr>
        <xdr:cNvPr id="29" name="Line 25">
          <a:extLst>
            <a:ext uri="{FF2B5EF4-FFF2-40B4-BE49-F238E27FC236}">
              <a16:creationId xmlns:a16="http://schemas.microsoft.com/office/drawing/2014/main" id="{00000000-0008-0000-0A00-00001D000000}"/>
            </a:ext>
          </a:extLst>
        </xdr:cNvPr>
        <xdr:cNvSpPr>
          <a:spLocks noChangeShapeType="1"/>
        </xdr:cNvSpPr>
      </xdr:nvSpPr>
      <xdr:spPr bwMode="auto">
        <a:xfrm flipV="1">
          <a:off x="5200650" y="80581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51</xdr:row>
      <xdr:rowOff>57150</xdr:rowOff>
    </xdr:from>
    <xdr:to>
      <xdr:col>4</xdr:col>
      <xdr:colOff>19050</xdr:colOff>
      <xdr:row>51</xdr:row>
      <xdr:rowOff>114300</xdr:rowOff>
    </xdr:to>
    <xdr:sp macro="" textlink="">
      <xdr:nvSpPr>
        <xdr:cNvPr id="34" name="Line 25">
          <a:extLst>
            <a:ext uri="{FF2B5EF4-FFF2-40B4-BE49-F238E27FC236}">
              <a16:creationId xmlns:a16="http://schemas.microsoft.com/office/drawing/2014/main" id="{00000000-0008-0000-0A00-000022000000}"/>
            </a:ext>
          </a:extLst>
        </xdr:cNvPr>
        <xdr:cNvSpPr>
          <a:spLocks noChangeShapeType="1"/>
        </xdr:cNvSpPr>
      </xdr:nvSpPr>
      <xdr:spPr bwMode="auto">
        <a:xfrm flipV="1">
          <a:off x="5200650" y="75247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108</xdr:row>
      <xdr:rowOff>57150</xdr:rowOff>
    </xdr:from>
    <xdr:to>
      <xdr:col>4</xdr:col>
      <xdr:colOff>19050</xdr:colOff>
      <xdr:row>108</xdr:row>
      <xdr:rowOff>114300</xdr:rowOff>
    </xdr:to>
    <xdr:sp macro="" textlink="">
      <xdr:nvSpPr>
        <xdr:cNvPr id="48" name="Line 2">
          <a:extLst>
            <a:ext uri="{FF2B5EF4-FFF2-40B4-BE49-F238E27FC236}">
              <a16:creationId xmlns:a16="http://schemas.microsoft.com/office/drawing/2014/main" id="{00000000-0008-0000-0A00-000030000000}"/>
            </a:ext>
          </a:extLst>
        </xdr:cNvPr>
        <xdr:cNvSpPr>
          <a:spLocks noChangeShapeType="1"/>
        </xdr:cNvSpPr>
      </xdr:nvSpPr>
      <xdr:spPr bwMode="auto">
        <a:xfrm flipV="1">
          <a:off x="5200650" y="4146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19</xdr:row>
      <xdr:rowOff>57150</xdr:rowOff>
    </xdr:from>
    <xdr:to>
      <xdr:col>5</xdr:col>
      <xdr:colOff>19050</xdr:colOff>
      <xdr:row>19</xdr:row>
      <xdr:rowOff>114300</xdr:rowOff>
    </xdr:to>
    <xdr:sp macro="" textlink="">
      <xdr:nvSpPr>
        <xdr:cNvPr id="49" name="Line 2">
          <a:extLst>
            <a:ext uri="{FF2B5EF4-FFF2-40B4-BE49-F238E27FC236}">
              <a16:creationId xmlns:a16="http://schemas.microsoft.com/office/drawing/2014/main" id="{8887068B-3922-6F4D-91DB-C07D3C4B27A4}"/>
            </a:ext>
          </a:extLst>
        </xdr:cNvPr>
        <xdr:cNvSpPr>
          <a:spLocks noChangeShapeType="1"/>
        </xdr:cNvSpPr>
      </xdr:nvSpPr>
      <xdr:spPr bwMode="auto">
        <a:xfrm flipV="1">
          <a:off x="5920317" y="46884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25</xdr:row>
      <xdr:rowOff>57150</xdr:rowOff>
    </xdr:from>
    <xdr:to>
      <xdr:col>5</xdr:col>
      <xdr:colOff>19050</xdr:colOff>
      <xdr:row>25</xdr:row>
      <xdr:rowOff>114300</xdr:rowOff>
    </xdr:to>
    <xdr:sp macro="" textlink="">
      <xdr:nvSpPr>
        <xdr:cNvPr id="50" name="Line 4">
          <a:extLst>
            <a:ext uri="{FF2B5EF4-FFF2-40B4-BE49-F238E27FC236}">
              <a16:creationId xmlns:a16="http://schemas.microsoft.com/office/drawing/2014/main" id="{93B49B8B-5596-CF48-8D33-1F9CE546851B}"/>
            </a:ext>
          </a:extLst>
        </xdr:cNvPr>
        <xdr:cNvSpPr>
          <a:spLocks noChangeShapeType="1"/>
        </xdr:cNvSpPr>
      </xdr:nvSpPr>
      <xdr:spPr bwMode="auto">
        <a:xfrm flipV="1">
          <a:off x="5920317" y="5941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31</xdr:row>
      <xdr:rowOff>57150</xdr:rowOff>
    </xdr:from>
    <xdr:to>
      <xdr:col>5</xdr:col>
      <xdr:colOff>19050</xdr:colOff>
      <xdr:row>31</xdr:row>
      <xdr:rowOff>114300</xdr:rowOff>
    </xdr:to>
    <xdr:sp macro="" textlink="">
      <xdr:nvSpPr>
        <xdr:cNvPr id="51" name="Line 6">
          <a:extLst>
            <a:ext uri="{FF2B5EF4-FFF2-40B4-BE49-F238E27FC236}">
              <a16:creationId xmlns:a16="http://schemas.microsoft.com/office/drawing/2014/main" id="{232819AB-EF8D-D04F-BA15-859DA4028A9A}"/>
            </a:ext>
          </a:extLst>
        </xdr:cNvPr>
        <xdr:cNvSpPr>
          <a:spLocks noChangeShapeType="1"/>
        </xdr:cNvSpPr>
      </xdr:nvSpPr>
      <xdr:spPr bwMode="auto">
        <a:xfrm flipV="1">
          <a:off x="5920317" y="71776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38</xdr:row>
      <xdr:rowOff>57150</xdr:rowOff>
    </xdr:from>
    <xdr:to>
      <xdr:col>5</xdr:col>
      <xdr:colOff>19050</xdr:colOff>
      <xdr:row>38</xdr:row>
      <xdr:rowOff>114300</xdr:rowOff>
    </xdr:to>
    <xdr:sp macro="" textlink="">
      <xdr:nvSpPr>
        <xdr:cNvPr id="52" name="Line 25">
          <a:extLst>
            <a:ext uri="{FF2B5EF4-FFF2-40B4-BE49-F238E27FC236}">
              <a16:creationId xmlns:a16="http://schemas.microsoft.com/office/drawing/2014/main" id="{CE044A47-EE66-0840-AA70-F173D915EC83}"/>
            </a:ext>
          </a:extLst>
        </xdr:cNvPr>
        <xdr:cNvSpPr>
          <a:spLocks noChangeShapeType="1"/>
        </xdr:cNvSpPr>
      </xdr:nvSpPr>
      <xdr:spPr bwMode="auto">
        <a:xfrm flipV="1">
          <a:off x="5920317" y="86169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51</xdr:row>
      <xdr:rowOff>57150</xdr:rowOff>
    </xdr:from>
    <xdr:to>
      <xdr:col>5</xdr:col>
      <xdr:colOff>19050</xdr:colOff>
      <xdr:row>51</xdr:row>
      <xdr:rowOff>114300</xdr:rowOff>
    </xdr:to>
    <xdr:sp macro="" textlink="">
      <xdr:nvSpPr>
        <xdr:cNvPr id="53" name="Line 25">
          <a:extLst>
            <a:ext uri="{FF2B5EF4-FFF2-40B4-BE49-F238E27FC236}">
              <a16:creationId xmlns:a16="http://schemas.microsoft.com/office/drawing/2014/main" id="{203FE942-A6BB-F946-8869-F0471C7F92F0}"/>
            </a:ext>
          </a:extLst>
        </xdr:cNvPr>
        <xdr:cNvSpPr>
          <a:spLocks noChangeShapeType="1"/>
        </xdr:cNvSpPr>
      </xdr:nvSpPr>
      <xdr:spPr bwMode="auto">
        <a:xfrm flipV="1">
          <a:off x="5920317" y="11275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58</xdr:row>
      <xdr:rowOff>57150</xdr:rowOff>
    </xdr:from>
    <xdr:to>
      <xdr:col>5</xdr:col>
      <xdr:colOff>19050</xdr:colOff>
      <xdr:row>58</xdr:row>
      <xdr:rowOff>114300</xdr:rowOff>
    </xdr:to>
    <xdr:sp macro="" textlink="">
      <xdr:nvSpPr>
        <xdr:cNvPr id="54" name="Line 25">
          <a:extLst>
            <a:ext uri="{FF2B5EF4-FFF2-40B4-BE49-F238E27FC236}">
              <a16:creationId xmlns:a16="http://schemas.microsoft.com/office/drawing/2014/main" id="{8DA90345-7668-A241-9CC2-776642B8EC0A}"/>
            </a:ext>
          </a:extLst>
        </xdr:cNvPr>
        <xdr:cNvSpPr>
          <a:spLocks noChangeShapeType="1"/>
        </xdr:cNvSpPr>
      </xdr:nvSpPr>
      <xdr:spPr bwMode="auto">
        <a:xfrm flipV="1">
          <a:off x="5920317" y="127148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62</xdr:row>
      <xdr:rowOff>57150</xdr:rowOff>
    </xdr:from>
    <xdr:to>
      <xdr:col>5</xdr:col>
      <xdr:colOff>19050</xdr:colOff>
      <xdr:row>62</xdr:row>
      <xdr:rowOff>114300</xdr:rowOff>
    </xdr:to>
    <xdr:sp macro="" textlink="">
      <xdr:nvSpPr>
        <xdr:cNvPr id="55" name="Line 8">
          <a:extLst>
            <a:ext uri="{FF2B5EF4-FFF2-40B4-BE49-F238E27FC236}">
              <a16:creationId xmlns:a16="http://schemas.microsoft.com/office/drawing/2014/main" id="{A3723968-ED04-9045-B209-5A75F6032390}"/>
            </a:ext>
          </a:extLst>
        </xdr:cNvPr>
        <xdr:cNvSpPr>
          <a:spLocks noChangeShapeType="1"/>
        </xdr:cNvSpPr>
      </xdr:nvSpPr>
      <xdr:spPr bwMode="auto">
        <a:xfrm flipV="1">
          <a:off x="5920317" y="13544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71</xdr:row>
      <xdr:rowOff>57150</xdr:rowOff>
    </xdr:from>
    <xdr:to>
      <xdr:col>5</xdr:col>
      <xdr:colOff>19050</xdr:colOff>
      <xdr:row>71</xdr:row>
      <xdr:rowOff>114300</xdr:rowOff>
    </xdr:to>
    <xdr:sp macro="" textlink="">
      <xdr:nvSpPr>
        <xdr:cNvPr id="56" name="Line 10">
          <a:extLst>
            <a:ext uri="{FF2B5EF4-FFF2-40B4-BE49-F238E27FC236}">
              <a16:creationId xmlns:a16="http://schemas.microsoft.com/office/drawing/2014/main" id="{AE8C8AE6-5A0E-3446-BC44-3A62E14735AF}"/>
            </a:ext>
          </a:extLst>
        </xdr:cNvPr>
        <xdr:cNvSpPr>
          <a:spLocks noChangeShapeType="1"/>
        </xdr:cNvSpPr>
      </xdr:nvSpPr>
      <xdr:spPr bwMode="auto">
        <a:xfrm flipV="1">
          <a:off x="5920317" y="153902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85</xdr:row>
      <xdr:rowOff>57150</xdr:rowOff>
    </xdr:from>
    <xdr:to>
      <xdr:col>5</xdr:col>
      <xdr:colOff>19050</xdr:colOff>
      <xdr:row>85</xdr:row>
      <xdr:rowOff>114300</xdr:rowOff>
    </xdr:to>
    <xdr:sp macro="" textlink="">
      <xdr:nvSpPr>
        <xdr:cNvPr id="57" name="Line 14">
          <a:extLst>
            <a:ext uri="{FF2B5EF4-FFF2-40B4-BE49-F238E27FC236}">
              <a16:creationId xmlns:a16="http://schemas.microsoft.com/office/drawing/2014/main" id="{0C8B8BBE-F3F6-9B43-B8C0-13A53E9E5D6C}"/>
            </a:ext>
          </a:extLst>
        </xdr:cNvPr>
        <xdr:cNvSpPr>
          <a:spLocks noChangeShapeType="1"/>
        </xdr:cNvSpPr>
      </xdr:nvSpPr>
      <xdr:spPr bwMode="auto">
        <a:xfrm flipV="1">
          <a:off x="5920317" y="18260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91</xdr:row>
      <xdr:rowOff>57150</xdr:rowOff>
    </xdr:from>
    <xdr:to>
      <xdr:col>5</xdr:col>
      <xdr:colOff>19050</xdr:colOff>
      <xdr:row>91</xdr:row>
      <xdr:rowOff>142875</xdr:rowOff>
    </xdr:to>
    <xdr:sp macro="" textlink="">
      <xdr:nvSpPr>
        <xdr:cNvPr id="58" name="Line 18">
          <a:extLst>
            <a:ext uri="{FF2B5EF4-FFF2-40B4-BE49-F238E27FC236}">
              <a16:creationId xmlns:a16="http://schemas.microsoft.com/office/drawing/2014/main" id="{F062F8D6-6860-1446-AACD-5A3B77597FDD}"/>
            </a:ext>
          </a:extLst>
        </xdr:cNvPr>
        <xdr:cNvSpPr>
          <a:spLocks noChangeShapeType="1"/>
        </xdr:cNvSpPr>
      </xdr:nvSpPr>
      <xdr:spPr bwMode="auto">
        <a:xfrm flipV="1">
          <a:off x="5920317" y="19725217"/>
          <a:ext cx="0" cy="85725"/>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108</xdr:row>
      <xdr:rowOff>57150</xdr:rowOff>
    </xdr:from>
    <xdr:to>
      <xdr:col>5</xdr:col>
      <xdr:colOff>19050</xdr:colOff>
      <xdr:row>108</xdr:row>
      <xdr:rowOff>114300</xdr:rowOff>
    </xdr:to>
    <xdr:sp macro="" textlink="">
      <xdr:nvSpPr>
        <xdr:cNvPr id="59" name="Line 2">
          <a:extLst>
            <a:ext uri="{FF2B5EF4-FFF2-40B4-BE49-F238E27FC236}">
              <a16:creationId xmlns:a16="http://schemas.microsoft.com/office/drawing/2014/main" id="{14C31BDA-42CD-314F-9455-E2F077843475}"/>
            </a:ext>
          </a:extLst>
        </xdr:cNvPr>
        <xdr:cNvSpPr>
          <a:spLocks noChangeShapeType="1"/>
        </xdr:cNvSpPr>
      </xdr:nvSpPr>
      <xdr:spPr bwMode="auto">
        <a:xfrm flipV="1">
          <a:off x="5920317" y="23196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111</xdr:row>
      <xdr:rowOff>57150</xdr:rowOff>
    </xdr:from>
    <xdr:to>
      <xdr:col>5</xdr:col>
      <xdr:colOff>19050</xdr:colOff>
      <xdr:row>111</xdr:row>
      <xdr:rowOff>114300</xdr:rowOff>
    </xdr:to>
    <xdr:sp macro="" textlink="">
      <xdr:nvSpPr>
        <xdr:cNvPr id="60" name="Line 27">
          <a:extLst>
            <a:ext uri="{FF2B5EF4-FFF2-40B4-BE49-F238E27FC236}">
              <a16:creationId xmlns:a16="http://schemas.microsoft.com/office/drawing/2014/main" id="{7E1DF030-FBA4-A74D-9186-6AE7F937BF52}"/>
            </a:ext>
          </a:extLst>
        </xdr:cNvPr>
        <xdr:cNvSpPr>
          <a:spLocks noChangeShapeType="1"/>
        </xdr:cNvSpPr>
      </xdr:nvSpPr>
      <xdr:spPr bwMode="auto">
        <a:xfrm flipV="1">
          <a:off x="5920317" y="238569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128</xdr:row>
      <xdr:rowOff>57150</xdr:rowOff>
    </xdr:from>
    <xdr:to>
      <xdr:col>5</xdr:col>
      <xdr:colOff>19050</xdr:colOff>
      <xdr:row>128</xdr:row>
      <xdr:rowOff>114300</xdr:rowOff>
    </xdr:to>
    <xdr:sp macro="" textlink="">
      <xdr:nvSpPr>
        <xdr:cNvPr id="61" name="Line 29">
          <a:extLst>
            <a:ext uri="{FF2B5EF4-FFF2-40B4-BE49-F238E27FC236}">
              <a16:creationId xmlns:a16="http://schemas.microsoft.com/office/drawing/2014/main" id="{BF711FB0-20CC-D543-8C22-B63205C4D1C9}"/>
            </a:ext>
          </a:extLst>
        </xdr:cNvPr>
        <xdr:cNvSpPr>
          <a:spLocks noChangeShapeType="1"/>
        </xdr:cNvSpPr>
      </xdr:nvSpPr>
      <xdr:spPr bwMode="auto">
        <a:xfrm flipV="1">
          <a:off x="5920317" y="273790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269672</xdr:colOff>
      <xdr:row>0</xdr:row>
      <xdr:rowOff>0</xdr:rowOff>
    </xdr:from>
    <xdr:to>
      <xdr:col>2</xdr:col>
      <xdr:colOff>459798</xdr:colOff>
      <xdr:row>0</xdr:row>
      <xdr:rowOff>393700</xdr:rowOff>
    </xdr:to>
    <xdr:pic>
      <xdr:nvPicPr>
        <xdr:cNvPr id="2" name="Billede 1">
          <a:hlinkClick xmlns:r="http://schemas.openxmlformats.org/officeDocument/2006/relationships" r:id="rId1"/>
          <a:extLst>
            <a:ext uri="{FF2B5EF4-FFF2-40B4-BE49-F238E27FC236}">
              <a16:creationId xmlns:a16="http://schemas.microsoft.com/office/drawing/2014/main" id="{AE7824F0-D7D6-7041-80BD-AD908F6FC307}"/>
            </a:ext>
          </a:extLst>
        </xdr:cNvPr>
        <xdr:cNvPicPr>
          <a:picLocks noChangeAspect="1"/>
        </xdr:cNvPicPr>
      </xdr:nvPicPr>
      <xdr:blipFill>
        <a:blip xmlns:r="http://schemas.openxmlformats.org/officeDocument/2006/relationships" r:embed="rId2"/>
        <a:srcRect/>
        <a:stretch/>
      </xdr:blipFill>
      <xdr:spPr>
        <a:xfrm>
          <a:off x="269672" y="0"/>
          <a:ext cx="2234826" cy="393700"/>
        </a:xfrm>
        <a:prstGeom prst="rect">
          <a:avLst/>
        </a:prstGeom>
      </xdr:spPr>
    </xdr:pic>
    <xdr:clientData/>
  </xdr:twoCellAnchor>
  <xdr:twoCellAnchor editAs="oneCell">
    <xdr:from>
      <xdr:col>3</xdr:col>
      <xdr:colOff>259578</xdr:colOff>
      <xdr:row>0</xdr:row>
      <xdr:rowOff>0</xdr:rowOff>
    </xdr:from>
    <xdr:to>
      <xdr:col>5</xdr:col>
      <xdr:colOff>8036</xdr:colOff>
      <xdr:row>0</xdr:row>
      <xdr:rowOff>406400</xdr:rowOff>
    </xdr:to>
    <xdr:pic>
      <xdr:nvPicPr>
        <xdr:cNvPr id="3" name="Billede 2">
          <a:hlinkClick xmlns:r="http://schemas.openxmlformats.org/officeDocument/2006/relationships" r:id="rId3"/>
          <a:extLst>
            <a:ext uri="{FF2B5EF4-FFF2-40B4-BE49-F238E27FC236}">
              <a16:creationId xmlns:a16="http://schemas.microsoft.com/office/drawing/2014/main" id="{E0750DA6-4D35-6F49-B66B-06C4E2F85B4D}"/>
            </a:ext>
          </a:extLst>
        </xdr:cNvPr>
        <xdr:cNvPicPr>
          <a:picLocks noChangeAspect="1"/>
        </xdr:cNvPicPr>
      </xdr:nvPicPr>
      <xdr:blipFill>
        <a:blip xmlns:r="http://schemas.openxmlformats.org/officeDocument/2006/relationships" r:embed="rId4"/>
        <a:srcRect/>
        <a:stretch/>
      </xdr:blipFill>
      <xdr:spPr>
        <a:xfrm>
          <a:off x="3790178" y="0"/>
          <a:ext cx="2517058" cy="406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227341</xdr:colOff>
      <xdr:row>0</xdr:row>
      <xdr:rowOff>28575</xdr:rowOff>
    </xdr:from>
    <xdr:to>
      <xdr:col>1</xdr:col>
      <xdr:colOff>1102279</xdr:colOff>
      <xdr:row>0</xdr:row>
      <xdr:rowOff>225429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2"/>
        <a:srcRect/>
        <a:stretch/>
      </xdr:blipFill>
      <xdr:spPr>
        <a:xfrm>
          <a:off x="227341" y="28575"/>
          <a:ext cx="1549983" cy="273054"/>
        </a:xfrm>
        <a:prstGeom prst="rect">
          <a:avLst/>
        </a:prstGeom>
      </xdr:spPr>
    </xdr:pic>
    <xdr:clientData/>
  </xdr:twoCellAnchor>
  <xdr:twoCellAnchor editAs="oneCell">
    <xdr:from>
      <xdr:col>3</xdr:col>
      <xdr:colOff>883060</xdr:colOff>
      <xdr:row>0</xdr:row>
      <xdr:rowOff>9525</xdr:rowOff>
    </xdr:from>
    <xdr:to>
      <xdr:col>5</xdr:col>
      <xdr:colOff>363444</xdr:colOff>
      <xdr:row>0</xdr:row>
      <xdr:rowOff>211734</xdr:rowOff>
    </xdr:to>
    <xdr:pic>
      <xdr:nvPicPr>
        <xdr:cNvPr id="17" name="Billede 16">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4"/>
        <a:srcRect/>
        <a:stretch/>
      </xdr:blipFill>
      <xdr:spPr>
        <a:xfrm>
          <a:off x="4281168" y="9525"/>
          <a:ext cx="1802997" cy="291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185446</xdr:colOff>
      <xdr:row>0</xdr:row>
      <xdr:rowOff>28575</xdr:rowOff>
    </xdr:from>
    <xdr:to>
      <xdr:col>2</xdr:col>
      <xdr:colOff>757529</xdr:colOff>
      <xdr:row>0</xdr:row>
      <xdr:rowOff>301629</xdr:rowOff>
    </xdr:to>
    <xdr:pic>
      <xdr:nvPicPr>
        <xdr:cNvPr id="46" name="Billede 45">
          <a:hlinkClick xmlns:r="http://schemas.openxmlformats.org/officeDocument/2006/relationships" r:id="rId1"/>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2"/>
        <a:srcRect/>
        <a:stretch/>
      </xdr:blipFill>
      <xdr:spPr>
        <a:xfrm>
          <a:off x="185446" y="28575"/>
          <a:ext cx="1549983" cy="273054"/>
        </a:xfrm>
        <a:prstGeom prst="rect">
          <a:avLst/>
        </a:prstGeom>
      </xdr:spPr>
    </xdr:pic>
    <xdr:clientData/>
  </xdr:twoCellAnchor>
  <xdr:twoCellAnchor editAs="oneCell">
    <xdr:from>
      <xdr:col>2</xdr:col>
      <xdr:colOff>2005214</xdr:colOff>
      <xdr:row>0</xdr:row>
      <xdr:rowOff>9525</xdr:rowOff>
    </xdr:from>
    <xdr:to>
      <xdr:col>2</xdr:col>
      <xdr:colOff>3560561</xdr:colOff>
      <xdr:row>0</xdr:row>
      <xdr:rowOff>300634</xdr:rowOff>
    </xdr:to>
    <xdr:pic>
      <xdr:nvPicPr>
        <xdr:cNvPr id="25" name="Billede 24">
          <a:hlinkClick xmlns:r="http://schemas.openxmlformats.org/officeDocument/2006/relationships" r:id="rId3"/>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
        <a:srcRect/>
        <a:stretch/>
      </xdr:blipFill>
      <xdr:spPr>
        <a:xfrm>
          <a:off x="2983114" y="9525"/>
          <a:ext cx="1802997" cy="2911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234658</xdr:colOff>
      <xdr:row>0</xdr:row>
      <xdr:rowOff>28575</xdr:rowOff>
    </xdr:from>
    <xdr:to>
      <xdr:col>2</xdr:col>
      <xdr:colOff>743241</xdr:colOff>
      <xdr:row>0</xdr:row>
      <xdr:rowOff>301629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rcRect/>
        <a:stretch/>
      </xdr:blipFill>
      <xdr:spPr>
        <a:xfrm>
          <a:off x="234658" y="28575"/>
          <a:ext cx="1549983" cy="273054"/>
        </a:xfrm>
        <a:prstGeom prst="rect">
          <a:avLst/>
        </a:prstGeom>
      </xdr:spPr>
    </xdr:pic>
    <xdr:clientData/>
  </xdr:twoCellAnchor>
  <xdr:twoCellAnchor editAs="oneCell">
    <xdr:from>
      <xdr:col>2</xdr:col>
      <xdr:colOff>1699593</xdr:colOff>
      <xdr:row>0</xdr:row>
      <xdr:rowOff>9525</xdr:rowOff>
    </xdr:from>
    <xdr:to>
      <xdr:col>3</xdr:col>
      <xdr:colOff>2206</xdr:colOff>
      <xdr:row>0</xdr:row>
      <xdr:rowOff>309101</xdr:rowOff>
    </xdr:to>
    <xdr:pic>
      <xdr:nvPicPr>
        <xdr:cNvPr id="15" name="Billede 14">
          <a:hlinkClick xmlns:r="http://schemas.openxmlformats.org/officeDocument/2006/relationships" r:id="rId3"/>
          <a:extLst>
            <a:ext uri="{FF2B5EF4-FFF2-40B4-BE49-F238E27FC236}">
              <a16:creationId xmlns:a16="http://schemas.microsoft.com/office/drawing/2014/main" id="{C96D1492-F343-3644-8B9F-4652915D29F2}"/>
            </a:ext>
          </a:extLst>
        </xdr:cNvPr>
        <xdr:cNvPicPr>
          <a:picLocks noChangeAspect="1"/>
        </xdr:cNvPicPr>
      </xdr:nvPicPr>
      <xdr:blipFill>
        <a:blip xmlns:r="http://schemas.openxmlformats.org/officeDocument/2006/relationships" r:embed="rId4"/>
        <a:srcRect/>
        <a:stretch/>
      </xdr:blipFill>
      <xdr:spPr>
        <a:xfrm>
          <a:off x="2740993" y="9525"/>
          <a:ext cx="1855438" cy="2995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162893</xdr:colOff>
      <xdr:row>0</xdr:row>
      <xdr:rowOff>9525</xdr:rowOff>
    </xdr:from>
    <xdr:to>
      <xdr:col>2</xdr:col>
      <xdr:colOff>1332531</xdr:colOff>
      <xdr:row>1</xdr:row>
      <xdr:rowOff>4301</xdr:rowOff>
    </xdr:to>
    <xdr:pic>
      <xdr:nvPicPr>
        <xdr:cNvPr id="32" name="Billede 31">
          <a:hlinkClick xmlns:r="http://schemas.openxmlformats.org/officeDocument/2006/relationships" r:id="rId1"/>
          <a:extLst>
            <a:ext uri="{FF2B5EF4-FFF2-40B4-BE49-F238E27FC236}">
              <a16:creationId xmlns:a16="http://schemas.microsoft.com/office/drawing/2014/main" id="{00000000-0008-0000-0E00-000020000000}"/>
            </a:ext>
          </a:extLst>
        </xdr:cNvPr>
        <xdr:cNvPicPr>
          <a:picLocks noChangeAspect="1"/>
        </xdr:cNvPicPr>
      </xdr:nvPicPr>
      <xdr:blipFill>
        <a:blip xmlns:r="http://schemas.openxmlformats.org/officeDocument/2006/relationships" r:embed="rId2"/>
        <a:srcRect/>
        <a:stretch/>
      </xdr:blipFill>
      <xdr:spPr>
        <a:xfrm>
          <a:off x="556593" y="9525"/>
          <a:ext cx="1855438" cy="299576"/>
        </a:xfrm>
        <a:prstGeom prst="rect">
          <a:avLst/>
        </a:prstGeom>
      </xdr:spPr>
    </xdr:pic>
    <xdr:clientData/>
  </xdr:twoCellAnchor>
  <xdr:twoCellAnchor editAs="oneCell">
    <xdr:from>
      <xdr:col>3</xdr:col>
      <xdr:colOff>234177</xdr:colOff>
      <xdr:row>0</xdr:row>
      <xdr:rowOff>0</xdr:rowOff>
    </xdr:from>
    <xdr:to>
      <xdr:col>4</xdr:col>
      <xdr:colOff>641160</xdr:colOff>
      <xdr:row>0</xdr:row>
      <xdr:rowOff>273054</xdr:rowOff>
    </xdr:to>
    <xdr:pic>
      <xdr:nvPicPr>
        <xdr:cNvPr id="35" name="Billede 34">
          <a:hlinkClick xmlns:r="http://schemas.openxmlformats.org/officeDocument/2006/relationships" r:id="rId3"/>
          <a:extLst>
            <a:ext uri="{FF2B5EF4-FFF2-40B4-BE49-F238E27FC236}">
              <a16:creationId xmlns:a16="http://schemas.microsoft.com/office/drawing/2014/main" id="{161D117F-8D39-7545-BA5F-DF9D69637A8F}"/>
            </a:ext>
          </a:extLst>
        </xdr:cNvPr>
        <xdr:cNvPicPr>
          <a:picLocks noChangeAspect="1"/>
        </xdr:cNvPicPr>
      </xdr:nvPicPr>
      <xdr:blipFill>
        <a:blip xmlns:r="http://schemas.openxmlformats.org/officeDocument/2006/relationships" r:embed="rId4"/>
        <a:srcRect/>
        <a:stretch/>
      </xdr:blipFill>
      <xdr:spPr>
        <a:xfrm>
          <a:off x="5009377" y="0"/>
          <a:ext cx="1549983" cy="2730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17171</xdr:colOff>
      <xdr:row>0</xdr:row>
      <xdr:rowOff>28575</xdr:rowOff>
    </xdr:from>
    <xdr:to>
      <xdr:col>2</xdr:col>
      <xdr:colOff>601954</xdr:colOff>
      <xdr:row>0</xdr:row>
      <xdr:rowOff>301629</xdr:rowOff>
    </xdr:to>
    <xdr:pic>
      <xdr:nvPicPr>
        <xdr:cNvPr id="9" name="Billede 8">
          <a:hlinkClick xmlns:r="http://schemas.openxmlformats.org/officeDocument/2006/relationships" r:id="rId1"/>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rcRect/>
        <a:stretch/>
      </xdr:blipFill>
      <xdr:spPr>
        <a:xfrm>
          <a:off x="296571" y="28575"/>
          <a:ext cx="1549983" cy="273054"/>
        </a:xfrm>
        <a:prstGeom prst="rect">
          <a:avLst/>
        </a:prstGeom>
      </xdr:spPr>
    </xdr:pic>
    <xdr:clientData/>
  </xdr:twoCellAnchor>
  <xdr:twoCellAnchor editAs="oneCell">
    <xdr:from>
      <xdr:col>2</xdr:col>
      <xdr:colOff>877030</xdr:colOff>
      <xdr:row>0</xdr:row>
      <xdr:rowOff>9525</xdr:rowOff>
    </xdr:from>
    <xdr:to>
      <xdr:col>5</xdr:col>
      <xdr:colOff>148494</xdr:colOff>
      <xdr:row>0</xdr:row>
      <xdr:rowOff>300634</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a:srcRect/>
        <a:stretch/>
      </xdr:blipFill>
      <xdr:spPr>
        <a:xfrm>
          <a:off x="2121630" y="9525"/>
          <a:ext cx="1802997" cy="2911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676275</xdr:colOff>
      <xdr:row>0</xdr:row>
      <xdr:rowOff>28575</xdr:rowOff>
    </xdr:from>
    <xdr:to>
      <xdr:col>4</xdr:col>
      <xdr:colOff>523875</xdr:colOff>
      <xdr:row>0</xdr:row>
      <xdr:rowOff>305723</xdr:rowOff>
    </xdr:to>
    <xdr:pic macro="[0]!printer">
      <xdr:nvPicPr>
        <xdr:cNvPr id="6" name="Billede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0975" y="28575"/>
          <a:ext cx="1924050" cy="277148"/>
        </a:xfrm>
        <a:prstGeom prst="rect">
          <a:avLst/>
        </a:prstGeom>
      </xdr:spPr>
    </xdr:pic>
    <xdr:clientData/>
  </xdr:twoCellAnchor>
  <xdr:twoCellAnchor editAs="oneCell">
    <xdr:from>
      <xdr:col>1</xdr:col>
      <xdr:colOff>1609725</xdr:colOff>
      <xdr:row>0</xdr:row>
      <xdr:rowOff>9525</xdr:rowOff>
    </xdr:from>
    <xdr:to>
      <xdr:col>2</xdr:col>
      <xdr:colOff>152400</xdr:colOff>
      <xdr:row>0</xdr:row>
      <xdr:rowOff>300634</xdr:rowOff>
    </xdr:to>
    <xdr:pic>
      <xdr:nvPicPr>
        <xdr:cNvPr id="7" name="Billede 6">
          <a:hlinkClick xmlns:r="http://schemas.openxmlformats.org/officeDocument/2006/relationships" r:id="rId3"/>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1933575" cy="291109"/>
        </a:xfrm>
        <a:prstGeom prst="rect">
          <a:avLst/>
        </a:prstGeom>
      </xdr:spPr>
    </xdr:pic>
    <xdr:clientData/>
  </xdr:twoCellAnchor>
  <xdr:twoCellAnchor editAs="oneCell">
    <xdr:from>
      <xdr:col>0</xdr:col>
      <xdr:colOff>0</xdr:colOff>
      <xdr:row>0</xdr:row>
      <xdr:rowOff>28575</xdr:rowOff>
    </xdr:from>
    <xdr:to>
      <xdr:col>1</xdr:col>
      <xdr:colOff>1562100</xdr:colOff>
      <xdr:row>0</xdr:row>
      <xdr:rowOff>301629</xdr:rowOff>
    </xdr:to>
    <xdr:pic>
      <xdr:nvPicPr>
        <xdr:cNvPr id="8" name="Billede 7">
          <a:hlinkClick xmlns:r="http://schemas.openxmlformats.org/officeDocument/2006/relationships" r:id="rId5"/>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8575"/>
          <a:ext cx="1885950" cy="273054"/>
        </a:xfrm>
        <a:prstGeom prst="rect">
          <a:avLst/>
        </a:prstGeom>
      </xdr:spPr>
    </xdr:pic>
    <xdr:clientData/>
  </xdr:twoCellAnchor>
  <xdr:twoCellAnchor editAs="oneCell">
    <xdr:from>
      <xdr:col>5</xdr:col>
      <xdr:colOff>152401</xdr:colOff>
      <xdr:row>0</xdr:row>
      <xdr:rowOff>0</xdr:rowOff>
    </xdr:from>
    <xdr:to>
      <xdr:col>7</xdr:col>
      <xdr:colOff>304801</xdr:colOff>
      <xdr:row>0</xdr:row>
      <xdr:rowOff>302628</xdr:rowOff>
    </xdr:to>
    <xdr:pic>
      <xdr:nvPicPr>
        <xdr:cNvPr id="9" name="Billede 8">
          <a:hlinkClick xmlns:r="http://schemas.openxmlformats.org/officeDocument/2006/relationships" r:id="rId7"/>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915026" y="0"/>
          <a:ext cx="1943100" cy="3026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12</xdr:row>
      <xdr:rowOff>104775</xdr:rowOff>
    </xdr:from>
    <xdr:to>
      <xdr:col>5</xdr:col>
      <xdr:colOff>0</xdr:colOff>
      <xdr:row>31</xdr:row>
      <xdr:rowOff>95250</xdr:rowOff>
    </xdr:to>
    <xdr:graphicFrame macro="">
      <xdr:nvGraphicFramePr>
        <xdr:cNvPr id="3343" name="Chart 2">
          <a:extLst>
            <a:ext uri="{FF2B5EF4-FFF2-40B4-BE49-F238E27FC236}">
              <a16:creationId xmlns:a16="http://schemas.microsoft.com/office/drawing/2014/main" id="{00000000-0008-0000-1200-00000F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104775</xdr:rowOff>
    </xdr:from>
    <xdr:to>
      <xdr:col>6</xdr:col>
      <xdr:colOff>19050</xdr:colOff>
      <xdr:row>55</xdr:row>
      <xdr:rowOff>152400</xdr:rowOff>
    </xdr:to>
    <xdr:graphicFrame macro="">
      <xdr:nvGraphicFramePr>
        <xdr:cNvPr id="3344" name="Chart 3">
          <a:extLst>
            <a:ext uri="{FF2B5EF4-FFF2-40B4-BE49-F238E27FC236}">
              <a16:creationId xmlns:a16="http://schemas.microsoft.com/office/drawing/2014/main" id="{00000000-0008-0000-1200-00001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428625</xdr:colOff>
      <xdr:row>0</xdr:row>
      <xdr:rowOff>9525</xdr:rowOff>
    </xdr:from>
    <xdr:to>
      <xdr:col>4</xdr:col>
      <xdr:colOff>104775</xdr:colOff>
      <xdr:row>0</xdr:row>
      <xdr:rowOff>300634</xdr:rowOff>
    </xdr:to>
    <xdr:pic>
      <xdr:nvPicPr>
        <xdr:cNvPr id="8" name="Billede 7">
          <a:hlinkClick xmlns:r="http://schemas.openxmlformats.org/officeDocument/2006/relationships" r:id="rId3"/>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1933575" cy="291109"/>
        </a:xfrm>
        <a:prstGeom prst="rect">
          <a:avLst/>
        </a:prstGeom>
      </xdr:spPr>
    </xdr:pic>
    <xdr:clientData/>
  </xdr:twoCellAnchor>
  <xdr:twoCellAnchor editAs="oneCell">
    <xdr:from>
      <xdr:col>0</xdr:col>
      <xdr:colOff>0</xdr:colOff>
      <xdr:row>0</xdr:row>
      <xdr:rowOff>28575</xdr:rowOff>
    </xdr:from>
    <xdr:to>
      <xdr:col>1</xdr:col>
      <xdr:colOff>352425</xdr:colOff>
      <xdr:row>0</xdr:row>
      <xdr:rowOff>301629</xdr:rowOff>
    </xdr:to>
    <xdr:pic>
      <xdr:nvPicPr>
        <xdr:cNvPr id="9" name="Billede 8">
          <a:hlinkClick xmlns:r="http://schemas.openxmlformats.org/officeDocument/2006/relationships" r:id="rId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8575"/>
          <a:ext cx="1885950" cy="273054"/>
        </a:xfrm>
        <a:prstGeom prst="rect">
          <a:avLst/>
        </a:prstGeom>
      </xdr:spPr>
    </xdr:pic>
    <xdr:clientData/>
  </xdr:twoCellAnchor>
  <xdr:twoCellAnchor editAs="oneCell">
    <xdr:from>
      <xdr:col>1</xdr:col>
      <xdr:colOff>180975</xdr:colOff>
      <xdr:row>0</xdr:row>
      <xdr:rowOff>9525</xdr:rowOff>
    </xdr:from>
    <xdr:to>
      <xdr:col>3</xdr:col>
      <xdr:colOff>628650</xdr:colOff>
      <xdr:row>0</xdr:row>
      <xdr:rowOff>300634</xdr:rowOff>
    </xdr:to>
    <xdr:pic>
      <xdr:nvPicPr>
        <xdr:cNvPr id="11" name="Billede 10">
          <a:hlinkClick xmlns:r="http://schemas.openxmlformats.org/officeDocument/2006/relationships" r:id="rId7"/>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2174875" cy="2911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76200</xdr:colOff>
      <xdr:row>60</xdr:row>
      <xdr:rowOff>161925</xdr:rowOff>
    </xdr:from>
    <xdr:to>
      <xdr:col>2</xdr:col>
      <xdr:colOff>381000</xdr:colOff>
      <xdr:row>63</xdr:row>
      <xdr:rowOff>133350</xdr:rowOff>
    </xdr:to>
    <xdr:pic>
      <xdr:nvPicPr>
        <xdr:cNvPr id="88199" name="Picture 1">
          <a:extLst>
            <a:ext uri="{FF2B5EF4-FFF2-40B4-BE49-F238E27FC236}">
              <a16:creationId xmlns:a16="http://schemas.microsoft.com/office/drawing/2014/main" id="{00000000-0008-0000-1400-0000875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877425"/>
          <a:ext cx="3048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ove Dohn" id="{4CFBDF9A-B7B6-4148-99B8-675E602F24B3}" userId="Tove Dohn" providerId="None"/>
  <person displayName="Tove Dohn" id="{EC1CC869-23FC-024D-A876-BDE7DE7FC7B7}" userId="S::tove@friskolerne.dk::cf832d71-50f8-4653-95bd-ced5cfa078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personId="{4CFBDF9A-B7B6-4148-99B8-675E602F24B3}" id="{BE3AF0E5-2F6A-C944-BFC4-89EE673A2615}">
    <text>Tove Dohn: 
Elevtal under 350 = 353.412,- i årligt grundbeløb. 
Elevtal på eller over 350 = 396.929,- i årligt  grundbeløb. 
Hertil  kan der være et udligningstillæg beregnet i 2019 samt lokale tillæg.</text>
  </threadedComment>
  <threadedComment ref="B87" dT="2020-10-10T09:00:11.07" personId="{EC1CC869-23FC-024D-A876-BDE7DE7FC7B7}" id="{5B3B0BD1-7452-0042-827E-F576144014A8}">
    <text xml:space="preserve">Hvis en ansat har mere end 1 kolonne pga. feks. lønændring, barsel eller fratrædelse skal kun oplyse skyldige feriedage i en af kolonnerne. </text>
  </threadedComment>
</ThreadedComments>
</file>

<file path=xl/threadedComments/threadedComment2.xml><?xml version="1.0" encoding="utf-8"?>
<ThreadedComments xmlns="http://schemas.microsoft.com/office/spreadsheetml/2018/threadedcomments" xmlns:x="http://schemas.openxmlformats.org/spreadsheetml/2006/main">
  <threadedComment ref="B74" dT="2020-10-10T09:00:11.07" personId="{EC1CC869-23FC-024D-A876-BDE7DE7FC7B7}" id="{C6A80ED0-6B1D-4048-917F-FBA122BEA6A8}">
    <text xml:space="preserve">Hvis en ansat har mere end 1 kolonne pga. feks. lønændring, barsel eller fratrædelse skal kun oplyse skyldige feriedage i en af kolonnerne. </text>
  </threadedComment>
</ThreadedComments>
</file>

<file path=xl/threadedComments/threadedComment3.xml><?xml version="1.0" encoding="utf-8"?>
<ThreadedComments xmlns="http://schemas.microsoft.com/office/spreadsheetml/2018/threadedcomments" xmlns:x="http://schemas.openxmlformats.org/spreadsheetml/2006/main">
  <threadedComment ref="E3" dT="2019-09-17T10:46:06.21" personId="{EC1CC869-23FC-024D-A876-BDE7DE7FC7B7}" id="{CE2744AF-F4E2-D446-97F9-4F7599637F9D}">
    <text>Bruges særligt i forbindelse med opstart af daginstitution, hvor antallet af forældrebetalte rater i dette budgetår kan være lavere end i et helt almindeligt finansår.
Er daginstitutionen kørende og altså ikke nyopstartet skrives samme antal mdr. i begge celler.</text>
  </threadedComment>
  <threadedComment ref="T3" dT="2019-09-17T10:48:16.67" personId="{EC1CC869-23FC-024D-A876-BDE7DE7FC7B7}" id="{181D65AC-B732-3642-B9B1-7EBE4E540F62}">
    <text>Bruges særligt i forbindelse med opstart af daginstitution, hvor antallet af kommunal betalte rater i dette budgetår kan være lavere end i et helt almindeligt finansår.
Er daginstitutionen kørende og altså ikke nyopstartet skrives samme antal mdr. i begge celler.</text>
  </threadedComment>
  <threadedComment ref="E56" dT="2019-09-17T10:46:06.21" personId="{EC1CC869-23FC-024D-A876-BDE7DE7FC7B7}" id="{B02B7958-3E4A-7841-8A55-DE33D8167A1E}">
    <text>Bruges særligt i forbindelse med opstart af daginstitution, hvor antallet af forældrebetalte rater i dette budgetår kan være lavere end i et helt almindeligt finansår.
Er daginstitutionen kørende og altså ikke nyopstartet skrives samme antal mdr. i begge celler.</text>
  </threadedComment>
  <threadedComment ref="T56" dT="2019-09-17T10:48:16.67" personId="{EC1CC869-23FC-024D-A876-BDE7DE7FC7B7}" id="{380510AB-B41A-614F-A30F-597F22F22FDE}">
    <text>Bruges særligt i forbindelse med opstart af daginstitution, hvor antallet af kommunal betalte rater i dette budgetår kan være lavere end i et helt almindeligt finansår.
Er daginstitutionen kørende og altså ikke nyopstartet skrives samme antal mdr. i begge celler.</text>
  </threadedComment>
</ThreadedComment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drawing" Target="../drawings/drawing9.xm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zoomScale="150" zoomScaleNormal="100" workbookViewId="0">
      <selection activeCell="B36" sqref="B36"/>
    </sheetView>
  </sheetViews>
  <sheetFormatPr baseColWidth="10" defaultColWidth="11.5" defaultRowHeight="13"/>
  <cols>
    <col min="1" max="1" width="8" customWidth="1"/>
    <col min="10" max="10" width="21.83203125" customWidth="1"/>
  </cols>
  <sheetData>
    <row r="1" spans="1:10" s="2541" customFormat="1"/>
    <row r="2" spans="1:10" ht="25">
      <c r="A2" s="2544" t="s">
        <v>0</v>
      </c>
      <c r="B2" s="2544"/>
      <c r="C2" s="2544"/>
      <c r="D2" s="2544"/>
      <c r="E2" s="2544"/>
      <c r="F2" s="2544"/>
      <c r="G2" s="2544"/>
      <c r="H2" s="2544"/>
      <c r="I2" s="2544"/>
      <c r="J2" s="2544"/>
    </row>
    <row r="3" spans="1:10" ht="16">
      <c r="A3" s="2545" t="s">
        <v>1</v>
      </c>
      <c r="B3" s="2545"/>
      <c r="C3" s="2545"/>
      <c r="D3" s="2545"/>
      <c r="E3" s="2545"/>
      <c r="F3" s="2545"/>
      <c r="G3" s="2545"/>
      <c r="H3" s="2545"/>
      <c r="I3" s="2545"/>
      <c r="J3" s="2545"/>
    </row>
    <row r="4" spans="1:10" ht="16">
      <c r="A4" s="380"/>
      <c r="B4" s="380"/>
      <c r="C4" s="380"/>
      <c r="D4" s="380"/>
      <c r="E4" s="380"/>
      <c r="F4" s="380"/>
      <c r="G4" s="380"/>
      <c r="H4" s="380"/>
      <c r="I4" s="380"/>
      <c r="J4" s="380"/>
    </row>
    <row r="5" spans="1:10" ht="16">
      <c r="A5" s="381"/>
      <c r="B5" s="381"/>
      <c r="C5" s="381"/>
      <c r="D5" s="381"/>
      <c r="E5" s="381"/>
      <c r="F5" s="381"/>
      <c r="G5" s="381"/>
      <c r="H5" s="381"/>
      <c r="I5" s="381"/>
      <c r="J5" s="381"/>
    </row>
    <row r="6" spans="1:10" s="334" customFormat="1" ht="27" customHeight="1">
      <c r="A6" s="1011" t="s">
        <v>2</v>
      </c>
      <c r="B6" s="1012"/>
      <c r="C6" s="1012"/>
      <c r="D6" s="1012"/>
      <c r="E6" s="1012"/>
      <c r="F6" s="1012"/>
      <c r="G6" s="1012"/>
      <c r="H6" s="1012"/>
      <c r="I6" s="1012"/>
      <c r="J6" s="1013"/>
    </row>
    <row r="7" spans="1:10" s="334" customFormat="1" ht="14" customHeight="1">
      <c r="A7" s="2546" t="s">
        <v>3</v>
      </c>
      <c r="B7" s="2547"/>
      <c r="C7" s="2547"/>
      <c r="D7" s="2547"/>
      <c r="E7" s="2547"/>
      <c r="F7" s="2547"/>
      <c r="G7" s="2547"/>
      <c r="H7" s="2547"/>
      <c r="I7" s="2547"/>
      <c r="J7" s="2548"/>
    </row>
    <row r="8" spans="1:10" ht="19" customHeight="1">
      <c r="A8" s="2549" t="s">
        <v>4</v>
      </c>
      <c r="B8" s="2550"/>
      <c r="C8" s="2550"/>
      <c r="D8" s="2550"/>
      <c r="E8" s="2550"/>
      <c r="F8" s="2550"/>
      <c r="G8" s="2550"/>
      <c r="H8" s="2550"/>
      <c r="I8" s="2550"/>
      <c r="J8" s="2551"/>
    </row>
    <row r="9" spans="1:10" ht="17" customHeight="1">
      <c r="A9" s="2543">
        <v>1</v>
      </c>
      <c r="B9" s="2542" t="s">
        <v>5</v>
      </c>
      <c r="C9" s="2542"/>
      <c r="D9" s="2542"/>
      <c r="E9" s="2542"/>
      <c r="F9" s="2542"/>
      <c r="G9" s="2542"/>
      <c r="H9" s="2542"/>
      <c r="I9" s="2542"/>
      <c r="J9" s="2542"/>
    </row>
    <row r="10" spans="1:10" ht="18" customHeight="1">
      <c r="A10" s="2543"/>
      <c r="B10" s="2542"/>
      <c r="C10" s="2542"/>
      <c r="D10" s="2542"/>
      <c r="E10" s="2542"/>
      <c r="F10" s="2542"/>
      <c r="G10" s="2542"/>
      <c r="H10" s="2542"/>
      <c r="I10" s="2542"/>
      <c r="J10" s="2542"/>
    </row>
    <row r="11" spans="1:10" ht="35" customHeight="1">
      <c r="A11" s="2574">
        <v>2</v>
      </c>
      <c r="B11" s="2557" t="s">
        <v>6</v>
      </c>
      <c r="C11" s="2557"/>
      <c r="D11" s="2557"/>
      <c r="E11" s="2557"/>
      <c r="F11" s="2557"/>
      <c r="G11" s="2557"/>
      <c r="H11" s="2557"/>
      <c r="I11" s="2557"/>
      <c r="J11" s="2557"/>
    </row>
    <row r="12" spans="1:10" ht="37" customHeight="1">
      <c r="A12" s="2575"/>
      <c r="B12" s="2557"/>
      <c r="C12" s="2557"/>
      <c r="D12" s="2557"/>
      <c r="E12" s="2557"/>
      <c r="F12" s="2557"/>
      <c r="G12" s="2557"/>
      <c r="H12" s="2557"/>
      <c r="I12" s="2557"/>
      <c r="J12" s="2557"/>
    </row>
    <row r="13" spans="1:10" ht="18" customHeight="1">
      <c r="A13" s="2575"/>
      <c r="B13" s="2577" t="s">
        <v>7</v>
      </c>
      <c r="C13" s="2578"/>
      <c r="D13" s="2578"/>
      <c r="E13" s="2578"/>
      <c r="F13" s="2578"/>
      <c r="G13" s="2578"/>
      <c r="H13" s="2578"/>
      <c r="I13" s="2578"/>
      <c r="J13" s="2579"/>
    </row>
    <row r="14" spans="1:10" ht="17" customHeight="1">
      <c r="A14" s="2575"/>
      <c r="B14" s="2554" t="s">
        <v>8</v>
      </c>
      <c r="C14" s="2555"/>
      <c r="D14" s="2555"/>
      <c r="E14" s="2555"/>
      <c r="F14" s="2555"/>
      <c r="G14" s="2555"/>
      <c r="H14" s="2555"/>
      <c r="I14" s="2555"/>
      <c r="J14" s="2556"/>
    </row>
    <row r="15" spans="1:10" ht="18" customHeight="1">
      <c r="A15" s="2575"/>
      <c r="B15" s="2570" t="s">
        <v>9</v>
      </c>
      <c r="C15" s="2570"/>
      <c r="D15" s="2570"/>
      <c r="E15" s="2570"/>
      <c r="F15" s="2570"/>
      <c r="G15" s="2570"/>
      <c r="H15" s="2570"/>
      <c r="I15" s="2570"/>
      <c r="J15" s="2570"/>
    </row>
    <row r="16" spans="1:10" ht="2" customHeight="1">
      <c r="A16" s="2575"/>
      <c r="B16" s="2570"/>
      <c r="C16" s="2570"/>
      <c r="D16" s="2570"/>
      <c r="E16" s="2570"/>
      <c r="F16" s="2570"/>
      <c r="G16" s="2570"/>
      <c r="H16" s="2570"/>
      <c r="I16" s="2570"/>
      <c r="J16" s="2570"/>
    </row>
    <row r="17" spans="1:10" ht="38" customHeight="1">
      <c r="A17" s="2575"/>
      <c r="B17" s="2570"/>
      <c r="C17" s="2570"/>
      <c r="D17" s="2570"/>
      <c r="E17" s="2570"/>
      <c r="F17" s="2570"/>
      <c r="G17" s="2570"/>
      <c r="H17" s="2570"/>
      <c r="I17" s="2570"/>
      <c r="J17" s="2570"/>
    </row>
    <row r="18" spans="1:10" ht="15" hidden="1" customHeight="1">
      <c r="A18" s="2575"/>
      <c r="B18" s="2570"/>
      <c r="C18" s="2570"/>
      <c r="D18" s="2570"/>
      <c r="E18" s="2570"/>
      <c r="F18" s="2570"/>
      <c r="G18" s="2570"/>
      <c r="H18" s="2570"/>
      <c r="I18" s="2570"/>
      <c r="J18" s="2570"/>
    </row>
    <row r="19" spans="1:10" ht="18" customHeight="1">
      <c r="A19" s="2576"/>
      <c r="B19" s="2570"/>
      <c r="C19" s="2570"/>
      <c r="D19" s="2570"/>
      <c r="E19" s="2570"/>
      <c r="F19" s="2570"/>
      <c r="G19" s="2570"/>
      <c r="H19" s="2570"/>
      <c r="I19" s="2570"/>
      <c r="J19" s="2570"/>
    </row>
    <row r="20" spans="1:10" ht="14" customHeight="1">
      <c r="A20" s="2572">
        <v>3</v>
      </c>
      <c r="B20" s="2571" t="s">
        <v>10</v>
      </c>
      <c r="C20" s="2571"/>
      <c r="D20" s="2571"/>
      <c r="E20" s="2571"/>
      <c r="F20" s="2571"/>
      <c r="G20" s="2571"/>
      <c r="H20" s="2571"/>
      <c r="I20" s="2571"/>
      <c r="J20" s="2571"/>
    </row>
    <row r="21" spans="1:10" ht="18" customHeight="1">
      <c r="A21" s="2572"/>
      <c r="B21" s="2571"/>
      <c r="C21" s="2571"/>
      <c r="D21" s="2571"/>
      <c r="E21" s="2571"/>
      <c r="F21" s="2571"/>
      <c r="G21" s="2571"/>
      <c r="H21" s="2571"/>
      <c r="I21" s="2571"/>
      <c r="J21" s="2571"/>
    </row>
    <row r="22" spans="1:10" ht="18" customHeight="1">
      <c r="A22" s="2540">
        <v>4</v>
      </c>
      <c r="B22" s="2559" t="s">
        <v>11</v>
      </c>
      <c r="C22" s="2559"/>
      <c r="D22" s="2559"/>
      <c r="E22" s="2559"/>
      <c r="F22" s="2559"/>
      <c r="G22" s="2559"/>
      <c r="H22" s="2559"/>
      <c r="I22" s="2559"/>
      <c r="J22" s="2559"/>
    </row>
    <row r="23" spans="1:10" ht="1" customHeight="1">
      <c r="A23" s="2540"/>
      <c r="B23" s="2559"/>
      <c r="C23" s="2559"/>
      <c r="D23" s="2559"/>
      <c r="E23" s="2559"/>
      <c r="F23" s="2559"/>
      <c r="G23" s="2559"/>
      <c r="H23" s="2559"/>
      <c r="I23" s="2559"/>
      <c r="J23" s="2559"/>
    </row>
    <row r="24" spans="1:10" ht="18" customHeight="1">
      <c r="A24" s="2540"/>
      <c r="B24" s="2559"/>
      <c r="C24" s="2559"/>
      <c r="D24" s="2559"/>
      <c r="E24" s="2559"/>
      <c r="F24" s="2559"/>
      <c r="G24" s="2559"/>
      <c r="H24" s="2559"/>
      <c r="I24" s="2559"/>
      <c r="J24" s="2559"/>
    </row>
    <row r="25" spans="1:10" ht="68" customHeight="1">
      <c r="A25" s="2540">
        <v>5</v>
      </c>
      <c r="B25" s="2558" t="s">
        <v>12</v>
      </c>
      <c r="C25" s="2558"/>
      <c r="D25" s="2558"/>
      <c r="E25" s="2558"/>
      <c r="F25" s="2558"/>
      <c r="G25" s="2558"/>
      <c r="H25" s="2558"/>
      <c r="I25" s="2558"/>
      <c r="J25" s="2558"/>
    </row>
    <row r="26" spans="1:10" ht="13" customHeight="1">
      <c r="A26" s="2540"/>
      <c r="B26" s="2558"/>
      <c r="C26" s="2558"/>
      <c r="D26" s="2558"/>
      <c r="E26" s="2558"/>
      <c r="F26" s="2558"/>
      <c r="G26" s="2558"/>
      <c r="H26" s="2558"/>
      <c r="I26" s="2558"/>
      <c r="J26" s="2558"/>
    </row>
    <row r="27" spans="1:10" ht="18" customHeight="1">
      <c r="A27" s="2569">
        <v>7</v>
      </c>
      <c r="B27" s="2560" t="s">
        <v>13</v>
      </c>
      <c r="C27" s="2561"/>
      <c r="D27" s="2561"/>
      <c r="E27" s="2561"/>
      <c r="F27" s="2561"/>
      <c r="G27" s="2561"/>
      <c r="H27" s="2561"/>
      <c r="I27" s="2561"/>
      <c r="J27" s="2562"/>
    </row>
    <row r="28" spans="1:10" ht="18" customHeight="1">
      <c r="A28" s="2569"/>
      <c r="B28" s="2563"/>
      <c r="C28" s="2564"/>
      <c r="D28" s="2564"/>
      <c r="E28" s="2564"/>
      <c r="F28" s="2564"/>
      <c r="G28" s="2564"/>
      <c r="H28" s="2564"/>
      <c r="I28" s="2564"/>
      <c r="J28" s="2565"/>
    </row>
    <row r="29" spans="1:10" ht="18" customHeight="1">
      <c r="A29" s="2569"/>
      <c r="B29" s="2563"/>
      <c r="C29" s="2564"/>
      <c r="D29" s="2564"/>
      <c r="E29" s="2564"/>
      <c r="F29" s="2564"/>
      <c r="G29" s="2564"/>
      <c r="H29" s="2564"/>
      <c r="I29" s="2564"/>
      <c r="J29" s="2565"/>
    </row>
    <row r="30" spans="1:10" ht="45" customHeight="1">
      <c r="A30" s="2569"/>
      <c r="B30" s="2563"/>
      <c r="C30" s="2564"/>
      <c r="D30" s="2564"/>
      <c r="E30" s="2564"/>
      <c r="F30" s="2564"/>
      <c r="G30" s="2564"/>
      <c r="H30" s="2564"/>
      <c r="I30" s="2564"/>
      <c r="J30" s="2565"/>
    </row>
    <row r="31" spans="1:10" ht="5" customHeight="1">
      <c r="A31" s="2569"/>
      <c r="B31" s="2566"/>
      <c r="C31" s="2567"/>
      <c r="D31" s="2567"/>
      <c r="E31" s="2567"/>
      <c r="F31" s="2567"/>
      <c r="G31" s="2567"/>
      <c r="H31" s="2567"/>
      <c r="I31" s="2567"/>
      <c r="J31" s="2568"/>
    </row>
    <row r="32" spans="1:10" ht="18" customHeight="1">
      <c r="A32" s="2569">
        <v>8</v>
      </c>
      <c r="B32" s="2573" t="s">
        <v>14</v>
      </c>
      <c r="C32" s="2573"/>
      <c r="D32" s="2573"/>
      <c r="E32" s="2573"/>
      <c r="F32" s="2573"/>
      <c r="G32" s="2573"/>
      <c r="H32" s="2573"/>
      <c r="I32" s="2573"/>
      <c r="J32" s="2573"/>
    </row>
    <row r="33" spans="1:10" ht="18" customHeight="1">
      <c r="A33" s="2569"/>
      <c r="B33" s="2573"/>
      <c r="C33" s="2573"/>
      <c r="D33" s="2573"/>
      <c r="E33" s="2573"/>
      <c r="F33" s="2573"/>
      <c r="G33" s="2573"/>
      <c r="H33" s="2573"/>
      <c r="I33" s="2573"/>
      <c r="J33" s="2573"/>
    </row>
    <row r="34" spans="1:10" ht="101" customHeight="1">
      <c r="A34" s="2553">
        <v>9</v>
      </c>
      <c r="B34" s="2552" t="s">
        <v>15</v>
      </c>
      <c r="C34" s="2552"/>
      <c r="D34" s="2552"/>
      <c r="E34" s="2552"/>
      <c r="F34" s="2552"/>
      <c r="G34" s="2552"/>
      <c r="H34" s="2552"/>
      <c r="I34" s="2552"/>
      <c r="J34" s="2552"/>
    </row>
    <row r="35" spans="1:10">
      <c r="A35" s="2553"/>
      <c r="B35" s="2552"/>
      <c r="C35" s="2552"/>
      <c r="D35" s="2552"/>
      <c r="E35" s="2552"/>
      <c r="F35" s="2552"/>
      <c r="G35" s="2552"/>
      <c r="H35" s="2552"/>
      <c r="I35" s="2552"/>
      <c r="J35" s="2552"/>
    </row>
  </sheetData>
  <mergeCells count="24">
    <mergeCell ref="B34:J35"/>
    <mergeCell ref="A34:A35"/>
    <mergeCell ref="B14:J14"/>
    <mergeCell ref="B11:J12"/>
    <mergeCell ref="B25:J26"/>
    <mergeCell ref="B22:J24"/>
    <mergeCell ref="B27:J31"/>
    <mergeCell ref="A27:A31"/>
    <mergeCell ref="B15:J19"/>
    <mergeCell ref="B20:J21"/>
    <mergeCell ref="A20:A21"/>
    <mergeCell ref="A22:A24"/>
    <mergeCell ref="B32:J33"/>
    <mergeCell ref="A11:A19"/>
    <mergeCell ref="B13:J13"/>
    <mergeCell ref="A32:A33"/>
    <mergeCell ref="A25:A26"/>
    <mergeCell ref="A1:XFD1"/>
    <mergeCell ref="B9:J10"/>
    <mergeCell ref="A9:A10"/>
    <mergeCell ref="A2:J2"/>
    <mergeCell ref="A3:J3"/>
    <mergeCell ref="A7:J7"/>
    <mergeCell ref="A8:J8"/>
  </mergeCells>
  <phoneticPr fontId="55" type="noConversion"/>
  <pageMargins left="0.7" right="0.7" top="0.75" bottom="0.75" header="0.3" footer="0.3"/>
  <pageSetup paperSize="9" scale="51" orientation="portrait" horizontalDpi="0" verticalDpi="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2AF3-9BD9-8646-8CD8-7044FDBF6030}">
  <sheetPr>
    <tabColor rgb="FFFFFF00"/>
  </sheetPr>
  <dimension ref="A1:J29"/>
  <sheetViews>
    <sheetView topLeftCell="A7" workbookViewId="0">
      <selection activeCell="A19" sqref="A19:J19"/>
    </sheetView>
  </sheetViews>
  <sheetFormatPr baseColWidth="10" defaultColWidth="11.5" defaultRowHeight="13"/>
  <sheetData>
    <row r="1" spans="1:10" ht="20">
      <c r="A1" s="2601" t="s">
        <v>16</v>
      </c>
      <c r="B1" s="2602"/>
      <c r="C1" s="2602"/>
      <c r="D1" s="2602"/>
      <c r="E1" s="2602"/>
      <c r="F1" s="2602"/>
      <c r="G1" s="2602"/>
      <c r="H1" s="2602"/>
      <c r="I1" s="2602"/>
      <c r="J1" s="2603"/>
    </row>
    <row r="2" spans="1:10" ht="16">
      <c r="A2" s="884" t="s">
        <v>17</v>
      </c>
      <c r="B2" s="793"/>
      <c r="C2" s="793"/>
      <c r="D2" s="793"/>
      <c r="E2" s="793"/>
      <c r="F2" s="793"/>
      <c r="G2" s="793"/>
      <c r="H2" s="793"/>
      <c r="I2" s="793"/>
      <c r="J2" s="794"/>
    </row>
    <row r="3" spans="1:10" ht="44" customHeight="1">
      <c r="A3" s="885" t="s">
        <v>18</v>
      </c>
      <c r="B3" s="793"/>
      <c r="C3" s="793"/>
      <c r="D3" s="793"/>
      <c r="E3" s="793"/>
      <c r="F3" s="793"/>
      <c r="G3" s="793"/>
      <c r="H3" s="793"/>
      <c r="I3" s="793"/>
      <c r="J3" s="794"/>
    </row>
    <row r="4" spans="1:10" ht="33" customHeight="1">
      <c r="A4" s="2589" t="s">
        <v>19</v>
      </c>
      <c r="B4" s="2590"/>
      <c r="C4" s="2590"/>
      <c r="D4" s="2590"/>
      <c r="E4" s="2590"/>
      <c r="F4" s="2590"/>
      <c r="G4" s="2590"/>
      <c r="H4" s="2590"/>
      <c r="I4" s="2590"/>
      <c r="J4" s="2591"/>
    </row>
    <row r="5" spans="1:10" ht="20" customHeight="1">
      <c r="A5" s="2589" t="s">
        <v>20</v>
      </c>
      <c r="B5" s="2590"/>
      <c r="C5" s="2590"/>
      <c r="D5" s="2590"/>
      <c r="E5" s="2590"/>
      <c r="F5" s="2590"/>
      <c r="G5" s="2590"/>
      <c r="H5" s="2590"/>
      <c r="I5" s="2590"/>
      <c r="J5" s="2591"/>
    </row>
    <row r="6" spans="1:10" ht="38" customHeight="1">
      <c r="A6" s="2604" t="s">
        <v>21</v>
      </c>
      <c r="B6" s="2605"/>
      <c r="C6" s="2605"/>
      <c r="D6" s="2605"/>
      <c r="E6" s="2605"/>
      <c r="F6" s="2605"/>
      <c r="G6" s="2605"/>
      <c r="H6" s="2605"/>
      <c r="I6" s="2605"/>
      <c r="J6" s="2606"/>
    </row>
    <row r="7" spans="1:10" ht="51" customHeight="1">
      <c r="A7" s="2607" t="s">
        <v>22</v>
      </c>
      <c r="B7" s="2608"/>
      <c r="C7" s="2608"/>
      <c r="D7" s="2608"/>
      <c r="E7" s="2608"/>
      <c r="F7" s="2608"/>
      <c r="G7" s="2608"/>
      <c r="H7" s="2608"/>
      <c r="I7" s="2608"/>
      <c r="J7" s="2609"/>
    </row>
    <row r="8" spans="1:10" ht="47" customHeight="1">
      <c r="A8" s="2607" t="s">
        <v>23</v>
      </c>
      <c r="B8" s="2608"/>
      <c r="C8" s="2608"/>
      <c r="D8" s="2608"/>
      <c r="E8" s="2608"/>
      <c r="F8" s="2608"/>
      <c r="G8" s="2608"/>
      <c r="H8" s="2608"/>
      <c r="I8" s="2608"/>
      <c r="J8" s="2609"/>
    </row>
    <row r="9" spans="1:10" ht="57" customHeight="1">
      <c r="A9" s="2607" t="s">
        <v>24</v>
      </c>
      <c r="B9" s="2608"/>
      <c r="C9" s="2608"/>
      <c r="D9" s="2608"/>
      <c r="E9" s="2608"/>
      <c r="F9" s="2608"/>
      <c r="G9" s="2608"/>
      <c r="H9" s="2608"/>
      <c r="I9" s="2608"/>
      <c r="J9" s="2609"/>
    </row>
    <row r="10" spans="1:10" ht="80" customHeight="1">
      <c r="A10" s="2607" t="s">
        <v>25</v>
      </c>
      <c r="B10" s="2608"/>
      <c r="C10" s="2608"/>
      <c r="D10" s="2608"/>
      <c r="E10" s="2608"/>
      <c r="F10" s="2608"/>
      <c r="G10" s="2608"/>
      <c r="H10" s="2608"/>
      <c r="I10" s="2608"/>
      <c r="J10" s="2609"/>
    </row>
    <row r="11" spans="1:10" ht="50" customHeight="1">
      <c r="A11" s="2607" t="s">
        <v>26</v>
      </c>
      <c r="B11" s="2608"/>
      <c r="C11" s="2608"/>
      <c r="D11" s="2608"/>
      <c r="E11" s="2608"/>
      <c r="F11" s="2608"/>
      <c r="G11" s="2608"/>
      <c r="H11" s="2608"/>
      <c r="I11" s="2608"/>
      <c r="J11" s="2609"/>
    </row>
    <row r="12" spans="1:10" ht="36" customHeight="1">
      <c r="A12" s="2604" t="s">
        <v>27</v>
      </c>
      <c r="B12" s="2605"/>
      <c r="C12" s="2605"/>
      <c r="D12" s="2605"/>
      <c r="E12" s="2605"/>
      <c r="F12" s="2605"/>
      <c r="G12" s="2605"/>
      <c r="H12" s="2605"/>
      <c r="I12" s="2605"/>
      <c r="J12" s="2606"/>
    </row>
    <row r="13" spans="1:10" ht="22" customHeight="1">
      <c r="A13" s="2589" t="s">
        <v>28</v>
      </c>
      <c r="B13" s="2590"/>
      <c r="C13" s="2590"/>
      <c r="D13" s="2590"/>
      <c r="E13" s="2590"/>
      <c r="F13" s="2590"/>
      <c r="G13" s="2590"/>
      <c r="H13" s="2590"/>
      <c r="I13" s="2590"/>
      <c r="J13" s="2591"/>
    </row>
    <row r="14" spans="1:10" ht="22" customHeight="1">
      <c r="A14" s="2589" t="s">
        <v>29</v>
      </c>
      <c r="B14" s="2590"/>
      <c r="C14" s="2590"/>
      <c r="D14" s="2590"/>
      <c r="E14" s="2590"/>
      <c r="F14" s="2590"/>
      <c r="G14" s="2590"/>
      <c r="H14" s="2590"/>
      <c r="I14" s="2590"/>
      <c r="J14" s="2591"/>
    </row>
    <row r="15" spans="1:10" ht="22" customHeight="1">
      <c r="A15" s="2589" t="s">
        <v>30</v>
      </c>
      <c r="B15" s="2590"/>
      <c r="C15" s="2590"/>
      <c r="D15" s="2590"/>
      <c r="E15" s="2590"/>
      <c r="F15" s="2590"/>
      <c r="G15" s="2590"/>
      <c r="H15" s="2590"/>
      <c r="I15" s="2590"/>
      <c r="J15" s="2591"/>
    </row>
    <row r="16" spans="1:10" ht="22" customHeight="1">
      <c r="A16" s="2589" t="s">
        <v>31</v>
      </c>
      <c r="B16" s="2590"/>
      <c r="C16" s="2590"/>
      <c r="D16" s="2590"/>
      <c r="E16" s="2590"/>
      <c r="F16" s="2590"/>
      <c r="G16" s="2590"/>
      <c r="H16" s="2590"/>
      <c r="I16" s="2590"/>
      <c r="J16" s="2591"/>
    </row>
    <row r="17" spans="1:10" ht="22" customHeight="1">
      <c r="A17" s="2589" t="s">
        <v>32</v>
      </c>
      <c r="B17" s="2590"/>
      <c r="C17" s="2590"/>
      <c r="D17" s="2590"/>
      <c r="E17" s="2590"/>
      <c r="F17" s="2590"/>
      <c r="G17" s="2590"/>
      <c r="H17" s="2590"/>
      <c r="I17" s="2590"/>
      <c r="J17" s="2591"/>
    </row>
    <row r="18" spans="1:10" ht="22" customHeight="1">
      <c r="A18" s="2589" t="s">
        <v>33</v>
      </c>
      <c r="B18" s="2590"/>
      <c r="C18" s="2590"/>
      <c r="D18" s="2590"/>
      <c r="E18" s="2590"/>
      <c r="F18" s="2590"/>
      <c r="G18" s="2590"/>
      <c r="H18" s="2590"/>
      <c r="I18" s="2590"/>
      <c r="J18" s="2591"/>
    </row>
    <row r="19" spans="1:10" ht="22" customHeight="1">
      <c r="A19" s="2589" t="s">
        <v>34</v>
      </c>
      <c r="B19" s="2590"/>
      <c r="C19" s="2590"/>
      <c r="D19" s="2590"/>
      <c r="E19" s="2590"/>
      <c r="F19" s="2590"/>
      <c r="G19" s="2590"/>
      <c r="H19" s="2590"/>
      <c r="I19" s="2590"/>
      <c r="J19" s="2591"/>
    </row>
    <row r="20" spans="1:10" ht="22" customHeight="1" thickBot="1">
      <c r="A20" s="2592" t="s">
        <v>35</v>
      </c>
      <c r="B20" s="2593"/>
      <c r="C20" s="2593"/>
      <c r="D20" s="2593"/>
      <c r="E20" s="2593"/>
      <c r="F20" s="2593"/>
      <c r="G20" s="2593"/>
      <c r="H20" s="2593"/>
      <c r="I20" s="2593"/>
      <c r="J20" s="2594"/>
    </row>
    <row r="21" spans="1:10" ht="88" customHeight="1" thickBot="1">
      <c r="A21" s="2598" t="s">
        <v>1556</v>
      </c>
      <c r="B21" s="2599"/>
      <c r="C21" s="2599"/>
      <c r="D21" s="2599"/>
      <c r="E21" s="2599"/>
      <c r="F21" s="2599"/>
      <c r="G21" s="2599"/>
      <c r="H21" s="2599"/>
      <c r="I21" s="2599"/>
      <c r="J21" s="2600"/>
    </row>
    <row r="22" spans="1:10" ht="31" customHeight="1">
      <c r="A22" s="2595" t="s">
        <v>36</v>
      </c>
      <c r="B22" s="2596"/>
      <c r="C22" s="2596"/>
      <c r="D22" s="2596"/>
      <c r="E22" s="2596"/>
      <c r="F22" s="2596"/>
      <c r="G22" s="2596"/>
      <c r="H22" s="2596"/>
      <c r="I22" s="2596"/>
      <c r="J22" s="2597"/>
    </row>
    <row r="23" spans="1:10" ht="71" customHeight="1">
      <c r="A23" s="2580" t="s">
        <v>37</v>
      </c>
      <c r="B23" s="2581"/>
      <c r="C23" s="2581"/>
      <c r="D23" s="2581"/>
      <c r="E23" s="2581"/>
      <c r="F23" s="2581"/>
      <c r="G23" s="2581"/>
      <c r="H23" s="2581"/>
      <c r="I23" s="2581"/>
      <c r="J23" s="2582"/>
    </row>
    <row r="24" spans="1:10" ht="67" customHeight="1">
      <c r="A24" s="2580" t="s">
        <v>38</v>
      </c>
      <c r="B24" s="2581"/>
      <c r="C24" s="2581"/>
      <c r="D24" s="2581"/>
      <c r="E24" s="2581"/>
      <c r="F24" s="2581"/>
      <c r="G24" s="2581"/>
      <c r="H24" s="2581"/>
      <c r="I24" s="2581"/>
      <c r="J24" s="2582"/>
    </row>
    <row r="25" spans="1:10" ht="17" customHeight="1">
      <c r="A25" s="886" t="s">
        <v>39</v>
      </c>
      <c r="B25" s="696"/>
      <c r="C25" s="696"/>
      <c r="D25" s="696"/>
      <c r="E25" s="696"/>
      <c r="F25" s="696"/>
      <c r="G25" s="696"/>
      <c r="H25" s="696"/>
      <c r="I25" s="696"/>
      <c r="J25" s="697"/>
    </row>
    <row r="26" spans="1:10" ht="18" customHeight="1">
      <c r="A26" s="887" t="s">
        <v>40</v>
      </c>
      <c r="B26" s="696"/>
      <c r="C26" s="696"/>
      <c r="D26" s="696"/>
      <c r="E26" s="696"/>
      <c r="F26" s="696"/>
      <c r="G26" s="696"/>
      <c r="H26" s="696"/>
      <c r="I26" s="696"/>
      <c r="J26" s="697"/>
    </row>
    <row r="27" spans="1:10" ht="81" customHeight="1">
      <c r="A27" s="2583" t="s">
        <v>41</v>
      </c>
      <c r="B27" s="2584"/>
      <c r="C27" s="2584"/>
      <c r="D27" s="2584"/>
      <c r="E27" s="2584"/>
      <c r="F27" s="2584"/>
      <c r="G27" s="2584"/>
      <c r="H27" s="2584"/>
      <c r="I27" s="2584"/>
      <c r="J27" s="2585"/>
    </row>
    <row r="28" spans="1:10" ht="22" customHeight="1">
      <c r="A28" s="888" t="s">
        <v>42</v>
      </c>
      <c r="B28" s="696"/>
      <c r="C28" s="696"/>
      <c r="D28" s="696"/>
      <c r="E28" s="696"/>
      <c r="F28" s="696"/>
      <c r="G28" s="696"/>
      <c r="H28" s="696"/>
      <c r="I28" s="696"/>
      <c r="J28" s="697"/>
    </row>
    <row r="29" spans="1:10" s="334" customFormat="1" ht="36" customHeight="1" thickBot="1">
      <c r="A29" s="2586" t="s">
        <v>43</v>
      </c>
      <c r="B29" s="2587"/>
      <c r="C29" s="2587"/>
      <c r="D29" s="2587"/>
      <c r="E29" s="2587"/>
      <c r="F29" s="2587"/>
      <c r="G29" s="2587"/>
      <c r="H29" s="2587"/>
      <c r="I29" s="2587"/>
      <c r="J29" s="2588"/>
    </row>
  </sheetData>
  <sheetProtection sheet="1" objects="1" scenarios="1"/>
  <mergeCells count="24">
    <mergeCell ref="A13:J13"/>
    <mergeCell ref="A16:J16"/>
    <mergeCell ref="A17:J17"/>
    <mergeCell ref="A9:J9"/>
    <mergeCell ref="A5:J5"/>
    <mergeCell ref="A10:J10"/>
    <mergeCell ref="A11:J11"/>
    <mergeCell ref="A12:J12"/>
    <mergeCell ref="A1:J1"/>
    <mergeCell ref="A4:J4"/>
    <mergeCell ref="A6:J6"/>
    <mergeCell ref="A7:J7"/>
    <mergeCell ref="A8:J8"/>
    <mergeCell ref="A18:J18"/>
    <mergeCell ref="A22:J22"/>
    <mergeCell ref="A23:J23"/>
    <mergeCell ref="A21:J21"/>
    <mergeCell ref="A14:J14"/>
    <mergeCell ref="A15:J15"/>
    <mergeCell ref="A24:J24"/>
    <mergeCell ref="A27:J27"/>
    <mergeCell ref="A29:J29"/>
    <mergeCell ref="A19:J19"/>
    <mergeCell ref="A20:J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6B02-35F1-2741-8572-8FBA4BF3BA17}">
  <sheetPr>
    <tabColor rgb="FFFFFF00"/>
  </sheetPr>
  <dimension ref="A1:G83"/>
  <sheetViews>
    <sheetView topLeftCell="A35" workbookViewId="0">
      <selection activeCell="A83" sqref="A83:G83"/>
    </sheetView>
  </sheetViews>
  <sheetFormatPr baseColWidth="10" defaultColWidth="11.5" defaultRowHeight="13"/>
  <sheetData>
    <row r="1" spans="1:7" ht="18">
      <c r="A1" s="2623" t="s">
        <v>44</v>
      </c>
      <c r="B1" s="2623"/>
      <c r="C1" s="2623"/>
      <c r="D1" s="2623"/>
      <c r="E1" s="2623"/>
      <c r="F1" s="2623"/>
      <c r="G1" s="2623"/>
    </row>
    <row r="2" spans="1:7" ht="49" customHeight="1">
      <c r="A2" s="2626" t="s">
        <v>45</v>
      </c>
      <c r="B2" s="2626"/>
      <c r="C2" s="2626"/>
      <c r="D2" s="2626"/>
      <c r="E2" s="2626"/>
      <c r="F2" s="2626"/>
      <c r="G2" s="2626"/>
    </row>
    <row r="3" spans="1:7" ht="16">
      <c r="A3" s="388"/>
      <c r="B3" s="388"/>
    </row>
    <row r="4" spans="1:7" ht="18">
      <c r="A4" s="2628" t="s">
        <v>46</v>
      </c>
      <c r="B4" s="2628"/>
      <c r="C4" s="2628"/>
      <c r="D4" s="2628"/>
      <c r="E4" s="2628"/>
      <c r="F4" s="2628"/>
      <c r="G4" s="2628"/>
    </row>
    <row r="5" spans="1:7" ht="16">
      <c r="A5" s="2627" t="s">
        <v>47</v>
      </c>
      <c r="B5" s="2627"/>
      <c r="C5" s="2627"/>
      <c r="D5" s="2627"/>
      <c r="E5" s="2627"/>
      <c r="F5" s="2627"/>
      <c r="G5" s="2627"/>
    </row>
    <row r="6" spans="1:7" ht="16">
      <c r="A6" s="2627" t="s">
        <v>48</v>
      </c>
      <c r="B6" s="2627"/>
      <c r="C6" s="2627"/>
      <c r="D6" s="2627"/>
      <c r="E6" s="2627"/>
      <c r="F6" s="2627"/>
      <c r="G6" s="2627"/>
    </row>
    <row r="7" spans="1:7" ht="31" customHeight="1">
      <c r="A7" s="2584" t="s">
        <v>49</v>
      </c>
      <c r="B7" s="2584"/>
      <c r="C7" s="2584"/>
      <c r="D7" s="2584"/>
      <c r="E7" s="2584"/>
      <c r="F7" s="2584"/>
      <c r="G7" s="2584"/>
    </row>
    <row r="8" spans="1:7" ht="34" customHeight="1">
      <c r="A8" s="2584" t="s">
        <v>50</v>
      </c>
      <c r="B8" s="2584"/>
      <c r="C8" s="2584"/>
      <c r="D8" s="2584"/>
      <c r="E8" s="2584"/>
      <c r="F8" s="2584"/>
      <c r="G8" s="2584"/>
    </row>
    <row r="9" spans="1:7" ht="16">
      <c r="A9" s="2627" t="s">
        <v>51</v>
      </c>
      <c r="B9" s="2627"/>
      <c r="C9" s="2627"/>
      <c r="D9" s="2627"/>
      <c r="E9" s="2627"/>
      <c r="F9" s="2627"/>
      <c r="G9" s="2627"/>
    </row>
    <row r="10" spans="1:7" ht="16">
      <c r="A10" s="2627" t="s">
        <v>52</v>
      </c>
      <c r="B10" s="2627"/>
      <c r="C10" s="2627"/>
      <c r="D10" s="2627"/>
      <c r="E10" s="2627"/>
      <c r="F10" s="2627"/>
      <c r="G10" s="2627"/>
    </row>
    <row r="11" spans="1:7" ht="16">
      <c r="A11" s="2627" t="s">
        <v>53</v>
      </c>
      <c r="B11" s="2627"/>
      <c r="C11" s="2627"/>
      <c r="D11" s="2627"/>
      <c r="E11" s="2627"/>
      <c r="F11" s="2627"/>
      <c r="G11" s="2627"/>
    </row>
    <row r="12" spans="1:7" ht="16">
      <c r="A12" s="388"/>
      <c r="B12" s="388"/>
    </row>
    <row r="13" spans="1:7" ht="18">
      <c r="A13" s="2624" t="s">
        <v>54</v>
      </c>
      <c r="B13" s="2624"/>
      <c r="C13" s="2624"/>
      <c r="D13" s="2624"/>
      <c r="E13" s="2624"/>
      <c r="F13" s="2624"/>
      <c r="G13" s="2624"/>
    </row>
    <row r="14" spans="1:7" ht="52" customHeight="1">
      <c r="A14" s="2625" t="str">
        <f>"Hvis skolen har heltids-SFO, børnehave og vuggestue skal børnetallene herfor oplyses i hhv. G7, G8 og G9. Gør man ikke det beregnes budgettallene for "&amp;budgetår+1&amp;" ikke."</f>
        <v>Hvis skolen har heltids-SFO, børnehave og vuggestue skal børnetallene herfor oplyses i hhv. G7, G8 og G9. Gør man ikke det beregnes budgettallene for 2026 ikke.</v>
      </c>
      <c r="B14" s="2625"/>
      <c r="C14" s="2625"/>
      <c r="D14" s="2625"/>
      <c r="E14" s="2625"/>
      <c r="F14" s="2625"/>
      <c r="G14" s="2625"/>
    </row>
    <row r="15" spans="1:7" ht="56" customHeight="1">
      <c r="A15" s="2625" t="str">
        <f>"Tast regnskabstal for "&amp;budgetår-2&amp;" og forventede tal for "&amp;budgetår-1&amp;". Tallene bruges til at sammenligne, og se til om budgettet giver mening i forhold til elevtal, indtægter og udgifter."</f>
        <v>Tast regnskabstal for 2023 og forventede tal for 2024. Tallene bruges til at sammenligne, og se til om budgettet giver mening i forhold til elevtal, indtægter og udgifter.</v>
      </c>
      <c r="B15" s="2625"/>
      <c r="C15" s="2625"/>
      <c r="D15" s="2625"/>
      <c r="E15" s="2625"/>
      <c r="F15" s="2625"/>
      <c r="G15" s="2625"/>
    </row>
    <row r="16" spans="1:7" ht="16">
      <c r="A16" s="388"/>
      <c r="B16" s="388"/>
    </row>
    <row r="17" spans="1:7" ht="18">
      <c r="A17" s="713" t="s">
        <v>55</v>
      </c>
      <c r="B17" s="714"/>
      <c r="C17" s="715"/>
      <c r="D17" s="715"/>
      <c r="E17" s="715"/>
      <c r="F17" s="715"/>
      <c r="G17" s="715"/>
    </row>
    <row r="18" spans="1:7" ht="85" customHeight="1">
      <c r="A18" s="2629" t="s">
        <v>56</v>
      </c>
      <c r="B18" s="2629"/>
      <c r="C18" s="2629"/>
      <c r="D18" s="2629"/>
      <c r="E18" s="2629"/>
      <c r="F18" s="2629"/>
      <c r="G18" s="2629"/>
    </row>
    <row r="19" spans="1:7" ht="16">
      <c r="A19" s="388"/>
      <c r="B19" s="388"/>
    </row>
    <row r="20" spans="1:7" ht="18">
      <c r="A20" s="2620" t="s">
        <v>57</v>
      </c>
      <c r="B20" s="2620"/>
      <c r="C20" s="2620"/>
      <c r="D20" s="2620"/>
      <c r="E20" s="2620"/>
      <c r="F20" s="2620"/>
      <c r="G20" s="2620"/>
    </row>
    <row r="21" spans="1:7" ht="41" customHeight="1">
      <c r="A21" s="2619" t="str">
        <f>"Ansættelsesmåneder. Check de rette antal mdr. hver enkelt medarbejder er ansat i hhv. "&amp;budgetår&amp;" række 9 og "&amp;budgetår+1&amp;" række 10.."</f>
        <v>Ansættelsesmåneder. Check de rette antal mdr. hver enkelt medarbejder er ansat i hhv. 2025 række 9 og 2026 række 10..</v>
      </c>
      <c r="B21" s="2619"/>
      <c r="C21" s="2619"/>
      <c r="D21" s="2619"/>
      <c r="E21" s="2619"/>
      <c r="F21" s="2619"/>
      <c r="G21" s="2619"/>
    </row>
    <row r="22" spans="1:7" ht="18" customHeight="1">
      <c r="A22" s="2618" t="s">
        <v>58</v>
      </c>
      <c r="B22" s="2618"/>
      <c r="C22" s="2618"/>
      <c r="D22" s="2618"/>
      <c r="E22" s="2618"/>
      <c r="F22" s="2618"/>
      <c r="G22" s="2618"/>
    </row>
    <row r="23" spans="1:7" ht="56" customHeight="1">
      <c r="A23" s="2619" t="s">
        <v>59</v>
      </c>
      <c r="B23" s="2619"/>
      <c r="C23" s="2619"/>
      <c r="D23" s="2619"/>
      <c r="E23" s="2619"/>
      <c r="F23" s="2619"/>
      <c r="G23" s="2619"/>
    </row>
    <row r="24" spans="1:7" ht="22" customHeight="1">
      <c r="A24" s="2618" t="str">
        <f>"Seniorbonusordning. Er den ansatte fyldt 62 år i "&amp;budgetår&amp;" svar Ja i række 13 og 14."</f>
        <v>Seniorbonusordning. Er den ansatte fyldt 62 år i 2025 svar Ja i række 13 og 14.</v>
      </c>
      <c r="B24" s="2618"/>
      <c r="C24" s="2618"/>
      <c r="D24" s="2618"/>
      <c r="E24" s="2618"/>
      <c r="F24" s="2618"/>
      <c r="G24" s="2618"/>
    </row>
    <row r="25" spans="1:7" ht="21" customHeight="1">
      <c r="A25" s="2618" t="str">
        <f>"Seniorbonusordning. Er den ansatte fyldt 62 år i "&amp;budgetår+1&amp;" svar Ja i række 14."</f>
        <v>Seniorbonusordning. Er den ansatte fyldt 62 år i 2026 svar Ja i række 14.</v>
      </c>
      <c r="B25" s="2618"/>
      <c r="C25" s="2618"/>
      <c r="D25" s="2618"/>
      <c r="E25" s="2618"/>
      <c r="F25" s="2618"/>
      <c r="G25" s="2618"/>
    </row>
    <row r="26" spans="1:7" ht="40" customHeight="1">
      <c r="A26" s="2619" t="s">
        <v>60</v>
      </c>
      <c r="B26" s="2619"/>
      <c r="C26" s="2619"/>
      <c r="D26" s="2619"/>
      <c r="E26" s="2619"/>
      <c r="F26" s="2619"/>
      <c r="G26" s="2619"/>
    </row>
    <row r="27" spans="1:7" ht="20" customHeight="1">
      <c r="A27" s="2618" t="s">
        <v>61</v>
      </c>
      <c r="B27" s="2618"/>
      <c r="C27" s="2618"/>
      <c r="D27" s="2618"/>
      <c r="E27" s="2618"/>
      <c r="F27" s="2618"/>
      <c r="G27" s="2618"/>
    </row>
    <row r="28" spans="1:7" ht="105" customHeight="1">
      <c r="A28" s="2619" t="s">
        <v>62</v>
      </c>
      <c r="B28" s="2619"/>
      <c r="C28" s="2619"/>
      <c r="D28" s="2619"/>
      <c r="E28" s="2619"/>
      <c r="F28" s="2619"/>
      <c r="G28" s="2619"/>
    </row>
    <row r="29" spans="1:7" ht="22" customHeight="1">
      <c r="A29" s="716" t="s">
        <v>63</v>
      </c>
      <c r="B29" s="716"/>
      <c r="C29" s="717"/>
      <c r="D29" s="717"/>
      <c r="E29" s="717"/>
      <c r="F29" s="717"/>
      <c r="G29" s="717"/>
    </row>
    <row r="30" spans="1:7" ht="40" customHeight="1">
      <c r="A30" s="2619" t="s">
        <v>64</v>
      </c>
      <c r="B30" s="2619"/>
      <c r="C30" s="2619"/>
      <c r="D30" s="2619"/>
      <c r="E30" s="2619"/>
      <c r="F30" s="2619"/>
      <c r="G30" s="2619"/>
    </row>
    <row r="31" spans="1:7" ht="56" customHeight="1">
      <c r="A31" s="2619" t="s">
        <v>65</v>
      </c>
      <c r="B31" s="2619"/>
      <c r="C31" s="2619"/>
      <c r="D31" s="2619"/>
      <c r="E31" s="2619"/>
      <c r="F31" s="2619"/>
      <c r="G31" s="2619"/>
    </row>
    <row r="32" spans="1:7" ht="57" customHeight="1">
      <c r="A32" s="2619" t="s">
        <v>66</v>
      </c>
      <c r="B32" s="2619"/>
      <c r="C32" s="2619"/>
      <c r="D32" s="2619"/>
      <c r="E32" s="2619"/>
      <c r="F32" s="2619"/>
      <c r="G32" s="2619"/>
    </row>
    <row r="33" spans="1:7" ht="38" customHeight="1">
      <c r="A33" s="2619" t="s">
        <v>67</v>
      </c>
      <c r="B33" s="2619"/>
      <c r="C33" s="2619"/>
      <c r="D33" s="2619"/>
      <c r="E33" s="2619"/>
      <c r="F33" s="2619"/>
      <c r="G33" s="2619"/>
    </row>
    <row r="34" spans="1:7" ht="39" customHeight="1">
      <c r="A34" s="2619" t="s">
        <v>68</v>
      </c>
      <c r="B34" s="2619"/>
      <c r="C34" s="2619"/>
      <c r="D34" s="2619"/>
      <c r="E34" s="2619"/>
      <c r="F34" s="2619"/>
      <c r="G34" s="2619"/>
    </row>
    <row r="35" spans="1:7" ht="56" customHeight="1">
      <c r="A35" s="2619" t="s">
        <v>69</v>
      </c>
      <c r="B35" s="2619"/>
      <c r="C35" s="2619"/>
      <c r="D35" s="2619"/>
      <c r="E35" s="2619"/>
      <c r="F35" s="2619"/>
      <c r="G35" s="2619"/>
    </row>
    <row r="36" spans="1:7" ht="21" customHeight="1">
      <c r="A36" s="2618" t="s">
        <v>70</v>
      </c>
      <c r="B36" s="2618"/>
      <c r="C36" s="2618"/>
      <c r="D36" s="2618"/>
      <c r="E36" s="2618"/>
      <c r="F36" s="2618"/>
      <c r="G36" s="2618"/>
    </row>
    <row r="37" spans="1:7" ht="38" customHeight="1">
      <c r="A37" s="2619" t="str">
        <f>"Ferietillæg udgør en stor løndel, og er vigtig at huske. I række 63 oplyses antal mdr. den ansatte har været ansat fra september "&amp;budgetår-1&amp;" til og med august "&amp;budgetår&amp;". "</f>
        <v xml:space="preserve">Ferietillæg udgør en stor løndel, og er vigtig at huske. I række 63 oplyses antal mdr. den ansatte har været ansat fra september 2024 til og med august 2025. </v>
      </c>
      <c r="B37" s="2619"/>
      <c r="C37" s="2619"/>
      <c r="D37" s="2619"/>
      <c r="E37" s="2619"/>
      <c r="F37" s="2619"/>
      <c r="G37" s="2619"/>
    </row>
    <row r="38" spans="1:7" ht="37" customHeight="1">
      <c r="A38" s="2619" t="s">
        <v>71</v>
      </c>
      <c r="B38" s="2619"/>
      <c r="C38" s="2619"/>
      <c r="D38" s="2619"/>
      <c r="E38" s="2619"/>
      <c r="F38" s="2619"/>
      <c r="G38" s="2619"/>
    </row>
    <row r="39" spans="1:7" ht="18">
      <c r="A39" s="2620" t="s">
        <v>72</v>
      </c>
      <c r="B39" s="2620"/>
      <c r="C39" s="2620"/>
      <c r="D39" s="2620"/>
      <c r="E39" s="2620"/>
      <c r="F39" s="2620"/>
      <c r="G39" s="2620"/>
    </row>
    <row r="40" spans="1:7" ht="38" customHeight="1">
      <c r="A40" s="2619" t="s">
        <v>73</v>
      </c>
      <c r="B40" s="2619"/>
      <c r="C40" s="2619"/>
      <c r="D40" s="2619"/>
      <c r="E40" s="2619"/>
      <c r="F40" s="2619"/>
      <c r="G40" s="2619"/>
    </row>
    <row r="41" spans="1:7" ht="18">
      <c r="A41" s="2620" t="s">
        <v>74</v>
      </c>
      <c r="B41" s="2620"/>
      <c r="C41" s="2620"/>
      <c r="D41" s="2620"/>
      <c r="E41" s="2620"/>
      <c r="F41" s="2620"/>
      <c r="G41" s="2620"/>
    </row>
    <row r="42" spans="1:7" ht="37" customHeight="1">
      <c r="A42" s="2619" t="str">
        <f>"Refusioner for "&amp;budgetår&amp;" vedr. barsel, sygdom, fleksjob mm oplyses som årlige budgettal i række 74-81. Husk at beløbet oplyses som et negativt tal."</f>
        <v>Refusioner for 2025 vedr. barsel, sygdom, fleksjob mm oplyses som årlige budgettal i række 74-81. Husk at beløbet oplyses som et negativt tal.</v>
      </c>
      <c r="B42" s="2619"/>
      <c r="C42" s="2619"/>
      <c r="D42" s="2619"/>
      <c r="E42" s="2619"/>
      <c r="F42" s="2619"/>
      <c r="G42" s="2619"/>
    </row>
    <row r="43" spans="1:7" ht="36" customHeight="1">
      <c r="A43" s="2619" t="str">
        <f>"Refusioner for "&amp;budgetår+1&amp;" vedr. barsel, sygdom, fleksjob mm oplyses som årlige budgettal i række 83. Husk at beløbet oplyses som et negativt tal."</f>
        <v>Refusioner for 2026 vedr. barsel, sygdom, fleksjob mm oplyses som årlige budgettal i række 83. Husk at beløbet oplyses som et negativt tal.</v>
      </c>
      <c r="B43" s="2619"/>
      <c r="C43" s="2619"/>
      <c r="D43" s="2619"/>
      <c r="E43" s="2619"/>
      <c r="F43" s="2619"/>
      <c r="G43" s="2619"/>
    </row>
    <row r="44" spans="1:7" ht="18">
      <c r="A44" s="718" t="s">
        <v>75</v>
      </c>
      <c r="B44" s="716"/>
      <c r="C44" s="717"/>
      <c r="D44" s="717"/>
      <c r="E44" s="717"/>
      <c r="F44" s="717"/>
      <c r="G44" s="717"/>
    </row>
    <row r="45" spans="1:7" ht="36" customHeight="1">
      <c r="A45" s="2619" t="str">
        <f>"Oplys antal skyldige feriedage og særlige feriedage for hhv. "&amp;budgetår-1&amp;", "&amp;budgetår&amp;" og "&amp;budgetår+1&amp;" i række 91, 93 og 95."</f>
        <v>Oplys antal skyldige feriedage og særlige feriedage for hhv. 2024, 2025 og 2026 i række 91, 93 og 95.</v>
      </c>
      <c r="B45" s="2619"/>
      <c r="C45" s="2619"/>
      <c r="D45" s="2619"/>
      <c r="E45" s="2619"/>
      <c r="F45" s="2619"/>
      <c r="G45" s="2619"/>
    </row>
    <row r="46" spans="1:7" ht="16">
      <c r="A46" s="388"/>
      <c r="B46" s="388"/>
    </row>
    <row r="47" spans="1:7" ht="18">
      <c r="A47" s="2621" t="s">
        <v>76</v>
      </c>
      <c r="B47" s="2621"/>
      <c r="C47" s="2621"/>
      <c r="D47" s="2621"/>
      <c r="E47" s="2621"/>
      <c r="F47" s="2621"/>
      <c r="G47" s="2621"/>
    </row>
    <row r="48" spans="1:7" ht="34" customHeight="1">
      <c r="A48" s="2622" t="s">
        <v>77</v>
      </c>
      <c r="B48" s="2622"/>
      <c r="C48" s="2622"/>
      <c r="D48" s="2622"/>
      <c r="E48" s="2622"/>
      <c r="F48" s="2622"/>
      <c r="G48" s="2622"/>
    </row>
    <row r="49" spans="1:7" ht="54" customHeight="1">
      <c r="A49" s="2611" t="s">
        <v>78</v>
      </c>
      <c r="B49" s="2622"/>
      <c r="C49" s="2622"/>
      <c r="D49" s="2622"/>
      <c r="E49" s="2622"/>
      <c r="F49" s="2622"/>
      <c r="G49" s="2622"/>
    </row>
    <row r="50" spans="1:7" ht="19" customHeight="1">
      <c r="A50" s="2617" t="s">
        <v>79</v>
      </c>
      <c r="B50" s="2617"/>
      <c r="C50" s="2617"/>
      <c r="D50" s="2617"/>
      <c r="E50" s="2617"/>
      <c r="F50" s="2617"/>
      <c r="G50" s="2617"/>
    </row>
    <row r="51" spans="1:7" ht="36" customHeight="1">
      <c r="A51" s="2611" t="str">
        <f>"Ansættelsesmåneder. I række 14 og 15 checkes at det er de korrekte antal måneder den ansatte er budgetteret med for hhv. "&amp;budgetår&amp;" og "&amp;budgetår+1&amp;"."</f>
        <v>Ansættelsesmåneder. I række 14 og 15 checkes at det er de korrekte antal måneder den ansatte er budgetteret med for hhv. 2025 og 2026.</v>
      </c>
      <c r="B51" s="2611"/>
      <c r="C51" s="2611"/>
      <c r="D51" s="2611"/>
      <c r="E51" s="2611"/>
      <c r="F51" s="2611"/>
      <c r="G51" s="2611"/>
    </row>
    <row r="52" spans="1:7" ht="20" customHeight="1">
      <c r="A52" s="2611" t="s">
        <v>80</v>
      </c>
      <c r="B52" s="2611"/>
      <c r="C52" s="2611"/>
      <c r="D52" s="2611"/>
      <c r="E52" s="2611"/>
      <c r="F52" s="2611"/>
      <c r="G52" s="2611"/>
    </row>
    <row r="53" spans="1:7" ht="38" customHeight="1">
      <c r="A53" s="2611" t="s">
        <v>81</v>
      </c>
      <c r="B53" s="2611"/>
      <c r="C53" s="2611"/>
      <c r="D53" s="2611"/>
      <c r="E53" s="2611"/>
      <c r="F53" s="2611"/>
      <c r="G53" s="2611"/>
    </row>
    <row r="54" spans="1:7" ht="37" customHeight="1">
      <c r="A54" s="2611" t="str">
        <f>"Seniorbonus. Er den ansatte fyldt 62 år i "&amp;budgetår&amp;" og har den ansatte ret til seniorbonusordning svar Ja i række 18 og 19."</f>
        <v>Seniorbonus. Er den ansatte fyldt 62 år i 2025 og har den ansatte ret til seniorbonusordning svar Ja i række 18 og 19.</v>
      </c>
      <c r="B54" s="2611"/>
      <c r="C54" s="2611"/>
      <c r="D54" s="2611"/>
      <c r="E54" s="2611"/>
      <c r="F54" s="2611"/>
      <c r="G54" s="2611"/>
    </row>
    <row r="55" spans="1:7" ht="38" customHeight="1">
      <c r="A55" s="2611" t="str">
        <f>"Seniorbonus. Er den ansatte fyldt 62 år i "&amp;budgetår+1&amp;" og har den ansatte ret til seniorbonusordning svar Ja i række 19."</f>
        <v>Seniorbonus. Er den ansatte fyldt 62 år i 2026 og har den ansatte ret til seniorbonusordning svar Ja i række 19.</v>
      </c>
      <c r="B55" s="2611"/>
      <c r="C55" s="2611"/>
      <c r="D55" s="2611"/>
      <c r="E55" s="2611"/>
      <c r="F55" s="2611"/>
      <c r="G55" s="2611"/>
    </row>
    <row r="56" spans="1:7" ht="22" customHeight="1">
      <c r="A56" s="2611" t="s">
        <v>82</v>
      </c>
      <c r="B56" s="2611"/>
      <c r="C56" s="2611"/>
      <c r="D56" s="2611"/>
      <c r="E56" s="2611"/>
      <c r="F56" s="2611"/>
      <c r="G56" s="2611"/>
    </row>
    <row r="57" spans="1:7" ht="36" customHeight="1">
      <c r="A57" s="2611" t="s">
        <v>83</v>
      </c>
      <c r="B57" s="2611"/>
      <c r="C57" s="2611"/>
      <c r="D57" s="2611"/>
      <c r="E57" s="2611"/>
      <c r="F57" s="2611"/>
      <c r="G57" s="2611"/>
    </row>
    <row r="58" spans="1:7" ht="19" customHeight="1">
      <c r="A58" s="2617" t="s">
        <v>84</v>
      </c>
      <c r="B58" s="2617"/>
      <c r="C58" s="2617"/>
      <c r="D58" s="2617"/>
      <c r="E58" s="2617"/>
      <c r="F58" s="2617"/>
      <c r="G58" s="2617"/>
    </row>
    <row r="59" spans="1:7" ht="34" customHeight="1">
      <c r="A59" s="2611" t="s">
        <v>85</v>
      </c>
      <c r="B59" s="2611"/>
      <c r="C59" s="2611"/>
      <c r="D59" s="2611"/>
      <c r="E59" s="2611"/>
      <c r="F59" s="2611"/>
      <c r="G59" s="2611"/>
    </row>
    <row r="60" spans="1:7" ht="35" customHeight="1">
      <c r="A60" s="2611" t="s">
        <v>86</v>
      </c>
      <c r="B60" s="2611"/>
      <c r="C60" s="2611"/>
      <c r="D60" s="2611"/>
      <c r="E60" s="2611"/>
      <c r="F60" s="2611"/>
      <c r="G60" s="2611"/>
    </row>
    <row r="61" spans="1:7" ht="19" customHeight="1">
      <c r="A61" s="2617" t="s">
        <v>87</v>
      </c>
      <c r="B61" s="2617"/>
      <c r="C61" s="2617"/>
      <c r="D61" s="2617"/>
      <c r="E61" s="2617"/>
      <c r="F61" s="2617"/>
      <c r="G61" s="2617"/>
    </row>
    <row r="62" spans="1:7" ht="19" customHeight="1">
      <c r="A62" s="2611" t="s">
        <v>88</v>
      </c>
      <c r="B62" s="2611"/>
      <c r="C62" s="2611"/>
      <c r="D62" s="2611"/>
      <c r="E62" s="2611"/>
      <c r="F62" s="2611"/>
      <c r="G62" s="2611"/>
    </row>
    <row r="63" spans="1:7" ht="35" customHeight="1">
      <c r="A63" s="2611" t="str">
        <f>"Ferietillæg udgør en stor løndel, og er vigtig at huske. I række 50 oplyses antal mdr. den ansatte har været ansat fra september "&amp;budgetår-1&amp;" til og med august "&amp;budgetår&amp;". "</f>
        <v xml:space="preserve">Ferietillæg udgør en stor løndel, og er vigtig at huske. I række 50 oplyses antal mdr. den ansatte har været ansat fra september 2024 til og med august 2025. </v>
      </c>
      <c r="B63" s="2611"/>
      <c r="C63" s="2611"/>
      <c r="D63" s="2611"/>
      <c r="E63" s="2611"/>
      <c r="F63" s="2611"/>
      <c r="G63" s="2611"/>
    </row>
    <row r="64" spans="1:7" ht="37" customHeight="1">
      <c r="A64" s="2611" t="s">
        <v>89</v>
      </c>
      <c r="B64" s="2611"/>
      <c r="C64" s="2611"/>
      <c r="D64" s="2611"/>
      <c r="E64" s="2611"/>
      <c r="F64" s="2611"/>
      <c r="G64" s="2611"/>
    </row>
    <row r="65" spans="1:7" ht="18">
      <c r="A65" s="719" t="s">
        <v>74</v>
      </c>
      <c r="B65" s="720"/>
      <c r="C65" s="721"/>
      <c r="D65" s="721"/>
      <c r="E65" s="721"/>
      <c r="F65" s="721"/>
      <c r="G65" s="721"/>
    </row>
    <row r="66" spans="1:7" ht="36" customHeight="1">
      <c r="A66" s="2611" t="str">
        <f>"Refusioner for "&amp;budgetår&amp;" vedr. barsel, sygdom, fleksjob mm oplyses som årlige budgettal i række 61-67. Husk at beløbet oplyses som et negativt tal."</f>
        <v>Refusioner for 2025 vedr. barsel, sygdom, fleksjob mm oplyses som årlige budgettal i række 61-67. Husk at beløbet oplyses som et negativt tal.</v>
      </c>
      <c r="B66" s="2611"/>
      <c r="C66" s="2611"/>
      <c r="D66" s="2611"/>
      <c r="E66" s="2611"/>
      <c r="F66" s="2611"/>
      <c r="G66" s="2611"/>
    </row>
    <row r="67" spans="1:7" ht="34" customHeight="1">
      <c r="A67" s="2611" t="str">
        <f>"Refusioner for "&amp;budgetår+1&amp;" vedr. barsel, sygdom, fleksjob mm oplyses som årlige budgettal i række 69. Husk at beløbet oplyses som et negativt tal."</f>
        <v>Refusioner for 2026 vedr. barsel, sygdom, fleksjob mm oplyses som årlige budgettal i række 69. Husk at beløbet oplyses som et negativt tal.</v>
      </c>
      <c r="B67" s="2611"/>
      <c r="C67" s="2611"/>
      <c r="D67" s="2611"/>
      <c r="E67" s="2611"/>
      <c r="F67" s="2611"/>
      <c r="G67" s="2611"/>
    </row>
    <row r="68" spans="1:7" s="97" customFormat="1" ht="18">
      <c r="A68" s="719" t="s">
        <v>75</v>
      </c>
      <c r="B68" s="719"/>
      <c r="C68" s="719"/>
      <c r="D68" s="719"/>
      <c r="E68" s="719"/>
      <c r="F68" s="719"/>
      <c r="G68" s="719"/>
    </row>
    <row r="69" spans="1:7" ht="36" customHeight="1">
      <c r="A69" s="2611" t="str">
        <f>"Oplys antal skyldige feriedage og særlige feriedage for hhv. "&amp;budgetår-1&amp;", "&amp;budgetår&amp;" og "&amp;budgetår+1&amp;" i række 78, 80 og 82."</f>
        <v>Oplys antal skyldige feriedage og særlige feriedage for hhv. 2024, 2025 og 2026 i række 78, 80 og 82.</v>
      </c>
      <c r="B69" s="2611"/>
      <c r="C69" s="2611"/>
      <c r="D69" s="2611"/>
      <c r="E69" s="2611"/>
      <c r="F69" s="2611"/>
      <c r="G69" s="2611"/>
    </row>
    <row r="70" spans="1:7" ht="16">
      <c r="A70" s="388"/>
      <c r="B70" s="388"/>
    </row>
    <row r="71" spans="1:7" ht="18">
      <c r="A71" s="722" t="s">
        <v>90</v>
      </c>
      <c r="B71" s="723"/>
      <c r="C71" s="724"/>
      <c r="D71" s="724"/>
      <c r="E71" s="724"/>
      <c r="F71" s="724"/>
      <c r="G71" s="724"/>
    </row>
    <row r="72" spans="1:7" ht="36" customHeight="1">
      <c r="A72" s="2612" t="s">
        <v>91</v>
      </c>
      <c r="B72" s="2612"/>
      <c r="C72" s="2612"/>
      <c r="D72" s="2612"/>
      <c r="E72" s="2612"/>
      <c r="F72" s="2612"/>
      <c r="G72" s="2612"/>
    </row>
    <row r="73" spans="1:7" ht="36" customHeight="1">
      <c r="A73" s="712"/>
      <c r="B73" s="712"/>
      <c r="C73" s="712"/>
      <c r="D73" s="712"/>
      <c r="E73" s="712"/>
      <c r="F73" s="712"/>
      <c r="G73" s="712"/>
    </row>
    <row r="74" spans="1:7" ht="18">
      <c r="A74" s="725" t="s">
        <v>92</v>
      </c>
      <c r="B74" s="726"/>
      <c r="C74" s="727"/>
      <c r="D74" s="727"/>
      <c r="E74" s="727"/>
      <c r="F74" s="727"/>
      <c r="G74" s="727"/>
    </row>
    <row r="75" spans="1:7" ht="133" customHeight="1">
      <c r="A75" s="2613" t="s">
        <v>93</v>
      </c>
      <c r="B75" s="2613"/>
      <c r="C75" s="2613"/>
      <c r="D75" s="2613"/>
      <c r="E75" s="2613"/>
      <c r="F75" s="2613"/>
      <c r="G75" s="2613"/>
    </row>
    <row r="76" spans="1:7" ht="16">
      <c r="A76" s="388"/>
      <c r="B76" s="388"/>
    </row>
    <row r="77" spans="1:7" ht="36" customHeight="1">
      <c r="A77" s="2614" t="s">
        <v>94</v>
      </c>
      <c r="B77" s="2614"/>
      <c r="C77" s="2614"/>
      <c r="D77" s="2614"/>
      <c r="E77" s="2614"/>
      <c r="F77" s="2614"/>
      <c r="G77" s="2614"/>
    </row>
    <row r="78" spans="1:7" ht="83" customHeight="1">
      <c r="A78" s="2615" t="str">
        <f>"Driftstilskud fra "&amp;budgetår&amp;" til "&amp;budgetår+1&amp;" ændres automatisk med prisreguleringen lagt ind i satsbilaget. Sker der større ændring på udgiftssiden skal dette manuelt reguleres ved at taste en enten positiv eller negativ ændring fra "&amp;budgetår&amp;" til "&amp;budgetår+1&amp;". Eksempler kan være at der ikke er lejrskole hvert år, at der skal bygges, større engangsinvesteringer der ikke skal tælle begge år og lign."</f>
        <v>Driftstilskud fra 2025 til 2026 ændres automatisk med prisreguleringen lagt ind i satsbilaget. Sker der større ændring på udgiftssiden skal dette manuelt reguleres ved at taste en enten positiv eller negativ ændring fra 2025 til 2026. Eksempler kan være at der ikke er lejrskole hvert år, at der skal bygges, større engangsinvesteringer der ikke skal tælle begge år og lign.</v>
      </c>
      <c r="B78" s="2615"/>
      <c r="C78" s="2615"/>
      <c r="D78" s="2615"/>
      <c r="E78" s="2615"/>
      <c r="F78" s="2615"/>
      <c r="G78" s="2615"/>
    </row>
    <row r="79" spans="1:7" ht="16">
      <c r="A79" s="388"/>
      <c r="B79" s="388"/>
    </row>
    <row r="80" spans="1:7" ht="18">
      <c r="A80" s="2616" t="s">
        <v>95</v>
      </c>
      <c r="B80" s="2616"/>
      <c r="C80" s="2616"/>
      <c r="D80" s="2616"/>
      <c r="E80" s="2616"/>
      <c r="F80" s="2616"/>
      <c r="G80" s="2616"/>
    </row>
    <row r="81" spans="1:7" ht="16">
      <c r="A81" s="388"/>
      <c r="B81" s="388"/>
    </row>
    <row r="82" spans="1:7" ht="25">
      <c r="A82" s="728" t="s">
        <v>96</v>
      </c>
      <c r="B82" s="94"/>
      <c r="C82" s="103"/>
      <c r="D82" s="103"/>
      <c r="E82" s="103"/>
      <c r="F82" s="103"/>
      <c r="G82" s="103"/>
    </row>
    <row r="83" spans="1:7" ht="70" customHeight="1">
      <c r="A83" s="2610" t="str">
        <f>"Når budgettet er lagt, og ovennævnte check er taget, gennemlæses budgettet i hovedskemaet. Læs her vandret vedr. "&amp;budgetår-2&amp;", "&amp;budgetår-1&amp;", "&amp;budgetår&amp;" og "&amp;budgetår+1&amp;" på alle indtægter og udgifter og check om der er større forskydninger der ikke kan forklares med ændring i elevtal, eller andre forklarelige reguleringer"</f>
        <v>Når budgettet er lagt, og ovennævnte check er taget, gennemlæses budgettet i hovedskemaet. Læs her vandret vedr. 2023, 2024, 2025 og 2026 på alle indtægter og udgifter og check om der er større forskydninger der ikke kan forklares med ændring i elevtal, eller andre forklarelige reguleringer</v>
      </c>
      <c r="B83" s="2610"/>
      <c r="C83" s="2610"/>
      <c r="D83" s="2610"/>
      <c r="E83" s="2610"/>
      <c r="F83" s="2610"/>
      <c r="G83" s="2610"/>
    </row>
  </sheetData>
  <sheetProtection sheet="1" objects="1" scenarios="1"/>
  <mergeCells count="65">
    <mergeCell ref="A33:G33"/>
    <mergeCell ref="A34:G34"/>
    <mergeCell ref="A35:G35"/>
    <mergeCell ref="A15:G15"/>
    <mergeCell ref="A18:G18"/>
    <mergeCell ref="A20:G20"/>
    <mergeCell ref="A27:G27"/>
    <mergeCell ref="A28:G28"/>
    <mergeCell ref="A30:G30"/>
    <mergeCell ref="A31:G31"/>
    <mergeCell ref="A32:G32"/>
    <mergeCell ref="A25:G25"/>
    <mergeCell ref="A26:G26"/>
    <mergeCell ref="A1:G1"/>
    <mergeCell ref="A13:G13"/>
    <mergeCell ref="A21:G21"/>
    <mergeCell ref="A22:G22"/>
    <mergeCell ref="A24:G24"/>
    <mergeCell ref="A14:G14"/>
    <mergeCell ref="A2:G2"/>
    <mergeCell ref="A5:G5"/>
    <mergeCell ref="A6:G6"/>
    <mergeCell ref="A7:G7"/>
    <mergeCell ref="A8:G8"/>
    <mergeCell ref="A9:G9"/>
    <mergeCell ref="A10:G10"/>
    <mergeCell ref="A11:G11"/>
    <mergeCell ref="A4:G4"/>
    <mergeCell ref="A23:G23"/>
    <mergeCell ref="A50:G50"/>
    <mergeCell ref="A36:G36"/>
    <mergeCell ref="A37:G37"/>
    <mergeCell ref="A38:G38"/>
    <mergeCell ref="A39:G39"/>
    <mergeCell ref="A40:G40"/>
    <mergeCell ref="A41:G41"/>
    <mergeCell ref="A42:G42"/>
    <mergeCell ref="A43:G43"/>
    <mergeCell ref="A45:G45"/>
    <mergeCell ref="A47:G47"/>
    <mergeCell ref="A48:G48"/>
    <mergeCell ref="A49:G49"/>
    <mergeCell ref="A61:G61"/>
    <mergeCell ref="A51:G51"/>
    <mergeCell ref="A52:G52"/>
    <mergeCell ref="A53:G53"/>
    <mergeCell ref="A54:G54"/>
    <mergeCell ref="A55:G55"/>
    <mergeCell ref="A56:G56"/>
    <mergeCell ref="A57:G57"/>
    <mergeCell ref="A58:G58"/>
    <mergeCell ref="A59:G59"/>
    <mergeCell ref="A60:G60"/>
    <mergeCell ref="A83:G83"/>
    <mergeCell ref="A62:G62"/>
    <mergeCell ref="A63:G63"/>
    <mergeCell ref="A64:G64"/>
    <mergeCell ref="A66:G66"/>
    <mergeCell ref="A67:G67"/>
    <mergeCell ref="A69:G69"/>
    <mergeCell ref="A72:G72"/>
    <mergeCell ref="A75:G75"/>
    <mergeCell ref="A77:G77"/>
    <mergeCell ref="A78:G78"/>
    <mergeCell ref="A80:G80"/>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K59"/>
  <sheetViews>
    <sheetView tabSelected="1" zoomScale="225" workbookViewId="0">
      <selection activeCell="B54" sqref="B54"/>
    </sheetView>
  </sheetViews>
  <sheetFormatPr baseColWidth="10" defaultColWidth="11.5" defaultRowHeight="13"/>
  <cols>
    <col min="1" max="1" width="67.5" style="2" bestFit="1" customWidth="1"/>
    <col min="2" max="3" width="16.5" customWidth="1"/>
    <col min="4" max="4" width="17.5" bestFit="1" customWidth="1"/>
    <col min="5" max="5" width="24.5" customWidth="1"/>
    <col min="6" max="6" width="13.1640625" customWidth="1"/>
    <col min="7" max="7" width="12.5" customWidth="1"/>
    <col min="8" max="9" width="10.83203125" customWidth="1"/>
  </cols>
  <sheetData>
    <row r="1" spans="1:7" ht="16">
      <c r="A1" s="183" t="s">
        <v>97</v>
      </c>
      <c r="B1" s="184"/>
    </row>
    <row r="2" spans="1:7">
      <c r="A2"/>
      <c r="B2" s="543">
        <f>1.114336+1.49%</f>
        <v>1.1292359999999999</v>
      </c>
      <c r="C2" s="194" t="s">
        <v>98</v>
      </c>
      <c r="F2" s="185"/>
    </row>
    <row r="3" spans="1:7" ht="29" thickBot="1">
      <c r="A3" s="184"/>
      <c r="B3" s="189" t="str">
        <f>"i budgetåret: "&amp;budgetår</f>
        <v>i budgetåret: 2025</v>
      </c>
      <c r="C3" s="189" t="str">
        <f>"i året før budgetåret: "&amp;budgetår-1</f>
        <v>i året før budgetåret: 2024</v>
      </c>
      <c r="D3" s="193" t="s">
        <v>99</v>
      </c>
      <c r="F3" s="185"/>
    </row>
    <row r="4" spans="1:7" ht="14">
      <c r="A4" s="1014" t="str">
        <f>"Til Feriefridages udbetaling "&amp;budgetår&amp;" - Optjent "&amp;budgetår-2&amp;""</f>
        <v>Til Feriefridages udbetaling 2025 - Optjent 2023</v>
      </c>
      <c r="B4" s="1015"/>
      <c r="C4" s="1016"/>
      <c r="D4" s="193"/>
      <c r="F4" s="185"/>
    </row>
    <row r="5" spans="1:7" ht="14">
      <c r="A5" s="1017" t="str">
        <f>"Reguleringsprocent 1. januar "&amp;budgetår-2&amp;""</f>
        <v>Reguleringsprocent 1. januar 2023</v>
      </c>
      <c r="B5" s="1018">
        <v>1.1374109999999999</v>
      </c>
      <c r="C5" s="1016"/>
      <c r="D5" s="193"/>
      <c r="F5" s="185"/>
    </row>
    <row r="6" spans="1:7" ht="14">
      <c r="A6" s="1017" t="str">
        <f>"Reguleringsprocent 1. april "&amp;Forside!B6-2&amp;""</f>
        <v>Reguleringsprocent 1. april 2023</v>
      </c>
      <c r="B6" s="1018">
        <v>1.1553389999999999</v>
      </c>
      <c r="C6" s="1016"/>
      <c r="D6" s="193"/>
      <c r="F6" s="185"/>
    </row>
    <row r="7" spans="1:7" ht="14">
      <c r="A7" s="1017" t="str">
        <f>"Reguleringsprocent 1. oktober "&amp;budgetår-2&amp;""</f>
        <v>Reguleringsprocent 1. oktober 2023</v>
      </c>
      <c r="B7" s="1018">
        <v>1.159197</v>
      </c>
      <c r="C7" s="1016"/>
      <c r="D7" s="193"/>
      <c r="F7" s="185"/>
    </row>
    <row r="8" spans="1:7" ht="15" thickBot="1">
      <c r="A8" s="1019" t="str">
        <f>"Gennemsnitlig reguleringsprocent "&amp;budgetår-2&amp;""</f>
        <v>Gennemsnitlig reguleringsprocent 2023</v>
      </c>
      <c r="B8" s="889">
        <f>((B5*3)+(B6*6)+(B7*3))/12</f>
        <v>1.1518214999999998</v>
      </c>
      <c r="C8" s="1020"/>
      <c r="D8" s="193"/>
      <c r="F8" s="185"/>
    </row>
    <row r="9" spans="1:7" ht="12" customHeight="1">
      <c r="A9" s="890" t="str">
        <f>"Procentregulering 1. april "&amp;budgetår-1&amp;""</f>
        <v>Procentregulering 1. april 2024</v>
      </c>
      <c r="B9" s="1021">
        <v>1.228067</v>
      </c>
      <c r="C9" s="1022"/>
      <c r="D9" s="378" t="s">
        <v>100</v>
      </c>
      <c r="F9" s="2"/>
      <c r="G9" s="185"/>
    </row>
    <row r="10" spans="1:7" ht="12" customHeight="1">
      <c r="A10" s="692" t="str">
        <f>"Anslået procentregulering pr. 1. april "&amp;budgetår&amp;" + 1,31%"</f>
        <v>Anslået procentregulering pr. 1. april 2025 + 1,31%</v>
      </c>
      <c r="B10" s="1023">
        <f>B9+(B9*1.31%)</f>
        <v>1.2441546777000001</v>
      </c>
      <c r="C10" s="1024"/>
      <c r="D10" s="378"/>
      <c r="F10" s="2"/>
      <c r="G10" s="185"/>
    </row>
    <row r="11" spans="1:7" ht="12" customHeight="1">
      <c r="A11" s="692" t="str">
        <f>"Procentregulering pr. 1. november "&amp;budgetår&amp;" + 0,20%"</f>
        <v>Procentregulering pr. 1. november 2025 + 0,20%</v>
      </c>
      <c r="B11" s="1023">
        <f>B10+(B10*0.2%)</f>
        <v>1.2466429870554001</v>
      </c>
      <c r="C11" s="1024"/>
      <c r="D11" s="378"/>
      <c r="F11" s="2"/>
      <c r="G11" s="185"/>
    </row>
    <row r="12" spans="1:7" ht="14" thickBot="1">
      <c r="A12" s="693" t="str">
        <f>"Beregnet procentregulering for budgetåret "&amp;budgetår&amp;""</f>
        <v>Beregnet procentregulering for budgetåret 2025</v>
      </c>
      <c r="B12" s="1025">
        <f>(((Prc*3)+(B10*7)+(B11*2))/12)</f>
        <v>1.2405474765009001</v>
      </c>
      <c r="C12" s="1026"/>
      <c r="D12" s="378" t="s">
        <v>101</v>
      </c>
      <c r="G12" s="185"/>
    </row>
    <row r="13" spans="1:7" ht="14">
      <c r="A13" s="544" t="s">
        <v>102</v>
      </c>
      <c r="B13" s="1027">
        <v>297</v>
      </c>
      <c r="C13" s="1028">
        <v>284</v>
      </c>
      <c r="D13" s="377" t="s">
        <v>103</v>
      </c>
      <c r="G13" s="185"/>
    </row>
    <row r="14" spans="1:7" ht="14">
      <c r="A14" s="287" t="s">
        <v>104</v>
      </c>
      <c r="B14" s="1029">
        <f>1.42+0.71</f>
        <v>2.13</v>
      </c>
      <c r="C14" s="1030">
        <v>2.0099999999999998</v>
      </c>
      <c r="D14" s="377"/>
      <c r="E14" s="194"/>
      <c r="F14" s="194"/>
      <c r="G14" s="185"/>
    </row>
    <row r="15" spans="1:7" ht="14">
      <c r="A15" s="287" t="s">
        <v>105</v>
      </c>
      <c r="B15" s="1029">
        <v>108.35</v>
      </c>
      <c r="C15" s="1030">
        <v>108.35</v>
      </c>
      <c r="D15" s="377" t="s">
        <v>106</v>
      </c>
      <c r="E15" s="194"/>
      <c r="F15" s="194"/>
      <c r="G15" s="185"/>
    </row>
    <row r="16" spans="1:7" ht="14">
      <c r="A16" s="287" t="s">
        <v>107</v>
      </c>
      <c r="B16" s="1029">
        <v>130</v>
      </c>
      <c r="C16" s="1030">
        <v>130</v>
      </c>
      <c r="D16" s="375" t="s">
        <v>108</v>
      </c>
      <c r="E16" s="194"/>
      <c r="F16" s="194"/>
      <c r="G16" s="185"/>
    </row>
    <row r="17" spans="1:5" ht="14">
      <c r="A17" s="287" t="s">
        <v>109</v>
      </c>
      <c r="B17" s="1029">
        <v>10000</v>
      </c>
      <c r="C17" s="1030">
        <v>10000</v>
      </c>
      <c r="D17" s="375" t="s">
        <v>110</v>
      </c>
    </row>
    <row r="18" spans="1:5" ht="14">
      <c r="A18" s="287" t="s">
        <v>111</v>
      </c>
      <c r="B18" s="1031">
        <v>8326</v>
      </c>
      <c r="C18" s="1032">
        <v>7979</v>
      </c>
      <c r="D18" s="375" t="s">
        <v>112</v>
      </c>
    </row>
    <row r="19" spans="1:5" ht="14">
      <c r="A19" s="287" t="s">
        <v>113</v>
      </c>
      <c r="B19" s="1031">
        <v>3331</v>
      </c>
      <c r="C19" s="1032">
        <v>3192</v>
      </c>
      <c r="D19" s="375" t="s">
        <v>114</v>
      </c>
    </row>
    <row r="20" spans="1:5" ht="14">
      <c r="A20" s="287" t="s">
        <v>115</v>
      </c>
      <c r="B20" s="1031">
        <v>43708</v>
      </c>
      <c r="C20" s="1032">
        <v>41840</v>
      </c>
      <c r="D20" s="375" t="s">
        <v>116</v>
      </c>
    </row>
    <row r="21" spans="1:5" ht="14">
      <c r="A21" s="287" t="s">
        <v>117</v>
      </c>
      <c r="B21" s="1031">
        <v>57694</v>
      </c>
      <c r="C21" s="1032">
        <v>55229</v>
      </c>
      <c r="D21" s="375" t="s">
        <v>118</v>
      </c>
    </row>
    <row r="22" spans="1:5" ht="14">
      <c r="A22" s="287" t="s">
        <v>119</v>
      </c>
      <c r="B22" s="1031">
        <v>56589</v>
      </c>
      <c r="C22" s="1032">
        <v>54124</v>
      </c>
      <c r="D22" s="375" t="s">
        <v>120</v>
      </c>
    </row>
    <row r="23" spans="1:5">
      <c r="A23" s="373" t="s">
        <v>121</v>
      </c>
      <c r="B23" s="1033">
        <v>135843</v>
      </c>
      <c r="C23" s="1034">
        <v>136160</v>
      </c>
      <c r="D23" s="376" t="s">
        <v>122</v>
      </c>
    </row>
    <row r="24" spans="1:5" ht="12" customHeight="1">
      <c r="A24" s="383" t="s">
        <v>123</v>
      </c>
      <c r="B24" s="1035">
        <v>19</v>
      </c>
      <c r="C24" s="1036">
        <v>19</v>
      </c>
      <c r="D24" s="377" t="s">
        <v>124</v>
      </c>
    </row>
    <row r="25" spans="1:5">
      <c r="A25" s="286" t="s">
        <v>125</v>
      </c>
      <c r="B25" s="1031">
        <v>2781</v>
      </c>
      <c r="C25" s="1030">
        <v>2718</v>
      </c>
      <c r="D25" s="377" t="s">
        <v>126</v>
      </c>
    </row>
    <row r="26" spans="1:5" ht="15">
      <c r="A26" s="383" t="s">
        <v>127</v>
      </c>
      <c r="B26" s="1031">
        <v>8968</v>
      </c>
      <c r="C26" s="1030">
        <v>8707</v>
      </c>
      <c r="D26" s="377" t="s">
        <v>128</v>
      </c>
      <c r="E26" s="284"/>
    </row>
    <row r="27" spans="1:5" ht="15">
      <c r="A27" s="383" t="s">
        <v>129</v>
      </c>
      <c r="B27" s="1031">
        <f>SFOtilsk</f>
        <v>8968</v>
      </c>
      <c r="C27" s="1030">
        <v>8707</v>
      </c>
      <c r="D27" s="377"/>
      <c r="E27" s="284"/>
    </row>
    <row r="28" spans="1:5" ht="28">
      <c r="A28" s="790" t="s">
        <v>130</v>
      </c>
      <c r="B28" s="1031">
        <f>(3275+500+114+152+455+21)</f>
        <v>4517</v>
      </c>
      <c r="C28" s="1030">
        <v>4408.1499999999996</v>
      </c>
      <c r="D28" s="377"/>
      <c r="E28" s="2630"/>
    </row>
    <row r="29" spans="1:5">
      <c r="A29" s="694" t="s">
        <v>131</v>
      </c>
      <c r="B29" s="1031">
        <v>6265</v>
      </c>
      <c r="C29" s="1030">
        <v>6053.46</v>
      </c>
      <c r="D29" s="377" t="s">
        <v>132</v>
      </c>
      <c r="E29" s="2631"/>
    </row>
    <row r="30" spans="1:5">
      <c r="A30" s="694" t="s">
        <v>133</v>
      </c>
      <c r="B30" s="1031">
        <f>(351*4)</f>
        <v>1404</v>
      </c>
      <c r="C30" s="1030">
        <v>1370.25</v>
      </c>
      <c r="D30" s="377" t="s">
        <v>134</v>
      </c>
      <c r="E30" s="2630"/>
    </row>
    <row r="31" spans="1:5" ht="13" customHeight="1">
      <c r="A31" s="694" t="s">
        <v>135</v>
      </c>
      <c r="B31" s="1037">
        <v>263</v>
      </c>
      <c r="C31" s="1038">
        <v>256</v>
      </c>
      <c r="D31" s="377" t="s">
        <v>136</v>
      </c>
      <c r="E31" s="2631"/>
    </row>
    <row r="32" spans="1:5" ht="13" customHeight="1">
      <c r="A32" s="694" t="s">
        <v>137</v>
      </c>
      <c r="B32" s="1037">
        <v>110</v>
      </c>
      <c r="C32" s="1038">
        <v>107</v>
      </c>
      <c r="D32" s="695">
        <v>2.5000000000000001E-2</v>
      </c>
      <c r="E32" s="2631"/>
    </row>
    <row r="33" spans="1:11" ht="13" customHeight="1">
      <c r="A33" s="694" t="s">
        <v>138</v>
      </c>
      <c r="B33" s="1037">
        <v>6</v>
      </c>
      <c r="C33" s="1038">
        <v>5</v>
      </c>
      <c r="D33" s="695">
        <v>2.5000000000000001E-2</v>
      </c>
      <c r="E33" s="2631"/>
    </row>
    <row r="34" spans="1:11" ht="13" customHeight="1">
      <c r="A34" s="694" t="s">
        <v>139</v>
      </c>
      <c r="B34" s="1037">
        <v>8920</v>
      </c>
      <c r="C34" s="1038">
        <v>8700</v>
      </c>
      <c r="D34" s="695">
        <v>2.5000000000000001E-2</v>
      </c>
      <c r="E34" s="2631"/>
    </row>
    <row r="35" spans="1:11" ht="13" customHeight="1">
      <c r="A35" s="694" t="s">
        <v>140</v>
      </c>
      <c r="B35" s="1037">
        <v>263</v>
      </c>
      <c r="C35" s="1038">
        <v>256</v>
      </c>
      <c r="D35" s="695">
        <f>D32</f>
        <v>2.5000000000000001E-2</v>
      </c>
      <c r="E35" s="2631"/>
    </row>
    <row r="36" spans="1:11">
      <c r="A36" s="383" t="s">
        <v>141</v>
      </c>
      <c r="B36" s="1037">
        <v>45</v>
      </c>
      <c r="C36" s="1038">
        <v>40</v>
      </c>
      <c r="D36" s="377" t="s">
        <v>142</v>
      </c>
      <c r="E36" s="2631"/>
    </row>
    <row r="37" spans="1:11">
      <c r="A37" s="373" t="s">
        <v>143</v>
      </c>
      <c r="B37" s="1039">
        <v>7000</v>
      </c>
      <c r="C37" s="1040">
        <v>7000</v>
      </c>
      <c r="D37" s="376" t="s">
        <v>144</v>
      </c>
      <c r="E37" s="2631"/>
      <c r="F37" s="182"/>
      <c r="G37" s="182"/>
      <c r="H37" s="182"/>
    </row>
    <row r="38" spans="1:11" ht="15">
      <c r="A38" s="373" t="s">
        <v>145</v>
      </c>
      <c r="B38" s="1039">
        <v>12000</v>
      </c>
      <c r="C38" s="1040">
        <v>12000</v>
      </c>
      <c r="D38" s="376" t="s">
        <v>146</v>
      </c>
      <c r="E38" s="285"/>
    </row>
    <row r="39" spans="1:11" ht="15">
      <c r="A39" s="373" t="s">
        <v>147</v>
      </c>
      <c r="B39" s="1039">
        <v>18000</v>
      </c>
      <c r="C39" s="1040">
        <v>18000</v>
      </c>
      <c r="D39" s="376" t="s">
        <v>148</v>
      </c>
      <c r="E39" s="285"/>
    </row>
    <row r="40" spans="1:11">
      <c r="A40" s="373" t="s">
        <v>149</v>
      </c>
      <c r="B40" s="1039">
        <v>24000</v>
      </c>
      <c r="C40" s="1040">
        <v>24000</v>
      </c>
      <c r="D40" s="376" t="s">
        <v>150</v>
      </c>
    </row>
    <row r="41" spans="1:11">
      <c r="A41" s="286" t="str">
        <f>"Faste udgifter i budgetåret "&amp;[0]!budgetår+1&amp;" fremskrives med %"</f>
        <v>Faste udgifter i budgetåret 2026 fremskrives med %</v>
      </c>
      <c r="B41" s="1041">
        <v>1.4999999999999999E-2</v>
      </c>
      <c r="C41" s="1042">
        <v>1.4999999999999999E-2</v>
      </c>
      <c r="D41" s="377" t="s">
        <v>151</v>
      </c>
      <c r="G41" s="182"/>
      <c r="H41" s="182"/>
      <c r="I41" s="182"/>
      <c r="J41" s="182"/>
      <c r="K41" s="182"/>
    </row>
    <row r="42" spans="1:11">
      <c r="A42" s="286" t="str">
        <f>"Lønudgifter i budgetåret "&amp;[0]!budgetår+1&amp;" fremskrives med %"</f>
        <v>Lønudgifter i budgetåret 2026 fremskrives med %</v>
      </c>
      <c r="B42" s="1043">
        <v>2.5000000000000001E-2</v>
      </c>
      <c r="C42" s="1044">
        <v>2.5000000000000001E-2</v>
      </c>
      <c r="D42" s="377"/>
      <c r="G42" s="182"/>
      <c r="H42" s="182"/>
      <c r="I42" s="182"/>
      <c r="J42" s="182"/>
      <c r="K42" s="182"/>
    </row>
    <row r="43" spans="1:11">
      <c r="A43" s="694" t="s">
        <v>152</v>
      </c>
      <c r="B43" s="1045">
        <v>0</v>
      </c>
      <c r="C43" s="1044">
        <v>0</v>
      </c>
      <c r="D43" s="377" t="s">
        <v>153</v>
      </c>
      <c r="G43" s="182"/>
      <c r="H43" s="182"/>
      <c r="I43" s="182"/>
      <c r="J43" s="182"/>
      <c r="K43" s="182"/>
    </row>
    <row r="44" spans="1:11">
      <c r="A44" s="287"/>
      <c r="B44" s="1046" t="str">
        <f>"skoleår "&amp;[0]!budgetår-0&amp;"/"&amp;[0]!budgetår+1</f>
        <v>skoleår 2025/2026</v>
      </c>
      <c r="C44" s="1046" t="str">
        <f>"skoleår "&amp;[0]!budgetår-1&amp;"/"&amp;[0]!budgetår+0</f>
        <v>skoleår 2024/2025</v>
      </c>
      <c r="D44" s="187"/>
    </row>
    <row r="45" spans="1:11">
      <c r="A45" s="694" t="s">
        <v>154</v>
      </c>
      <c r="B45" s="1035">
        <v>230</v>
      </c>
      <c r="C45" s="1036">
        <v>193</v>
      </c>
      <c r="D45" s="186" t="s">
        <v>155</v>
      </c>
    </row>
    <row r="46" spans="1:11" ht="14" thickBot="1">
      <c r="A46" s="711" t="s">
        <v>156</v>
      </c>
      <c r="B46" s="1047">
        <v>154</v>
      </c>
      <c r="C46" s="1048">
        <v>149</v>
      </c>
      <c r="D46" s="186" t="s">
        <v>157</v>
      </c>
    </row>
    <row r="47" spans="1:11">
      <c r="A47" s="3272" t="s">
        <v>1573</v>
      </c>
      <c r="B47" s="2632"/>
      <c r="C47" s="2633"/>
      <c r="D47" s="190"/>
    </row>
    <row r="48" spans="1:11">
      <c r="A48" s="1049" t="s">
        <v>158</v>
      </c>
      <c r="B48" s="1050">
        <v>132867</v>
      </c>
      <c r="C48" s="1051">
        <v>131511</v>
      </c>
      <c r="D48" s="379"/>
    </row>
    <row r="49" spans="1:7">
      <c r="A49" s="1049" t="s">
        <v>159</v>
      </c>
      <c r="B49" s="1050">
        <v>119580</v>
      </c>
      <c r="C49" s="1051">
        <v>118360</v>
      </c>
      <c r="D49" s="379"/>
    </row>
    <row r="50" spans="1:7">
      <c r="A50" s="1049" t="s">
        <v>160</v>
      </c>
      <c r="B50" s="1050">
        <v>106293</v>
      </c>
      <c r="C50" s="1051">
        <v>78907</v>
      </c>
      <c r="D50" s="379"/>
    </row>
    <row r="51" spans="1:7" ht="14" thickBot="1">
      <c r="A51" s="1052" t="s">
        <v>161</v>
      </c>
      <c r="B51" s="1053">
        <v>43066</v>
      </c>
      <c r="C51" s="1054">
        <v>43233</v>
      </c>
      <c r="D51" s="379"/>
      <c r="E51" s="358"/>
      <c r="F51" s="358"/>
      <c r="G51" s="358"/>
    </row>
    <row r="52" spans="1:7">
      <c r="D52" s="334"/>
    </row>
    <row r="53" spans="1:7">
      <c r="A53" s="371"/>
      <c r="D53" s="334"/>
    </row>
    <row r="54" spans="1:7">
      <c r="A54" s="190"/>
      <c r="B54" s="528"/>
      <c r="D54" s="334"/>
    </row>
    <row r="55" spans="1:7">
      <c r="A55" s="190"/>
      <c r="B55" s="528"/>
      <c r="D55" s="334"/>
    </row>
    <row r="56" spans="1:7">
      <c r="A56" s="190"/>
      <c r="B56" s="528"/>
      <c r="D56" s="334"/>
    </row>
    <row r="57" spans="1:7">
      <c r="A57" s="190"/>
      <c r="B57" s="528"/>
      <c r="D57" s="334"/>
    </row>
    <row r="58" spans="1:7">
      <c r="A58" s="190"/>
      <c r="B58" s="528"/>
      <c r="D58" s="334"/>
    </row>
    <row r="59" spans="1:7">
      <c r="B59" s="529"/>
    </row>
  </sheetData>
  <sheetProtection sheet="1" formatCells="0" formatColumns="0" formatRows="0"/>
  <mergeCells count="3">
    <mergeCell ref="E28:E29"/>
    <mergeCell ref="E30:E37"/>
    <mergeCell ref="A47:C47"/>
  </mergeCells>
  <phoneticPr fontId="55" type="noConversion"/>
  <printOptions horizontalCentered="1" verticalCentered="1"/>
  <pageMargins left="0.39629921259842515" right="0.47314960629921266" top="0.58629921259842532" bottom="0.44629921259842514" header="0.51" footer="0.51"/>
  <pageSetup paperSize="9" scale="75" orientation="portrait" horizontalDpi="4294967292" verticalDpi="4294967292"/>
  <headerFooter alignWithMargins="0">
    <oddFooter>&amp;LFriskolernes Kontor&amp;CKursusmateriale 2010&amp;R&amp;A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tabColor rgb="FF92D050"/>
    <pageSetUpPr fitToPage="1"/>
  </sheetPr>
  <dimension ref="B1:K46"/>
  <sheetViews>
    <sheetView showGridLines="0" topLeftCell="A3" zoomScale="140" zoomScaleNormal="100" workbookViewId="0">
      <selection activeCell="H20" sqref="H20"/>
    </sheetView>
  </sheetViews>
  <sheetFormatPr baseColWidth="10" defaultColWidth="11.5" defaultRowHeight="13"/>
  <cols>
    <col min="1" max="1" width="13.5" customWidth="1"/>
    <col min="2" max="2" width="6.83203125" customWidth="1"/>
    <col min="3" max="3" width="25.83203125" customWidth="1"/>
    <col min="4" max="4" width="13.5" customWidth="1"/>
    <col min="5" max="6" width="15.1640625" customWidth="1"/>
    <col min="7" max="7" width="13.5" customWidth="1"/>
    <col min="9" max="9" width="11.83203125" customWidth="1"/>
    <col min="10" max="10" width="6.5" customWidth="1"/>
  </cols>
  <sheetData>
    <row r="1" spans="2:11" ht="25.5" customHeight="1" thickBot="1">
      <c r="B1" s="948"/>
      <c r="C1" s="948"/>
      <c r="D1" s="948"/>
      <c r="E1" s="948"/>
      <c r="F1" s="948"/>
      <c r="G1" s="948"/>
      <c r="H1" s="948"/>
    </row>
    <row r="2" spans="2:11" ht="77" customHeight="1">
      <c r="B2" s="2661" t="s">
        <v>162</v>
      </c>
      <c r="C2" s="2661"/>
      <c r="D2" s="2661"/>
      <c r="E2" s="2661"/>
      <c r="F2" s="2661"/>
      <c r="G2" s="2661"/>
      <c r="H2" s="2661"/>
    </row>
    <row r="3" spans="2:11" ht="18" customHeight="1">
      <c r="B3" s="82"/>
      <c r="C3" s="83" t="s">
        <v>163</v>
      </c>
      <c r="D3" s="82"/>
      <c r="E3" s="82"/>
      <c r="F3" s="84" t="str">
        <f>budgetår-1&amp;"/"&amp;budgetår</f>
        <v>2024/2025</v>
      </c>
      <c r="G3" s="84" t="str">
        <f>budgetår&amp;"/"&amp;budgetår+1</f>
        <v>2025/2026</v>
      </c>
      <c r="H3" s="84" t="str">
        <f>budgetår+1&amp;"/"&amp;budgetår+2</f>
        <v>2026/2027</v>
      </c>
    </row>
    <row r="4" spans="2:11" ht="36" customHeight="1" thickBot="1"/>
    <row r="5" spans="2:11" ht="55.5" customHeight="1">
      <c r="B5" s="2662" t="s">
        <v>1557</v>
      </c>
      <c r="C5" s="2663"/>
      <c r="D5" s="2663"/>
      <c r="E5" s="2663"/>
      <c r="F5" s="2663"/>
      <c r="G5" s="2663"/>
      <c r="H5" s="2664"/>
      <c r="I5" s="194"/>
      <c r="J5" s="194"/>
    </row>
    <row r="6" spans="2:11" ht="46" thickBot="1">
      <c r="B6" s="2658">
        <v>2025</v>
      </c>
      <c r="C6" s="2659"/>
      <c r="D6" s="2659"/>
      <c r="E6" s="2659"/>
      <c r="F6" s="2659"/>
      <c r="G6" s="2659"/>
      <c r="H6" s="2660"/>
      <c r="I6" s="293"/>
      <c r="J6" s="293"/>
      <c r="K6" s="194">
        <f>B6</f>
        <v>2025</v>
      </c>
    </row>
    <row r="7" spans="2:11" s="191" customFormat="1" ht="19" thickBot="1">
      <c r="B7" s="2655" t="s">
        <v>164</v>
      </c>
      <c r="C7" s="2656"/>
      <c r="D7" s="2656"/>
      <c r="E7" s="2656"/>
      <c r="F7" s="2656"/>
      <c r="G7" s="2657"/>
      <c r="H7" s="1055"/>
    </row>
    <row r="8" spans="2:11" s="191" customFormat="1" ht="18">
      <c r="B8" s="2665" t="str">
        <f>"Er skolen certificeret som profilskole i "&amp;budgetår-1&amp;"?"</f>
        <v>Er skolen certificeret som profilskole i 2024?</v>
      </c>
      <c r="C8" s="2666"/>
      <c r="D8" s="2666"/>
      <c r="E8" s="2666"/>
      <c r="F8" s="2666"/>
      <c r="G8" s="2667"/>
      <c r="H8" s="2653"/>
      <c r="I8" s="292" t="s">
        <v>165</v>
      </c>
      <c r="J8" s="292" t="s">
        <v>166</v>
      </c>
    </row>
    <row r="9" spans="2:11" ht="29" customHeight="1" thickBot="1">
      <c r="B9" s="2650" t="s">
        <v>167</v>
      </c>
      <c r="C9" s="2651"/>
      <c r="D9" s="2651"/>
      <c r="E9" s="2651"/>
      <c r="F9" s="2651"/>
      <c r="G9" s="2652"/>
      <c r="H9" s="2654"/>
      <c r="J9" s="194"/>
    </row>
    <row r="10" spans="2:11" s="191" customFormat="1" ht="18">
      <c r="B10" s="2665" t="str">
        <f>"Er skolen certificeret som profilskole i "&amp;budgetår&amp;"?"</f>
        <v>Er skolen certificeret som profilskole i 2025?</v>
      </c>
      <c r="C10" s="2666"/>
      <c r="D10" s="2666"/>
      <c r="E10" s="2666"/>
      <c r="F10" s="2666"/>
      <c r="G10" s="2667"/>
      <c r="H10" s="2653"/>
      <c r="I10" s="292" t="s">
        <v>165</v>
      </c>
      <c r="J10" s="292" t="s">
        <v>165</v>
      </c>
    </row>
    <row r="11" spans="2:11" ht="29" customHeight="1" thickBot="1">
      <c r="B11" s="2650" t="s">
        <v>167</v>
      </c>
      <c r="C11" s="2651"/>
      <c r="D11" s="2651"/>
      <c r="E11" s="2651"/>
      <c r="F11" s="2651"/>
      <c r="G11" s="2652"/>
      <c r="H11" s="2654"/>
      <c r="J11" s="194"/>
    </row>
    <row r="12" spans="2:11" ht="19" thickBot="1">
      <c r="B12" s="2655" t="s">
        <v>168</v>
      </c>
      <c r="C12" s="2656"/>
      <c r="D12" s="2656"/>
      <c r="E12" s="2656"/>
      <c r="F12" s="2656"/>
      <c r="G12" s="2657"/>
      <c r="H12" s="891">
        <v>2</v>
      </c>
    </row>
    <row r="15" spans="2:11" ht="14" thickBot="1"/>
    <row r="16" spans="2:11" ht="21" thickBot="1">
      <c r="C16" s="81" t="s">
        <v>169</v>
      </c>
      <c r="E16" s="192" t="s">
        <v>170</v>
      </c>
    </row>
    <row r="17" spans="2:8">
      <c r="B17" s="2638" t="s">
        <v>171</v>
      </c>
      <c r="C17" s="2639"/>
      <c r="D17" s="1056" t="str">
        <f>budgetår-2&amp;"/"&amp;budgetår-1</f>
        <v>2023/2024</v>
      </c>
      <c r="E17" s="1057" t="str">
        <f>budgetår-1&amp;"/"&amp;budgetår</f>
        <v>2024/2025</v>
      </c>
      <c r="F17" s="1057" t="str">
        <f>budgetår-1&amp;"/"&amp;budgetår</f>
        <v>2024/2025</v>
      </c>
      <c r="G17" s="1057" t="str">
        <f>budgetår&amp;"/"&amp;budgetår+1</f>
        <v>2025/2026</v>
      </c>
      <c r="H17" s="1058" t="str">
        <f>budgetår+1&amp;"/"&amp;budgetår+2</f>
        <v>2026/2027</v>
      </c>
    </row>
    <row r="18" spans="2:8" ht="13" customHeight="1">
      <c r="B18" s="2640"/>
      <c r="C18" s="2641"/>
      <c r="D18" s="1059" t="s">
        <v>172</v>
      </c>
      <c r="E18" s="1060" t="s">
        <v>172</v>
      </c>
      <c r="F18" s="1060" t="s">
        <v>173</v>
      </c>
      <c r="G18" s="1060" t="s">
        <v>172</v>
      </c>
      <c r="H18" s="1061" t="s">
        <v>172</v>
      </c>
    </row>
    <row r="19" spans="2:8" ht="28">
      <c r="B19" s="2642"/>
      <c r="C19" s="2643"/>
      <c r="D19" s="1062" t="str">
        <f>"sep.
"&amp;budgetår-2</f>
        <v>sep.
2023</v>
      </c>
      <c r="E19" s="1063" t="str">
        <f>"sep.
"&amp;budgetår-1</f>
        <v>sep.
2024</v>
      </c>
      <c r="F19" s="1064" t="s">
        <v>174</v>
      </c>
      <c r="G19" s="1063" t="str">
        <f>"sep.
"&amp;budgetår</f>
        <v>sep.
2025</v>
      </c>
      <c r="H19" s="1065" t="str">
        <f>"sep.
"&amp;budgetår+1</f>
        <v>sep.
2026</v>
      </c>
    </row>
    <row r="20" spans="2:8" ht="16">
      <c r="B20" s="2648" t="s">
        <v>175</v>
      </c>
      <c r="C20" s="2649"/>
      <c r="D20" s="1066"/>
      <c r="E20" s="1066"/>
      <c r="F20" s="1066"/>
      <c r="G20" s="1067"/>
      <c r="H20" s="1068"/>
    </row>
    <row r="21" spans="2:8" ht="16">
      <c r="B21" s="2648" t="s">
        <v>176</v>
      </c>
      <c r="C21" s="2649"/>
      <c r="D21" s="288"/>
      <c r="E21" s="288"/>
      <c r="F21" s="288"/>
      <c r="G21" s="303">
        <f t="shared" ref="G21:G27" si="0">E20+F20</f>
        <v>0</v>
      </c>
      <c r="H21" s="795">
        <f t="shared" ref="H21:H27" si="1">G20</f>
        <v>0</v>
      </c>
    </row>
    <row r="22" spans="2:8" ht="16">
      <c r="B22" s="2648" t="s">
        <v>177</v>
      </c>
      <c r="C22" s="2649"/>
      <c r="D22" s="288"/>
      <c r="E22" s="288"/>
      <c r="F22" s="288"/>
      <c r="G22" s="303">
        <f t="shared" si="0"/>
        <v>0</v>
      </c>
      <c r="H22" s="795">
        <f t="shared" si="1"/>
        <v>0</v>
      </c>
    </row>
    <row r="23" spans="2:8" ht="16">
      <c r="B23" s="2648" t="s">
        <v>178</v>
      </c>
      <c r="C23" s="2649"/>
      <c r="D23" s="288"/>
      <c r="E23" s="288"/>
      <c r="F23" s="288"/>
      <c r="G23" s="303">
        <f t="shared" si="0"/>
        <v>0</v>
      </c>
      <c r="H23" s="795">
        <f t="shared" si="1"/>
        <v>0</v>
      </c>
    </row>
    <row r="24" spans="2:8" ht="16">
      <c r="B24" s="2648" t="s">
        <v>179</v>
      </c>
      <c r="C24" s="2649"/>
      <c r="D24" s="288"/>
      <c r="E24" s="288"/>
      <c r="F24" s="288"/>
      <c r="G24" s="303">
        <f t="shared" si="0"/>
        <v>0</v>
      </c>
      <c r="H24" s="795">
        <f t="shared" si="1"/>
        <v>0</v>
      </c>
    </row>
    <row r="25" spans="2:8" ht="16">
      <c r="B25" s="2648" t="s">
        <v>180</v>
      </c>
      <c r="C25" s="2649"/>
      <c r="D25" s="288"/>
      <c r="E25" s="288"/>
      <c r="F25" s="288"/>
      <c r="G25" s="303">
        <f t="shared" si="0"/>
        <v>0</v>
      </c>
      <c r="H25" s="795">
        <f t="shared" si="1"/>
        <v>0</v>
      </c>
    </row>
    <row r="26" spans="2:8" ht="16">
      <c r="B26" s="2648" t="s">
        <v>181</v>
      </c>
      <c r="C26" s="2649"/>
      <c r="D26" s="288"/>
      <c r="E26" s="288"/>
      <c r="F26" s="288"/>
      <c r="G26" s="303">
        <f t="shared" si="0"/>
        <v>0</v>
      </c>
      <c r="H26" s="795">
        <f t="shared" si="1"/>
        <v>0</v>
      </c>
    </row>
    <row r="27" spans="2:8" ht="16">
      <c r="B27" s="2648" t="s">
        <v>182</v>
      </c>
      <c r="C27" s="2649"/>
      <c r="D27" s="512"/>
      <c r="E27" s="512"/>
      <c r="F27" s="288"/>
      <c r="G27" s="303">
        <f t="shared" si="0"/>
        <v>0</v>
      </c>
      <c r="H27" s="795">
        <f t="shared" si="1"/>
        <v>0</v>
      </c>
    </row>
    <row r="28" spans="2:8" ht="16">
      <c r="B28" s="2648" t="s">
        <v>183</v>
      </c>
      <c r="C28" s="2649"/>
      <c r="D28" s="512"/>
      <c r="E28" s="512"/>
      <c r="F28" s="288"/>
      <c r="G28" s="303">
        <f>E27+F27</f>
        <v>0</v>
      </c>
      <c r="H28" s="796"/>
    </row>
    <row r="29" spans="2:8" ht="16">
      <c r="B29" s="2648" t="s">
        <v>184</v>
      </c>
      <c r="C29" s="2649"/>
      <c r="D29" s="512"/>
      <c r="E29" s="512"/>
      <c r="F29" s="288"/>
      <c r="G29" s="303">
        <f>E28+F28</f>
        <v>0</v>
      </c>
      <c r="H29" s="796"/>
    </row>
    <row r="30" spans="2:8" ht="16">
      <c r="B30" s="2648" t="s">
        <v>185</v>
      </c>
      <c r="C30" s="2649"/>
      <c r="D30" s="305"/>
      <c r="E30" s="288"/>
      <c r="F30" s="288"/>
      <c r="G30" s="288"/>
      <c r="H30" s="796"/>
    </row>
    <row r="31" spans="2:8" ht="16">
      <c r="B31" s="2644" t="s">
        <v>186</v>
      </c>
      <c r="C31" s="2645"/>
      <c r="D31" s="306">
        <f>SUM(D20:D30)</f>
        <v>0</v>
      </c>
      <c r="E31" s="303">
        <f>SUM(E20:E30)</f>
        <v>0</v>
      </c>
      <c r="F31" s="303">
        <f>SUM(F20:F30)</f>
        <v>0</v>
      </c>
      <c r="G31" s="303">
        <f>SUM(G20:G30)</f>
        <v>0</v>
      </c>
      <c r="H31" s="795">
        <f>SUM(H20:H30)</f>
        <v>0</v>
      </c>
    </row>
    <row r="32" spans="2:8" ht="16">
      <c r="B32" s="2644" t="s">
        <v>187</v>
      </c>
      <c r="C32" s="2645"/>
      <c r="D32" s="307">
        <f>+D31-D33-D34</f>
        <v>0</v>
      </c>
      <c r="E32" s="308">
        <f>+E31-E33-E34</f>
        <v>0</v>
      </c>
      <c r="F32" s="309"/>
      <c r="G32" s="308">
        <f>+G31-G33-G34</f>
        <v>0</v>
      </c>
      <c r="H32" s="797">
        <f>+H31-H33-H34</f>
        <v>0</v>
      </c>
    </row>
    <row r="33" spans="2:8" ht="16">
      <c r="B33" s="2644" t="s">
        <v>188</v>
      </c>
      <c r="C33" s="2645"/>
      <c r="D33" s="305"/>
      <c r="E33" s="310"/>
      <c r="F33" s="311"/>
      <c r="G33" s="310"/>
      <c r="H33" s="798"/>
    </row>
    <row r="34" spans="2:8" ht="16">
      <c r="B34" s="2644" t="s">
        <v>189</v>
      </c>
      <c r="C34" s="2645"/>
      <c r="D34" s="312">
        <f>+D30</f>
        <v>0</v>
      </c>
      <c r="E34" s="313">
        <f>E30</f>
        <v>0</v>
      </c>
      <c r="F34" s="311"/>
      <c r="G34" s="303">
        <f>G30</f>
        <v>0</v>
      </c>
      <c r="H34" s="795">
        <f>+H30</f>
        <v>0</v>
      </c>
    </row>
    <row r="35" spans="2:8" ht="16">
      <c r="B35" s="2644" t="s">
        <v>190</v>
      </c>
      <c r="C35" s="2645"/>
      <c r="D35" s="304"/>
      <c r="E35" s="288"/>
      <c r="F35" s="311"/>
      <c r="G35" s="288"/>
      <c r="H35" s="796"/>
    </row>
    <row r="36" spans="2:8" ht="18" customHeight="1">
      <c r="B36" s="2646" t="s">
        <v>191</v>
      </c>
      <c r="C36" s="2647"/>
      <c r="D36" s="291"/>
      <c r="E36" s="291"/>
      <c r="F36" s="314"/>
      <c r="G36" s="315"/>
      <c r="H36" s="799"/>
    </row>
    <row r="37" spans="2:8" ht="16">
      <c r="B37" s="2644" t="s">
        <v>192</v>
      </c>
      <c r="C37" s="2645"/>
      <c r="D37" s="307">
        <f>SUM(D20:D23)</f>
        <v>0</v>
      </c>
      <c r="E37" s="308">
        <f>SUM(E20:E23)</f>
        <v>0</v>
      </c>
      <c r="F37" s="309"/>
      <c r="G37" s="308">
        <f>SUM(G20:G23)</f>
        <v>0</v>
      </c>
      <c r="H37" s="797">
        <f>SUM(H20:H23)</f>
        <v>0</v>
      </c>
    </row>
    <row r="38" spans="2:8" ht="16">
      <c r="B38" s="2634" t="s">
        <v>193</v>
      </c>
      <c r="C38" s="2635"/>
      <c r="D38" s="305"/>
      <c r="E38" s="512"/>
      <c r="F38" s="316"/>
      <c r="G38" s="513"/>
      <c r="H38" s="514"/>
    </row>
    <row r="39" spans="2:8" ht="17" thickBot="1">
      <c r="B39" s="2636" t="s">
        <v>194</v>
      </c>
      <c r="C39" s="2637"/>
      <c r="D39" s="317"/>
      <c r="E39" s="318"/>
      <c r="F39" s="319"/>
      <c r="G39" s="344"/>
      <c r="H39" s="320"/>
    </row>
    <row r="41" spans="2:8">
      <c r="B41" s="358"/>
      <c r="C41" s="358"/>
      <c r="D41" s="358"/>
      <c r="E41" s="358"/>
      <c r="F41" s="358"/>
      <c r="G41" s="358"/>
      <c r="H41" s="358"/>
    </row>
    <row r="42" spans="2:8">
      <c r="B42" s="358"/>
      <c r="C42" s="358"/>
      <c r="D42" s="367">
        <f>IF(elevtal_1&lt;=100,4260,"0")</f>
        <v>4260</v>
      </c>
      <c r="E42" s="368" t="str">
        <f>IF(AND(elevtal_1&gt;=101,elevtal_1&lt;=200),5320,"0")</f>
        <v>0</v>
      </c>
      <c r="F42" s="194" t="str">
        <f>IF(AND(elevtal_1&gt;=201,elevtal_1&lt;=300),6400,"0")</f>
        <v>0</v>
      </c>
      <c r="G42" s="194" t="str">
        <f>IF(AND(elevtal_1&gt;=301,elevtal_1&lt;=400),7460,"0")</f>
        <v>0</v>
      </c>
      <c r="H42" s="367" t="str">
        <f>IF(elevtal_1&gt;400,"8530","0")</f>
        <v>0</v>
      </c>
    </row>
    <row r="43" spans="2:8">
      <c r="B43" s="358"/>
      <c r="C43" s="358"/>
      <c r="D43" s="358"/>
      <c r="E43" s="358"/>
      <c r="F43" s="358"/>
      <c r="G43" s="358"/>
      <c r="H43" s="358"/>
    </row>
    <row r="44" spans="2:8">
      <c r="B44" s="358"/>
      <c r="C44" s="358"/>
      <c r="D44" s="358"/>
      <c r="E44" s="358"/>
      <c r="F44" s="358"/>
      <c r="G44" s="358"/>
      <c r="H44" s="358"/>
    </row>
    <row r="45" spans="2:8">
      <c r="B45" s="358"/>
      <c r="C45" s="358"/>
      <c r="D45" s="358"/>
      <c r="E45" s="358"/>
      <c r="F45" s="358"/>
      <c r="G45" s="358"/>
      <c r="H45" s="358"/>
    </row>
    <row r="46" spans="2:8">
      <c r="B46" s="358"/>
      <c r="C46" s="358"/>
      <c r="D46" s="358"/>
      <c r="E46" s="358"/>
      <c r="F46" s="358"/>
      <c r="G46" s="358"/>
      <c r="H46" s="358"/>
    </row>
  </sheetData>
  <sheetProtection sheet="1" formatCells="0" formatColumns="0" formatRows="0" selectLockedCells="1"/>
  <mergeCells count="32">
    <mergeCell ref="B9:G9"/>
    <mergeCell ref="H8:H9"/>
    <mergeCell ref="B12:G12"/>
    <mergeCell ref="B6:H6"/>
    <mergeCell ref="B2:H2"/>
    <mergeCell ref="B5:H5"/>
    <mergeCell ref="B7:G7"/>
    <mergeCell ref="B8:G8"/>
    <mergeCell ref="B10:G10"/>
    <mergeCell ref="H10:H11"/>
    <mergeCell ref="B11:G11"/>
    <mergeCell ref="B26:C26"/>
    <mergeCell ref="B27:C27"/>
    <mergeCell ref="B20:C20"/>
    <mergeCell ref="B21:C21"/>
    <mergeCell ref="B22:C22"/>
    <mergeCell ref="B38:C38"/>
    <mergeCell ref="B39:C39"/>
    <mergeCell ref="B17:C19"/>
    <mergeCell ref="B33:C33"/>
    <mergeCell ref="B34:C34"/>
    <mergeCell ref="B35:C35"/>
    <mergeCell ref="B36:C36"/>
    <mergeCell ref="B37:C37"/>
    <mergeCell ref="B28:C28"/>
    <mergeCell ref="B29:C29"/>
    <mergeCell ref="B30:C30"/>
    <mergeCell ref="B31:C31"/>
    <mergeCell ref="B32:C32"/>
    <mergeCell ref="B23:C23"/>
    <mergeCell ref="B24:C24"/>
    <mergeCell ref="B25:C25"/>
  </mergeCells>
  <phoneticPr fontId="55" type="noConversion"/>
  <dataValidations count="1">
    <dataValidation type="list" allowBlank="1" showInputMessage="1" showErrorMessage="1" sqref="H8:H11" xr:uid="{00000000-0002-0000-0200-000000000000}">
      <formula1>$I$8:$I$9</formula1>
    </dataValidation>
  </dataValidations>
  <printOptions horizontalCentered="1" verticalCentered="1"/>
  <pageMargins left="0.69" right="0.67" top="0.98" bottom="0.83" header="0.51" footer="0.51"/>
  <pageSetup paperSize="9" scale="81" orientation="portrait"/>
  <headerFooter scaleWithDoc="0" alignWithMargins="0">
    <oddFooter xml:space="preserve">&amp;L&amp;G&amp;R
&amp;D
&amp;A
</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rgb="FF00B0F0"/>
  </sheetPr>
  <dimension ref="A1:AC137"/>
  <sheetViews>
    <sheetView topLeftCell="B1" zoomScale="165" zoomScaleNormal="100" workbookViewId="0">
      <pane ySplit="1" topLeftCell="A2" activePane="bottomLeft" state="frozen"/>
      <selection pane="bottomLeft" activeCell="F83" sqref="F83"/>
    </sheetView>
  </sheetViews>
  <sheetFormatPr baseColWidth="10" defaultColWidth="11.5" defaultRowHeight="13"/>
  <cols>
    <col min="1" max="1" width="2.5" customWidth="1"/>
    <col min="2" max="2" width="11.1640625" style="2" customWidth="1"/>
    <col min="3" max="3" width="60.83203125" style="5" customWidth="1"/>
    <col min="4" max="4" width="13.5" style="5" customWidth="1"/>
    <col min="5" max="5" width="14.83203125" style="5" customWidth="1"/>
    <col min="6" max="6" width="13.5" style="5" customWidth="1"/>
    <col min="7" max="7" width="13" style="5" customWidth="1"/>
    <col min="8" max="8" width="14.5" customWidth="1"/>
    <col min="9" max="9" width="8.83203125" customWidth="1"/>
    <col min="10" max="10" width="14.83203125" customWidth="1"/>
    <col min="11" max="11" width="8.83203125" customWidth="1"/>
    <col min="12" max="12" width="3.1640625" customWidth="1"/>
  </cols>
  <sheetData>
    <row r="1" spans="1:29" s="99" customFormat="1" ht="26.25" customHeight="1" thickBot="1">
      <c r="A1" s="948"/>
      <c r="B1" s="948"/>
      <c r="C1" s="2688"/>
      <c r="D1" s="2688"/>
      <c r="E1" s="2688"/>
      <c r="F1" s="2688"/>
      <c r="G1" s="997"/>
      <c r="H1" s="1069"/>
      <c r="I1"/>
      <c r="J1"/>
      <c r="K1"/>
      <c r="L1"/>
      <c r="M1"/>
      <c r="N1"/>
      <c r="O1"/>
      <c r="P1"/>
      <c r="Q1"/>
      <c r="R1"/>
      <c r="S1"/>
      <c r="T1"/>
      <c r="U1"/>
      <c r="V1"/>
      <c r="W1"/>
      <c r="X1"/>
      <c r="Y1"/>
      <c r="Z1"/>
      <c r="AA1"/>
      <c r="AB1"/>
      <c r="AC1"/>
    </row>
    <row r="2" spans="1:29" ht="49" customHeight="1">
      <c r="A2" s="1070"/>
      <c r="B2" s="1071"/>
      <c r="C2" s="1072" t="s">
        <v>195</v>
      </c>
      <c r="D2" s="1073" t="str">
        <f>"Regnskab "&amp;budgetår-2</f>
        <v>Regnskab 2023</v>
      </c>
      <c r="E2" s="1074" t="str">
        <f>"Regnskab "&amp;budgetår-1</f>
        <v>Regnskab 2024</v>
      </c>
      <c r="F2" s="2668" t="str">
        <f>"BUDGET "&amp;budgetår</f>
        <v>BUDGET 2025</v>
      </c>
      <c r="G2" s="1075" t="str">
        <f>"BUDGET "&amp;budgetår+1</f>
        <v>BUDGET 2026</v>
      </c>
      <c r="H2" s="1076" t="str">
        <f>"Budget "&amp;Forside!B5</f>
        <v>Budget Min egen skole</v>
      </c>
      <c r="I2" s="800"/>
    </row>
    <row r="3" spans="1:29" ht="57" thickBot="1">
      <c r="A3" s="801"/>
      <c r="B3" s="57"/>
      <c r="C3" s="802" t="s">
        <v>196</v>
      </c>
      <c r="D3" s="803" t="s">
        <v>197</v>
      </c>
      <c r="E3" s="1077" t="s">
        <v>198</v>
      </c>
      <c r="F3" s="2669"/>
      <c r="G3" s="533" t="str">
        <f>budgetår+1&amp;""&amp;"("&amp;budgetår&amp;"+"&amp;fremskrivning*100&amp;"%)"</f>
        <v>2026(2025+1,5%)</v>
      </c>
      <c r="H3" s="804" t="str">
        <f>F2&amp;" /elev "</f>
        <v xml:space="preserve">BUDGET 2025 /elev </v>
      </c>
    </row>
    <row r="4" spans="1:29" ht="15" customHeight="1">
      <c r="A4" s="2691" t="s">
        <v>199</v>
      </c>
      <c r="B4" s="2692"/>
      <c r="C4" s="1078" t="s">
        <v>200</v>
      </c>
      <c r="D4" s="294"/>
      <c r="E4" s="1079">
        <f>elevtal_1</f>
        <v>0</v>
      </c>
      <c r="F4" s="1080">
        <f>Elevtal</f>
        <v>0</v>
      </c>
      <c r="G4" s="1081">
        <f>elevtal_2</f>
        <v>0</v>
      </c>
      <c r="H4" s="1082"/>
    </row>
    <row r="5" spans="1:29" ht="14">
      <c r="A5" s="2691"/>
      <c r="B5" s="2692"/>
      <c r="C5" s="1083" t="s">
        <v>201</v>
      </c>
      <c r="D5" s="294"/>
      <c r="E5" s="1084">
        <f>ROUND((D4*7/12)+(E4*5/12),2)</f>
        <v>0</v>
      </c>
      <c r="F5" s="1084">
        <f>ROUND((E4*7/12)+(F4*5/12),2)</f>
        <v>0</v>
      </c>
      <c r="G5" s="1084">
        <f>ROUND((F4*7/12)+(G4*5/12),2)</f>
        <v>0</v>
      </c>
      <c r="H5" s="1085">
        <f>ROUND(((E4*7)+(F4*5))/12,2)</f>
        <v>0</v>
      </c>
    </row>
    <row r="6" spans="1:29" ht="14" customHeight="1">
      <c r="A6" s="2691"/>
      <c r="B6" s="2692"/>
      <c r="C6" s="1083" t="s">
        <v>202</v>
      </c>
      <c r="D6" s="294"/>
      <c r="E6" s="1079">
        <f>Forside!E38</f>
        <v>0</v>
      </c>
      <c r="F6" s="1086">
        <f>Forside!G38</f>
        <v>0</v>
      </c>
      <c r="G6" s="1087">
        <f>IF(Forside!H38=0,0,Forside!H38)</f>
        <v>0</v>
      </c>
      <c r="H6" s="1085" t="str">
        <f>"pr. / elev "</f>
        <v xml:space="preserve">pr. / elev </v>
      </c>
    </row>
    <row r="7" spans="1:29" ht="14" customHeight="1">
      <c r="A7" s="537"/>
      <c r="B7" s="534"/>
      <c r="C7" s="1088" t="s">
        <v>203</v>
      </c>
      <c r="D7" s="294"/>
      <c r="E7" s="1089"/>
      <c r="F7" s="1090">
        <f>IF('Heltids SFO'!M12&gt;0,'Heltids SFO'!O10,0)</f>
        <v>0</v>
      </c>
      <c r="G7" s="1091"/>
      <c r="H7" s="1092"/>
    </row>
    <row r="8" spans="1:29" ht="14">
      <c r="A8" s="2678"/>
      <c r="B8" s="2679"/>
      <c r="C8" s="1093" t="s">
        <v>204</v>
      </c>
      <c r="D8" s="294"/>
      <c r="E8" s="1094"/>
      <c r="F8" s="1095">
        <f>IF(Daginstitution!E3&gt;0,Daginstitution!Q115,0)</f>
        <v>0</v>
      </c>
      <c r="G8" s="1096"/>
      <c r="H8" s="1092"/>
    </row>
    <row r="9" spans="1:29" ht="15" thickBot="1">
      <c r="A9" s="2678"/>
      <c r="B9" s="2679"/>
      <c r="C9" s="1097" t="s">
        <v>205</v>
      </c>
      <c r="D9" s="294"/>
      <c r="E9" s="1094"/>
      <c r="F9" s="1095">
        <f>IF(Daginstitution!E56&gt;0,Daginstitution!Q116,0)</f>
        <v>0</v>
      </c>
      <c r="G9" s="1098"/>
      <c r="H9" s="1099"/>
    </row>
    <row r="10" spans="1:29" ht="14" thickBot="1">
      <c r="A10" s="805"/>
      <c r="B10" s="61"/>
      <c r="C10" s="806"/>
      <c r="D10" s="62"/>
      <c r="E10" s="62"/>
      <c r="F10" s="62">
        <f>SUM(F8:F9)</f>
        <v>0</v>
      </c>
      <c r="G10" s="62">
        <f>SUM(G8:G9)</f>
        <v>0</v>
      </c>
      <c r="H10" s="807"/>
    </row>
    <row r="11" spans="1:29" s="346" customFormat="1" ht="14" thickBot="1">
      <c r="A11" s="1100"/>
      <c r="B11" s="1101"/>
      <c r="C11" s="2695" t="s">
        <v>206</v>
      </c>
      <c r="D11" s="2696"/>
      <c r="E11" s="2696"/>
      <c r="F11" s="2696"/>
      <c r="G11" s="2696"/>
      <c r="H11" s="2697"/>
    </row>
    <row r="12" spans="1:29" ht="17" customHeight="1">
      <c r="A12" s="347"/>
      <c r="B12" s="85"/>
      <c r="C12" s="1102" t="s">
        <v>207</v>
      </c>
      <c r="D12" s="689"/>
      <c r="E12" s="1103"/>
      <c r="F12" s="1104">
        <f>Statstilskud!K45</f>
        <v>0</v>
      </c>
      <c r="G12" s="1105">
        <f>Statstilskud!K107</f>
        <v>0</v>
      </c>
      <c r="H12" s="1106">
        <f t="shared" ref="H12:H65" si="0">IF($F$4=0,0,F12/((($E$4*7)+($F$4*5))/12))</f>
        <v>0</v>
      </c>
    </row>
    <row r="13" spans="1:29" ht="14" thickBot="1">
      <c r="A13" s="347"/>
      <c r="B13" s="85"/>
      <c r="C13" s="1107" t="s">
        <v>208</v>
      </c>
      <c r="D13" s="689"/>
      <c r="E13" s="690"/>
      <c r="F13" s="1108">
        <f>Statstilskud!K64</f>
        <v>135843</v>
      </c>
      <c r="G13" s="1108">
        <f>Statstilskud!K127</f>
        <v>135843</v>
      </c>
      <c r="H13" s="1109">
        <f t="shared" si="0"/>
        <v>0</v>
      </c>
    </row>
    <row r="14" spans="1:29" ht="14" thickBot="1">
      <c r="A14" s="347"/>
      <c r="B14" s="85"/>
      <c r="C14" s="2674" t="s">
        <v>209</v>
      </c>
      <c r="D14" s="2675"/>
      <c r="E14" s="2675"/>
      <c r="F14" s="2675"/>
      <c r="G14" s="2675"/>
      <c r="H14" s="2676"/>
    </row>
    <row r="15" spans="1:29">
      <c r="A15" s="2684"/>
      <c r="B15" s="2685"/>
      <c r="C15" s="1110" t="s">
        <v>210</v>
      </c>
      <c r="D15" s="1111"/>
      <c r="E15" s="1103"/>
      <c r="F15" s="1112">
        <f>IF('Skolepenge, pasningsordning.'!G16=0,0,'Skolepenge, pasningsordning.'!I34)</f>
        <v>0</v>
      </c>
      <c r="G15" s="1113" t="str">
        <f>IF(G4=0,"0",(('Skolepenge, pasningsordning.'!G30/'Skolepenge, pasningsordning.'!F20*'Skolepenge, pasningsordning.'!F6)+'Skolepenge, pasningsordning.'!G30/Hovedskema!F4*Hovedskema!G4+'Skolepenge, pasningsordning.'!I33+'Skolepenge, pasningsordning.'!I31))</f>
        <v>0</v>
      </c>
      <c r="H15" s="1114">
        <f t="shared" si="0"/>
        <v>0</v>
      </c>
    </row>
    <row r="16" spans="1:29">
      <c r="A16" s="2684"/>
      <c r="B16" s="2685"/>
      <c r="C16" s="1115" t="s">
        <v>211</v>
      </c>
      <c r="D16" s="1116"/>
      <c r="E16" s="1117"/>
      <c r="F16" s="1118" t="str">
        <f>IF(F6=0,"0",'Skolepenge, pasningsordning.'!I68)</f>
        <v>0</v>
      </c>
      <c r="G16" s="1118">
        <f>IF(G6=0,"0",('Skolepenge, pasningsordning.'!G64/'Skolepenge, pasningsordning.'!F54*'Skolepenge, pasningsordning.'!F40)+'Skolepenge, pasningsordning.'!G64/Forside!G38*Forside!H38)+'Skolepenge, pasningsordning.'!I67+'Skolepenge, pasningsordning.'!I65</f>
        <v>0</v>
      </c>
      <c r="H16" s="1119">
        <f>IF($F$6=0,0,F16/((($E$6*7)+($F$6*5))/12))</f>
        <v>0</v>
      </c>
    </row>
    <row r="17" spans="1:13">
      <c r="A17" s="332"/>
      <c r="B17" s="85"/>
      <c r="C17" s="1120" t="s">
        <v>212</v>
      </c>
      <c r="D17" s="1116"/>
      <c r="E17" s="1117"/>
      <c r="F17" s="1121">
        <f>'Skolepenge, pasningsordning.'!I91</f>
        <v>0</v>
      </c>
      <c r="G17" s="1118" t="str">
        <f>IF(Forside!H39=0,"0",'Skolepenge, pasningsordning.'!G90/'Skolepenge, pasningsordning.'!F84*'Skolepenge, pasningsordning.'!F74+('Skolepenge, pasningsordning.'!G90/'Skolepenge, pasningsordning.'!E90*Forside!H39))</f>
        <v>0</v>
      </c>
      <c r="H17" s="1119">
        <f>IF(Forside!E39=0,0,F17/(((Forside!E39*7)+(Forside!G39*5))/12))</f>
        <v>0</v>
      </c>
    </row>
    <row r="18" spans="1:13" ht="16" customHeight="1">
      <c r="A18" s="2684"/>
      <c r="B18" s="2685"/>
      <c r="C18" s="1120" t="s">
        <v>213</v>
      </c>
      <c r="D18" s="1122"/>
      <c r="E18" s="1117"/>
      <c r="F18" s="1123" t="str">
        <f>IF(F8=0,"0",Daginstitution!S37+Daginstitution!S45)</f>
        <v>0</v>
      </c>
      <c r="G18" s="1123" t="str">
        <f>IF(G8=0,"0",(F18/Daginstitution!E3*Daginstitution!E4)/Hovedskema!F8*Hovedskema!G8)</f>
        <v>0</v>
      </c>
      <c r="H18" s="1124" t="str">
        <f>IF(F8=0,"0",F18/Daginstitution!E3*Daginstitution!E4/Hovedskema!F8)</f>
        <v>0</v>
      </c>
      <c r="M18" s="10"/>
    </row>
    <row r="19" spans="1:13" ht="16" customHeight="1">
      <c r="A19" s="332"/>
      <c r="B19" s="85"/>
      <c r="C19" s="1115" t="s">
        <v>214</v>
      </c>
      <c r="D19" s="1122"/>
      <c r="E19" s="1117"/>
      <c r="F19" s="1123" t="str">
        <f>IF(F9=0,"0",Daginstitution!S90+Daginstitution!S98)</f>
        <v>0</v>
      </c>
      <c r="G19" s="1123" t="str">
        <f>IF(G9=0,"0",(F19/Daginstitution!E56*Daginstitution!E57)/Hovedskema!F9*Hovedskema!G9)</f>
        <v>0</v>
      </c>
      <c r="H19" s="1124" t="str">
        <f>IF(F9=0,"0",F19/Daginstitution!E56*Daginstitution!E57/Hovedskema!F9)</f>
        <v>0</v>
      </c>
      <c r="M19" s="10"/>
    </row>
    <row r="20" spans="1:13" ht="16" customHeight="1">
      <c r="A20" s="332"/>
      <c r="B20" s="85"/>
      <c r="C20" s="1115" t="s">
        <v>215</v>
      </c>
      <c r="D20" s="1122"/>
      <c r="E20" s="1117"/>
      <c r="F20" s="1125">
        <f>'Heltids SFO'!M12+'Heltids SFO'!M20</f>
        <v>0</v>
      </c>
      <c r="G20" s="1126">
        <f>IF(F20&gt;0,F20/F7*G7,0)</f>
        <v>0</v>
      </c>
      <c r="H20" s="1124">
        <f>IF(F20&gt;0,F20/F7,0)</f>
        <v>0</v>
      </c>
      <c r="I20" s="356"/>
      <c r="M20" s="10"/>
    </row>
    <row r="21" spans="1:13" ht="16" customHeight="1" thickBot="1">
      <c r="A21" s="332"/>
      <c r="B21" s="85"/>
      <c r="C21" s="1127" t="s">
        <v>216</v>
      </c>
      <c r="D21" s="1128"/>
      <c r="E21" s="1129"/>
      <c r="F21" s="1130">
        <f>'Skolepenge, pasningsordning.'!H108-'Skolepenge, pasningsordning.'!H97-'Skolepenge, pasningsordning.'!H98-'Skolepenge, pasningsordning.'!H99</f>
        <v>0</v>
      </c>
      <c r="G21" s="1131">
        <f>'Skolepenge, pasningsordning.'!I108-'Skolepenge, pasningsordning.'!I97-'Skolepenge, pasningsordning.'!I98-'Skolepenge, pasningsordning.'!I99</f>
        <v>0</v>
      </c>
      <c r="H21" s="1132">
        <f t="shared" si="0"/>
        <v>0</v>
      </c>
      <c r="I21" s="358"/>
      <c r="M21" s="10"/>
    </row>
    <row r="22" spans="1:13" ht="16" customHeight="1" thickBot="1">
      <c r="A22" s="332"/>
      <c r="B22" s="85"/>
      <c r="C22" s="2670" t="s">
        <v>217</v>
      </c>
      <c r="D22" s="2677"/>
      <c r="E22" s="2677"/>
      <c r="F22" s="2672"/>
      <c r="G22" s="2672"/>
      <c r="H22" s="2673"/>
      <c r="M22" s="10"/>
    </row>
    <row r="23" spans="1:13" ht="16" customHeight="1">
      <c r="A23" s="332"/>
      <c r="B23" s="85"/>
      <c r="C23" s="1133" t="s">
        <v>218</v>
      </c>
      <c r="D23" s="1134"/>
      <c r="E23" s="1135"/>
      <c r="F23" s="498">
        <f>'Skolepenge, pasningsordning.'!H118</f>
        <v>0</v>
      </c>
      <c r="G23" s="498">
        <f>'Skolepenge, pasningsordning.'!I118</f>
        <v>0</v>
      </c>
      <c r="H23" s="499" t="str">
        <f>IF(F6=0,"0",F23/F6)</f>
        <v>0</v>
      </c>
      <c r="M23" s="10"/>
    </row>
    <row r="24" spans="1:13" ht="16" customHeight="1">
      <c r="A24" s="332"/>
      <c r="B24" s="85"/>
      <c r="C24" s="1136" t="s">
        <v>219</v>
      </c>
      <c r="D24" s="1137"/>
      <c r="E24" s="1138"/>
      <c r="F24" s="1139">
        <f>'Skolepenge, pasningsordning.'!H119</f>
        <v>0</v>
      </c>
      <c r="G24" s="1139">
        <f>'Skolepenge, pasningsordning.'!I119</f>
        <v>0</v>
      </c>
      <c r="H24" s="1140" t="str">
        <f>IF(Forside!H39=0,"0",Hovedskema!F24/Forside!E39)</f>
        <v>0</v>
      </c>
      <c r="M24" s="10"/>
    </row>
    <row r="25" spans="1:13" ht="16" customHeight="1">
      <c r="A25" s="332"/>
      <c r="B25" s="85"/>
      <c r="C25" s="1141" t="s">
        <v>220</v>
      </c>
      <c r="D25" s="1137"/>
      <c r="E25" s="1138"/>
      <c r="F25" s="1142">
        <f>Daginstitution!T37</f>
        <v>0</v>
      </c>
      <c r="G25" s="1139" t="str">
        <f>IF(G8=0,"0",(F25/Daginstitution!T3*Daginstitution!T4)/Hovedskema!F8*Hovedskema!G8)</f>
        <v>0</v>
      </c>
      <c r="H25" s="1140" t="str">
        <f>IF(F8=0,"0",(F25/Daginstitution!T3*Daginstitution!T4)/Hovedskema!F8)</f>
        <v>0</v>
      </c>
      <c r="M25" s="10"/>
    </row>
    <row r="26" spans="1:13" ht="16" customHeight="1">
      <c r="A26" s="332"/>
      <c r="B26" s="85"/>
      <c r="C26" s="1141" t="s">
        <v>221</v>
      </c>
      <c r="D26" s="1137"/>
      <c r="E26" s="1138"/>
      <c r="F26" s="1142">
        <f>Daginstitution!T90</f>
        <v>0</v>
      </c>
      <c r="G26" s="1139" t="str">
        <f>IF(G9=0,"0",(F26/Daginstitution!T56*Daginstitution!T57/F9*Hovedskema!G9))</f>
        <v>0</v>
      </c>
      <c r="H26" s="1140" t="str">
        <f>IF(F9=0,"0",(F26/Daginstitution!T56*Daginstitution!T57)/Hovedskema!F9)</f>
        <v>0</v>
      </c>
      <c r="M26" s="10"/>
    </row>
    <row r="27" spans="1:13" ht="16" customHeight="1">
      <c r="A27" s="332"/>
      <c r="B27" s="85"/>
      <c r="C27" s="1141" t="s">
        <v>222</v>
      </c>
      <c r="D27" s="1137"/>
      <c r="E27" s="1138"/>
      <c r="F27" s="1142">
        <f>'Heltids SFO'!N12</f>
        <v>0</v>
      </c>
      <c r="G27" s="1143">
        <f>IF(F27&gt;0,F27/F7*G7,0)</f>
        <v>0</v>
      </c>
      <c r="H27" s="1140">
        <f>IF(F27&gt;0,F27/F7,0)</f>
        <v>0</v>
      </c>
      <c r="M27" s="10"/>
    </row>
    <row r="28" spans="1:13" ht="17" customHeight="1" thickBot="1">
      <c r="A28" s="2689"/>
      <c r="B28" s="2690"/>
      <c r="C28" s="1144" t="s">
        <v>223</v>
      </c>
      <c r="D28" s="1145"/>
      <c r="E28" s="1146"/>
      <c r="F28" s="1147">
        <f>('Skolepenge, pasningsordning.'!H148-'Skolepenge, pasningsordning.'!H112-'Skolepenge, pasningsordning.'!H113-'Skolepenge, pasningsordning.'!H114-'Skolepenge, pasningsordning.'!H118-'Skolepenge, pasningsordning.'!H119)</f>
        <v>0</v>
      </c>
      <c r="G28" s="1148">
        <f>IF(F28&gt;0,'Skolepenge, pasningsordning.'!I148-SUM('Skolepenge, pasningsordning.'!I112:I119)+'Skolepenge, pasningsordning.'!I115+'Skolepenge, pasningsordning.'!I116+'Skolepenge, pasningsordning.'!I117,0)</f>
        <v>0</v>
      </c>
      <c r="H28" s="1149">
        <f t="shared" si="0"/>
        <v>0</v>
      </c>
    </row>
    <row r="29" spans="1:13" ht="16" customHeight="1" thickBot="1">
      <c r="A29" s="2686"/>
      <c r="B29" s="2687"/>
      <c r="C29" s="809" t="s">
        <v>224</v>
      </c>
      <c r="D29" s="810">
        <f>SUM(D12:D28)</f>
        <v>0</v>
      </c>
      <c r="E29" s="811">
        <f>SUM(E12:E28)</f>
        <v>0</v>
      </c>
      <c r="F29" s="811">
        <f>SUM(F12:F28)</f>
        <v>135843</v>
      </c>
      <c r="G29" s="811">
        <f>SUM(G12:G28)</f>
        <v>135843</v>
      </c>
      <c r="H29" s="812">
        <f>IF($F$4=0,0,F29/((($E$4*7)+($F$4*5))/12))</f>
        <v>0</v>
      </c>
    </row>
    <row r="30" spans="1:13" ht="16" customHeight="1" thickBot="1">
      <c r="A30" s="332"/>
      <c r="B30" s="85"/>
      <c r="C30" s="2670" t="s">
        <v>225</v>
      </c>
      <c r="D30" s="2671"/>
      <c r="E30" s="2672"/>
      <c r="F30" s="2672"/>
      <c r="G30" s="2672"/>
      <c r="H30" s="2673"/>
      <c r="M30" s="10"/>
    </row>
    <row r="31" spans="1:13" ht="16" customHeight="1">
      <c r="A31" s="2693"/>
      <c r="B31" s="2694"/>
      <c r="C31" s="106" t="s">
        <v>226</v>
      </c>
      <c r="D31" s="1150"/>
      <c r="E31" s="1151"/>
      <c r="F31" s="500">
        <f>'lon undervisning'!AE67+'lon undervisning'!AG94+SUM('lon undervisning'!AC94:AD94)+'Lon pæd., TAP mm'!BZ56+'Lon pæd., TAP mm'!BY81+'Lon pæd., TAP mm'!BZ81+'Lon pæd., TAP mm'!BZ84</f>
        <v>0</v>
      </c>
      <c r="G31" s="500">
        <f>'lon undervisning'!AE68+'lon undervisning'!AG96+SUM('lon undervisning'!AC96:AD96)+'Lon pæd., TAP mm'!BZ57+'Lon pæd., TAP mm'!BY83+'Lon pæd., TAP mm'!BZ83+'Lon pæd., TAP mm'!BZ85</f>
        <v>0</v>
      </c>
      <c r="H31" s="501">
        <f t="shared" si="0"/>
        <v>0</v>
      </c>
      <c r="I31" s="358"/>
    </row>
    <row r="32" spans="1:13" ht="16" customHeight="1">
      <c r="A32" s="2693"/>
      <c r="B32" s="2694"/>
      <c r="C32" s="892" t="s">
        <v>227</v>
      </c>
      <c r="D32" s="1152"/>
      <c r="E32" s="1151"/>
      <c r="F32" s="1153">
        <f>'lon undervisning'!AE82+SUM('Lon pæd., TAP mm'!BO68:BZ68)</f>
        <v>0</v>
      </c>
      <c r="G32" s="1153">
        <f>'lon undervisning'!AE83+SUM('Lon pæd., TAP mm'!BO69:BZ69)</f>
        <v>0</v>
      </c>
      <c r="H32" s="893">
        <f t="shared" si="0"/>
        <v>0</v>
      </c>
    </row>
    <row r="33" spans="1:13" ht="16" customHeight="1">
      <c r="A33" s="2684"/>
      <c r="B33" s="2685"/>
      <c r="C33" s="106" t="s">
        <v>228</v>
      </c>
      <c r="D33" s="1152"/>
      <c r="E33" s="1151"/>
      <c r="F33" s="1154">
        <f>'Lon pæd., TAP mm'!W84+'Lon pæd., TAP mm'!W56+SUM('Lon pæd., TAP mm'!V81:W81)</f>
        <v>0</v>
      </c>
      <c r="G33" s="1153">
        <f>'Lon pæd., TAP mm'!W57+'Lon pæd., TAP mm'!W85+SUM('Lon pæd., TAP mm'!V83:W83)</f>
        <v>0</v>
      </c>
      <c r="H33" s="893">
        <f>IF(F6=0,0,F33/((($E$6*7)+($F$6*5))/12))</f>
        <v>0</v>
      </c>
    </row>
    <row r="34" spans="1:13" ht="16" customHeight="1">
      <c r="A34" s="2684"/>
      <c r="B34" s="2685"/>
      <c r="C34" s="333" t="s">
        <v>229</v>
      </c>
      <c r="D34" s="1152"/>
      <c r="E34" s="1155"/>
      <c r="F34" s="1153">
        <f>'Lon pæd., TAP mm'!W70</f>
        <v>0</v>
      </c>
      <c r="G34" s="1153">
        <f>SUM('Lon pæd., TAP mm'!C69:W69)</f>
        <v>0</v>
      </c>
      <c r="H34" s="893">
        <f>IF(F6=0,0,F34/((($E$6*7)+($F$6*5))/12))</f>
        <v>0</v>
      </c>
    </row>
    <row r="35" spans="1:13" ht="16" customHeight="1">
      <c r="A35" s="2684"/>
      <c r="B35" s="2685"/>
      <c r="C35" s="106" t="s">
        <v>230</v>
      </c>
      <c r="D35" s="1152"/>
      <c r="E35" s="1151"/>
      <c r="F35" s="1153">
        <f>'Lon pæd., TAP mm'!BN56+'Lon pæd., TAP mm'!BN84+SUM('Lon pæd., TAP mm'!BM81:BN81)</f>
        <v>0</v>
      </c>
      <c r="G35" s="1153">
        <f>'Lon pæd., TAP mm'!BN85+'Lon pæd., TAP mm'!BN57+SUM('Lon pæd., TAP mm'!BM83:BN83)</f>
        <v>0</v>
      </c>
      <c r="H35" s="894">
        <f>IF(F35&gt;0,F35/F7,0)</f>
        <v>0</v>
      </c>
    </row>
    <row r="36" spans="1:13" ht="16" customHeight="1">
      <c r="A36" s="2684"/>
      <c r="B36" s="2685"/>
      <c r="C36" s="333" t="s">
        <v>231</v>
      </c>
      <c r="D36" s="1152"/>
      <c r="E36" s="1155"/>
      <c r="F36" s="1153">
        <f>'Lon pæd., TAP mm'!BN70</f>
        <v>0</v>
      </c>
      <c r="G36" s="1156">
        <f>SUM('Lon pæd., TAP mm'!BB69:BN69)</f>
        <v>0</v>
      </c>
      <c r="H36" s="894">
        <f>IF(F36&gt;0,F36/F7,0)</f>
        <v>0</v>
      </c>
    </row>
    <row r="37" spans="1:13" ht="16" customHeight="1">
      <c r="A37" s="2684"/>
      <c r="B37" s="2685"/>
      <c r="C37" s="106" t="s">
        <v>232</v>
      </c>
      <c r="D37" s="1138"/>
      <c r="E37" s="1151"/>
      <c r="F37" s="1157">
        <f>'Lon pæd., TAP mm'!BA84+'Lon pæd., TAP mm'!BA56+SUM('Lon pæd., TAP mm'!AZ81:BA81)</f>
        <v>0</v>
      </c>
      <c r="G37" s="1158">
        <f>'Lon pæd., TAP mm'!BA57+'Lon pæd., TAP mm'!BA85+SUM('Lon pæd., TAP mm'!AZ83:BA83)</f>
        <v>0</v>
      </c>
      <c r="H37" s="894">
        <f>IF($F$8=0,0,F37/F8/Daginstitution!T3)</f>
        <v>0</v>
      </c>
    </row>
    <row r="38" spans="1:13" ht="16" customHeight="1">
      <c r="A38" s="332"/>
      <c r="B38" s="85"/>
      <c r="C38" s="137" t="s">
        <v>233</v>
      </c>
      <c r="D38" s="1152"/>
      <c r="E38" s="1151"/>
      <c r="F38" s="1157">
        <f>'Lon pæd., TAP mm'!BA70</f>
        <v>0</v>
      </c>
      <c r="G38" s="1158">
        <f>SUM('Lon pæd., TAP mm'!X69:BA69)</f>
        <v>0</v>
      </c>
      <c r="H38" s="894" t="str">
        <f>IF(F8=0,"0",F38/F8/Daginstitution!T3)</f>
        <v>0</v>
      </c>
    </row>
    <row r="39" spans="1:13" ht="16" customHeight="1">
      <c r="A39" s="2684"/>
      <c r="B39" s="2685"/>
      <c r="C39" s="361" t="s">
        <v>234</v>
      </c>
      <c r="D39" s="1152"/>
      <c r="E39" s="1151"/>
      <c r="F39" s="1153">
        <f>IF('Undervisning-SFO udgifter'!E113=0,0,'Undervisning-SFO udgifter'!E113)</f>
        <v>0</v>
      </c>
      <c r="G39" s="1159">
        <f>(F39+'Undervisning-SFO udgifter'!F130)*(1+fremskrivning)</f>
        <v>0</v>
      </c>
      <c r="H39" s="894">
        <f t="shared" si="0"/>
        <v>0</v>
      </c>
    </row>
    <row r="40" spans="1:13" ht="16" customHeight="1">
      <c r="A40" s="2684"/>
      <c r="B40" s="2685"/>
      <c r="C40" s="107" t="s">
        <v>235</v>
      </c>
      <c r="D40" s="1152"/>
      <c r="E40" s="1151"/>
      <c r="F40" s="1160">
        <f>IF('Undervisning-SFO udgifter'!E129=0,0,'Undervisning-SFO udgifter'!E129)</f>
        <v>0</v>
      </c>
      <c r="G40" s="1153">
        <f>(F40+'Undervisning-SFO udgifter'!F131)*(1+fremskrivning)</f>
        <v>0</v>
      </c>
      <c r="H40" s="894">
        <f>IF($F$6=0,0,F40/((($E$6*7)+($F$6*5))/12))</f>
        <v>0</v>
      </c>
    </row>
    <row r="41" spans="1:13" ht="16" customHeight="1">
      <c r="A41" s="332"/>
      <c r="B41" s="85"/>
      <c r="C41" s="107" t="s">
        <v>236</v>
      </c>
      <c r="D41" s="1152"/>
      <c r="E41" s="1151"/>
      <c r="F41" s="1161" t="str">
        <f>IF(F8=0,"0",Daginstitution!F186)</f>
        <v>0</v>
      </c>
      <c r="G41" s="1162" t="str">
        <f>IF(G8=0,"0",(((F41)+Daginstitution!F208)*(1+fremskrivning)))</f>
        <v>0</v>
      </c>
      <c r="H41" s="894" t="str">
        <f>IF(F8=0,"0",F41/F8)</f>
        <v>0</v>
      </c>
      <c r="I41" s="362"/>
    </row>
    <row r="42" spans="1:13" ht="16" customHeight="1" thickBot="1">
      <c r="A42" s="2684"/>
      <c r="B42" s="2685"/>
      <c r="C42" s="333" t="s">
        <v>237</v>
      </c>
      <c r="D42" s="1146"/>
      <c r="E42" s="1151"/>
      <c r="F42" s="1158">
        <f>IF('Heltids SFO'!J46&gt;0,'Heltids SFO'!J46-'Heltids SFO'!J32-'Heltids SFO'!J33-'Heltids SFO'!J34,0)</f>
        <v>0</v>
      </c>
      <c r="G42" s="1153">
        <f>IF('Heltids SFO'!M46&gt;0,'Heltids SFO'!M46-'Heltids SFO'!M32-'Heltids SFO'!M33-'Heltids SFO'!M34,0)</f>
        <v>0</v>
      </c>
      <c r="H42" s="894">
        <f>IF(F42&gt;0,F42/F7,0)</f>
        <v>0</v>
      </c>
      <c r="I42" s="362"/>
    </row>
    <row r="43" spans="1:13" ht="16" customHeight="1" thickBot="1">
      <c r="A43" s="2686"/>
      <c r="B43" s="2687"/>
      <c r="C43" s="1163" t="s">
        <v>238</v>
      </c>
      <c r="D43" s="1164">
        <f>SUM(D31:D42)</f>
        <v>0</v>
      </c>
      <c r="E43" s="1165">
        <f>SUM(E31:E42)</f>
        <v>0</v>
      </c>
      <c r="F43" s="1164">
        <f>SUM(F31:F42)</f>
        <v>0</v>
      </c>
      <c r="G43" s="1165">
        <f>SUM(G31:G42)</f>
        <v>0</v>
      </c>
      <c r="H43" s="1166">
        <f t="shared" si="0"/>
        <v>0</v>
      </c>
      <c r="I43" s="362"/>
    </row>
    <row r="44" spans="1:13" ht="16" customHeight="1" thickBot="1">
      <c r="A44" s="332"/>
      <c r="B44" s="85"/>
      <c r="C44" s="2670" t="s">
        <v>239</v>
      </c>
      <c r="D44" s="2672"/>
      <c r="E44" s="2672"/>
      <c r="F44" s="2672"/>
      <c r="G44" s="2672"/>
      <c r="H44" s="2673"/>
      <c r="I44" s="362"/>
      <c r="M44" s="10"/>
    </row>
    <row r="45" spans="1:13" ht="16" customHeight="1">
      <c r="A45" s="2682"/>
      <c r="B45" s="2683"/>
      <c r="C45" s="1167" t="s">
        <v>240</v>
      </c>
      <c r="D45" s="1168"/>
      <c r="E45" s="1151"/>
      <c r="F45" s="1169">
        <f>'Lon pæd., TAP mm'!CW84+'Lon pæd., TAP mm'!CW56+SUM('Lon pæd., TAP mm'!CV81:CW81)</f>
        <v>0</v>
      </c>
      <c r="G45" s="1170">
        <f>'Lon pæd., TAP mm'!CW57+'Lon pæd., TAP mm'!CW85+SUM('Lon pæd., TAP mm'!CV83:CW83)</f>
        <v>0</v>
      </c>
      <c r="H45" s="1171">
        <f t="shared" si="0"/>
        <v>0</v>
      </c>
      <c r="I45" s="362"/>
    </row>
    <row r="46" spans="1:13" ht="16" customHeight="1">
      <c r="A46" s="2682"/>
      <c r="B46" s="2683"/>
      <c r="C46" s="108" t="s">
        <v>241</v>
      </c>
      <c r="D46" s="1172"/>
      <c r="E46" s="1151"/>
      <c r="F46" s="1173">
        <f>'Lon pæd., TAP mm'!CW70</f>
        <v>0</v>
      </c>
      <c r="G46" s="1170">
        <f>SUM('Lon pæd., TAP mm'!CK69:CW69)</f>
        <v>0</v>
      </c>
      <c r="H46" s="1171">
        <f t="shared" si="0"/>
        <v>0</v>
      </c>
      <c r="I46" s="362"/>
    </row>
    <row r="47" spans="1:13" ht="16" customHeight="1">
      <c r="A47" s="2684"/>
      <c r="B47" s="2685"/>
      <c r="C47" s="109" t="s">
        <v>242</v>
      </c>
      <c r="D47" s="1172"/>
      <c r="E47" s="1172"/>
      <c r="F47" s="1173">
        <f>Ejendom!E17</f>
        <v>0</v>
      </c>
      <c r="G47" s="1170">
        <f>IF(F47="","",(F47+Ejendom!F9+Ejendom!F16)*(1+fremskrivning))</f>
        <v>0</v>
      </c>
      <c r="H47" s="1171">
        <f t="shared" si="0"/>
        <v>0</v>
      </c>
      <c r="I47" s="362"/>
    </row>
    <row r="48" spans="1:13" ht="16" customHeight="1">
      <c r="A48" s="2684"/>
      <c r="B48" s="2685"/>
      <c r="C48" s="109" t="s">
        <v>243</v>
      </c>
      <c r="D48" s="1172"/>
      <c r="E48" s="1151"/>
      <c r="F48" s="1173">
        <f>Ejendom!E33</f>
        <v>0</v>
      </c>
      <c r="G48" s="1170">
        <f>IF(F48="","",(F48+Ejendom!F25+Ejendom!F32)*(1+fremskrivning))</f>
        <v>0</v>
      </c>
      <c r="H48" s="1171">
        <f t="shared" si="0"/>
        <v>0</v>
      </c>
      <c r="I48" s="362"/>
    </row>
    <row r="49" spans="1:13" ht="16" customHeight="1">
      <c r="A49" s="2684"/>
      <c r="B49" s="2685"/>
      <c r="C49" s="109" t="s">
        <v>244</v>
      </c>
      <c r="D49" s="1172"/>
      <c r="E49" s="1151"/>
      <c r="F49" s="1173">
        <f>Ejendom!E56</f>
        <v>0</v>
      </c>
      <c r="G49" s="1170">
        <f>IF(F49="","",(F49+Ejendom!F38+Ejendom!F42+Ejendom!F46+Ejendom!F55)*(1+fremskrivning))</f>
        <v>0</v>
      </c>
      <c r="H49" s="1171">
        <f t="shared" si="0"/>
        <v>0</v>
      </c>
      <c r="I49" s="362"/>
    </row>
    <row r="50" spans="1:13" ht="16" customHeight="1">
      <c r="A50" s="2684"/>
      <c r="B50" s="2685"/>
      <c r="C50" s="109" t="s">
        <v>245</v>
      </c>
      <c r="D50" s="1172"/>
      <c r="E50" s="1151"/>
      <c r="F50" s="1173">
        <f>Ejendom!E65</f>
        <v>0</v>
      </c>
      <c r="G50" s="1170">
        <f>IF(F50="","",(F50+Ejendom!F65)*(1+fremskrivning))</f>
        <v>0</v>
      </c>
      <c r="H50" s="1171">
        <f t="shared" si="0"/>
        <v>0</v>
      </c>
      <c r="I50" s="362"/>
    </row>
    <row r="51" spans="1:13" ht="16" customHeight="1">
      <c r="A51" s="2684"/>
      <c r="B51" s="2685"/>
      <c r="C51" s="110" t="s">
        <v>246</v>
      </c>
      <c r="D51" s="1172"/>
      <c r="E51" s="1151"/>
      <c r="F51" s="1173">
        <f>Ejendom!E89</f>
        <v>0</v>
      </c>
      <c r="G51" s="1170">
        <f>IF(F51="","",(F51+Ejendom!F71+Ejendom!F76+Ejendom!F81+Ejendom!F88)*(1+fremskrivning))</f>
        <v>0</v>
      </c>
      <c r="H51" s="1171">
        <f t="shared" si="0"/>
        <v>0</v>
      </c>
      <c r="I51" s="362"/>
    </row>
    <row r="52" spans="1:13" ht="16" customHeight="1" thickBot="1">
      <c r="A52" s="2684"/>
      <c r="B52" s="2685"/>
      <c r="C52" s="111" t="s">
        <v>247</v>
      </c>
      <c r="D52" s="1174"/>
      <c r="E52" s="1151"/>
      <c r="F52" s="1175">
        <f>Ejendom!E97</f>
        <v>0</v>
      </c>
      <c r="G52" s="1170">
        <f>F52+Ejendom!F97</f>
        <v>0</v>
      </c>
      <c r="H52" s="813">
        <f t="shared" si="0"/>
        <v>0</v>
      </c>
      <c r="I52" s="362"/>
    </row>
    <row r="53" spans="1:13" ht="16" customHeight="1" thickBot="1">
      <c r="A53" s="2686"/>
      <c r="B53" s="2687"/>
      <c r="C53" s="1163" t="s">
        <v>248</v>
      </c>
      <c r="D53" s="1165">
        <f>SUM(D45:D52)</f>
        <v>0</v>
      </c>
      <c r="E53" s="1165">
        <f>SUM(E45:E52)</f>
        <v>0</v>
      </c>
      <c r="F53" s="1165">
        <f>SUM(F45:F52)</f>
        <v>0</v>
      </c>
      <c r="G53" s="1165">
        <f>SUM(G45:G52)</f>
        <v>0</v>
      </c>
      <c r="H53" s="1166">
        <f t="shared" si="0"/>
        <v>0</v>
      </c>
      <c r="I53" s="362"/>
    </row>
    <row r="54" spans="1:13" ht="16" customHeight="1" thickBot="1">
      <c r="A54" s="332"/>
      <c r="B54" s="85"/>
      <c r="C54" s="2670" t="s">
        <v>249</v>
      </c>
      <c r="D54" s="2672"/>
      <c r="E54" s="2672"/>
      <c r="F54" s="2672"/>
      <c r="G54" s="2672"/>
      <c r="H54" s="2673"/>
      <c r="I54" s="362"/>
      <c r="M54" s="10"/>
    </row>
    <row r="55" spans="1:13" ht="16" customHeight="1">
      <c r="A55" s="332"/>
      <c r="B55" s="85"/>
      <c r="C55" s="109" t="s">
        <v>250</v>
      </c>
      <c r="D55" s="1172"/>
      <c r="E55" s="1172"/>
      <c r="F55" s="1176">
        <f>'Lon pæd., TAP mm'!DD84+'Lon pæd., TAP mm'!DD56+SUM('Lon pæd., TAP mm'!DC81:DD81)</f>
        <v>0</v>
      </c>
      <c r="G55" s="1177">
        <f>'Lon pæd., TAP mm'!DD57+'Lon pæd., TAP mm'!DD85+SUM('Lon pæd., TAP mm'!DC83:DD83)</f>
        <v>0</v>
      </c>
      <c r="H55" s="1171">
        <f t="shared" si="0"/>
        <v>0</v>
      </c>
      <c r="I55" s="362"/>
      <c r="M55" s="10"/>
    </row>
    <row r="56" spans="1:13" ht="16" customHeight="1">
      <c r="A56" s="2684"/>
      <c r="B56" s="2685"/>
      <c r="C56" s="109" t="s">
        <v>251</v>
      </c>
      <c r="D56" s="1172"/>
      <c r="E56" s="1172"/>
      <c r="F56" s="1176">
        <f>'Lon pæd., TAP mm'!DD70</f>
        <v>0</v>
      </c>
      <c r="G56" s="1177">
        <f>SUM('Lon pæd., TAP mm'!CX69:DD69)</f>
        <v>0</v>
      </c>
      <c r="H56" s="1171">
        <f t="shared" si="0"/>
        <v>0</v>
      </c>
      <c r="I56" s="362"/>
    </row>
    <row r="57" spans="1:13" ht="16" customHeight="1">
      <c r="A57" s="2684"/>
      <c r="B57" s="2685"/>
      <c r="C57" s="112" t="s">
        <v>252</v>
      </c>
      <c r="D57" s="1178"/>
      <c r="E57" s="1179"/>
      <c r="F57" s="1176">
        <f>Skolemadsordning!E40</f>
        <v>0</v>
      </c>
      <c r="G57" s="1177">
        <f>(F57+Skolemadsordning!F46-SUM(Skolemadsordning!F43:F44))*1.025</f>
        <v>0</v>
      </c>
      <c r="H57" s="1171">
        <f t="shared" si="0"/>
        <v>0</v>
      </c>
    </row>
    <row r="58" spans="1:13" ht="16" customHeight="1" thickBot="1">
      <c r="A58" s="2684"/>
      <c r="B58" s="2685"/>
      <c r="C58" s="112" t="s">
        <v>253</v>
      </c>
      <c r="D58" s="1180"/>
      <c r="E58" s="1181"/>
      <c r="F58" s="1182">
        <f>Skolemadsordning!E45</f>
        <v>0</v>
      </c>
      <c r="G58" s="1177">
        <f>(F58+SUM(Skolemadsordning!F43:F44))</f>
        <v>0</v>
      </c>
      <c r="H58" s="1171">
        <f t="shared" si="0"/>
        <v>0</v>
      </c>
    </row>
    <row r="59" spans="1:13" ht="16" customHeight="1" thickBot="1">
      <c r="A59" s="2686"/>
      <c r="B59" s="2687"/>
      <c r="C59" s="1163" t="s">
        <v>254</v>
      </c>
      <c r="D59" s="1183">
        <f>SUM(D54:D58)</f>
        <v>0</v>
      </c>
      <c r="E59" s="1183">
        <f>SUM(E54:E58)</f>
        <v>0</v>
      </c>
      <c r="F59" s="1183">
        <f>SUM(F54:F58)</f>
        <v>0</v>
      </c>
      <c r="G59" s="1183">
        <f>SUM(G54:G58)</f>
        <v>0</v>
      </c>
      <c r="H59" s="1184">
        <f t="shared" si="0"/>
        <v>0</v>
      </c>
    </row>
    <row r="60" spans="1:13" ht="16" customHeight="1" thickBot="1">
      <c r="A60" s="332"/>
      <c r="B60" s="85"/>
      <c r="C60" s="2670" t="s">
        <v>255</v>
      </c>
      <c r="D60" s="2672"/>
      <c r="E60" s="2672"/>
      <c r="F60" s="2672"/>
      <c r="G60" s="2672"/>
      <c r="H60" s="2673"/>
      <c r="M60" s="10"/>
    </row>
    <row r="61" spans="1:13" ht="16" customHeight="1">
      <c r="A61" s="2684"/>
      <c r="B61" s="2685"/>
      <c r="C61" s="1167" t="s">
        <v>256</v>
      </c>
      <c r="D61" s="1185"/>
      <c r="E61" s="1151"/>
      <c r="F61" s="1186">
        <f>'Lon pæd., TAP mm'!CJ84+'Lon pæd., TAP mm'!CJ56+SUM('Lon pæd., TAP mm'!CI81:CJ81)</f>
        <v>0</v>
      </c>
      <c r="G61" s="1170">
        <f>'Lon pæd., TAP mm'!CJ57+'Lon pæd., TAP mm'!CJ85+SUM('Lon pæd., TAP mm'!CI83:CJ83)</f>
        <v>0</v>
      </c>
      <c r="H61" s="1171">
        <f t="shared" si="0"/>
        <v>0</v>
      </c>
    </row>
    <row r="62" spans="1:13" ht="16" customHeight="1">
      <c r="A62" s="2684"/>
      <c r="B62" s="2685"/>
      <c r="C62" s="108" t="s">
        <v>257</v>
      </c>
      <c r="D62" s="1172"/>
      <c r="E62" s="1172"/>
      <c r="F62" s="1187">
        <f>'Lon pæd., TAP mm'!CJ70</f>
        <v>0</v>
      </c>
      <c r="G62" s="1170">
        <f>SUM('Lon pæd., TAP mm'!CA69:CJ69)</f>
        <v>0</v>
      </c>
      <c r="H62" s="1171">
        <f t="shared" si="0"/>
        <v>0</v>
      </c>
    </row>
    <row r="63" spans="1:13" ht="16" customHeight="1">
      <c r="A63" s="2684"/>
      <c r="B63" s="2685"/>
      <c r="C63" s="109" t="s">
        <v>258</v>
      </c>
      <c r="D63" s="1172"/>
      <c r="E63" s="1151"/>
      <c r="F63" s="1173">
        <f>Administration!F123</f>
        <v>8920</v>
      </c>
      <c r="G63" s="1169">
        <f>IF(F63="","",((F63+Administration!F124)*(1+fremskrivning)))</f>
        <v>9053.7999999999993</v>
      </c>
      <c r="H63" s="1171">
        <f t="shared" si="0"/>
        <v>0</v>
      </c>
    </row>
    <row r="64" spans="1:13" ht="16" customHeight="1" thickBot="1">
      <c r="A64" s="2684"/>
      <c r="B64" s="2685"/>
      <c r="C64" s="112" t="s">
        <v>259</v>
      </c>
      <c r="D64" s="1180"/>
      <c r="E64" s="1181"/>
      <c r="F64" s="1182">
        <f>Administration!E113</f>
        <v>0</v>
      </c>
      <c r="G64" s="1177">
        <f>(F64+Administration!F125)</f>
        <v>0</v>
      </c>
      <c r="H64" s="1171">
        <f>IF($F$4=0,0,F64/((($E$4*7)+($F$4*5))/12))</f>
        <v>0</v>
      </c>
    </row>
    <row r="65" spans="1:8" ht="16" customHeight="1" thickBot="1">
      <c r="A65" s="808"/>
      <c r="B65" s="60"/>
      <c r="C65" s="1163" t="s">
        <v>260</v>
      </c>
      <c r="D65" s="1188">
        <f>SUM(D61:D64)</f>
        <v>0</v>
      </c>
      <c r="E65" s="1188">
        <f>SUM(E61:E64)</f>
        <v>0</v>
      </c>
      <c r="F65" s="1188">
        <f>SUM(F61:F64)</f>
        <v>8920</v>
      </c>
      <c r="G65" s="1165">
        <f>SUM(G61:G64)</f>
        <v>9053.7999999999993</v>
      </c>
      <c r="H65" s="1166">
        <f t="shared" si="0"/>
        <v>0</v>
      </c>
    </row>
    <row r="66" spans="1:8" ht="16" customHeight="1" thickBot="1">
      <c r="A66" s="808"/>
      <c r="B66" s="60"/>
      <c r="C66" s="1163" t="s">
        <v>261</v>
      </c>
      <c r="D66" s="1165">
        <f>D65+D59+D53+D43</f>
        <v>0</v>
      </c>
      <c r="E66" s="1165">
        <f>E43+E53+E59+E65</f>
        <v>0</v>
      </c>
      <c r="F66" s="1165">
        <f>F43+F53+F59+F65</f>
        <v>8920</v>
      </c>
      <c r="G66" s="1165">
        <f>G43+G53+G59+G65</f>
        <v>9053.7999999999993</v>
      </c>
      <c r="H66" s="1189">
        <f>H43+H53+H59+H65</f>
        <v>0</v>
      </c>
    </row>
    <row r="67" spans="1:8" ht="16" customHeight="1">
      <c r="A67" s="808"/>
      <c r="B67" s="60"/>
      <c r="C67" s="1190" t="s">
        <v>262</v>
      </c>
      <c r="D67" s="1188">
        <f>D29-D66</f>
        <v>0</v>
      </c>
      <c r="E67" s="1188">
        <f>E29-E66</f>
        <v>0</v>
      </c>
      <c r="F67" s="1188">
        <f>F29-F66</f>
        <v>126923</v>
      </c>
      <c r="G67" s="1188">
        <f>G29-G66</f>
        <v>126789.2</v>
      </c>
      <c r="H67" s="1191">
        <f>IF($F$4=0,0,F67/((($E$4*7)+($F$4*5))/12))</f>
        <v>0</v>
      </c>
    </row>
    <row r="68" spans="1:8">
      <c r="A68" s="814"/>
      <c r="B68" s="228"/>
      <c r="C68" s="815"/>
      <c r="D68" s="227"/>
      <c r="E68" s="227"/>
      <c r="F68" s="227"/>
      <c r="G68" s="227"/>
      <c r="H68" s="105"/>
    </row>
    <row r="69" spans="1:8" ht="14" thickBot="1">
      <c r="A69" s="814"/>
      <c r="B69" s="228"/>
      <c r="C69" s="1192" t="s">
        <v>263</v>
      </c>
      <c r="D69" s="1193"/>
      <c r="E69" s="1193"/>
      <c r="F69" s="1193"/>
      <c r="G69" s="1193"/>
      <c r="H69" s="1194"/>
    </row>
    <row r="70" spans="1:8" ht="16" customHeight="1">
      <c r="A70" s="814"/>
      <c r="B70" s="85"/>
      <c r="C70" s="108" t="s">
        <v>264</v>
      </c>
      <c r="D70" s="1195"/>
      <c r="E70" s="1195"/>
      <c r="F70" s="1187">
        <f>IF(Administration!E129=0,0,Administration!E129+Administration!E130)</f>
        <v>0</v>
      </c>
      <c r="G70" s="1196">
        <f>IF(F70&gt;0,(F70+Administration!F129+Administration!F130),0)</f>
        <v>0</v>
      </c>
      <c r="H70" s="1197">
        <f t="shared" ref="H70:H83" si="1">IF($F$4=0,0,F70/((($E$4*7)+($F$4*5))/12))</f>
        <v>0</v>
      </c>
    </row>
    <row r="71" spans="1:8" ht="16" customHeight="1">
      <c r="A71" s="814"/>
      <c r="B71" s="85"/>
      <c r="C71" s="109" t="s">
        <v>265</v>
      </c>
      <c r="D71" s="1172"/>
      <c r="E71" s="1172"/>
      <c r="F71" s="1173">
        <f>IF(Administration!E131=0,0,Administration!E131)</f>
        <v>0</v>
      </c>
      <c r="G71" s="1173">
        <f>IF(F71&gt;0,F71+Administration!F131,0)</f>
        <v>0</v>
      </c>
      <c r="H71" s="1197">
        <f t="shared" si="1"/>
        <v>0</v>
      </c>
    </row>
    <row r="72" spans="1:8" ht="16" customHeight="1" thickBot="1">
      <c r="A72" s="814"/>
      <c r="B72" s="85"/>
      <c r="C72" s="111" t="s">
        <v>266</v>
      </c>
      <c r="D72" s="1198"/>
      <c r="E72" s="1198"/>
      <c r="F72" s="1199">
        <f>IF(Administration!E132=0,0,Administration!E132)</f>
        <v>0</v>
      </c>
      <c r="G72" s="1199">
        <f>IF(F72&gt;0,F72+Administration!F132,0)</f>
        <v>0</v>
      </c>
      <c r="H72" s="1200">
        <f t="shared" si="1"/>
        <v>0</v>
      </c>
    </row>
    <row r="73" spans="1:8" ht="16" customHeight="1" thickBot="1">
      <c r="A73" s="808"/>
      <c r="B73" s="60"/>
      <c r="C73" s="1190" t="s">
        <v>267</v>
      </c>
      <c r="D73" s="1201">
        <f>SUM(D70:D72)</f>
        <v>0</v>
      </c>
      <c r="E73" s="1201">
        <f>SUM(E70:E72)</f>
        <v>0</v>
      </c>
      <c r="F73" s="1201">
        <f>SUM(F70:F72)</f>
        <v>0</v>
      </c>
      <c r="G73" s="1202">
        <f>SUM(G70:G72)</f>
        <v>0</v>
      </c>
      <c r="H73" s="816">
        <f t="shared" si="1"/>
        <v>0</v>
      </c>
    </row>
    <row r="74" spans="1:8" ht="16" customHeight="1">
      <c r="A74" s="814"/>
      <c r="B74" s="85"/>
      <c r="C74" s="1167" t="s">
        <v>268</v>
      </c>
      <c r="D74" s="1203"/>
      <c r="E74" s="1151"/>
      <c r="F74" s="1204">
        <f>Administration!E139</f>
        <v>0</v>
      </c>
      <c r="G74" s="1204">
        <f>IF(F74&gt;0,F74+SUM(Administration!F135:F138),0)</f>
        <v>0</v>
      </c>
      <c r="H74" s="1205">
        <f t="shared" si="1"/>
        <v>0</v>
      </c>
    </row>
    <row r="75" spans="1:8" ht="16" customHeight="1">
      <c r="A75" s="814"/>
      <c r="B75" s="85"/>
      <c r="C75" s="109" t="s">
        <v>269</v>
      </c>
      <c r="D75" s="1178"/>
      <c r="E75" s="1151"/>
      <c r="F75" s="1176">
        <f>Administration!E143+Administration!E147</f>
        <v>0</v>
      </c>
      <c r="G75" s="1176">
        <f>IF(F75&gt;0,F75+SUM(Administration!F141:F142)+SUM(Administration!F145:F146),0)</f>
        <v>0</v>
      </c>
      <c r="H75" s="817">
        <f t="shared" si="1"/>
        <v>0</v>
      </c>
    </row>
    <row r="76" spans="1:8" ht="16" customHeight="1" thickBot="1">
      <c r="A76" s="814"/>
      <c r="B76" s="85"/>
      <c r="C76" s="111" t="s">
        <v>270</v>
      </c>
      <c r="D76" s="1198"/>
      <c r="E76" s="1151"/>
      <c r="F76" s="1199">
        <f>Administration!E151</f>
        <v>0</v>
      </c>
      <c r="G76" s="1176">
        <f>IF(F76&gt;0,F76+SUM(Administration!F149:F150),0)</f>
        <v>0</v>
      </c>
      <c r="H76" s="1206">
        <f t="shared" si="1"/>
        <v>0</v>
      </c>
    </row>
    <row r="77" spans="1:8" ht="16" customHeight="1" thickBot="1">
      <c r="A77" s="808"/>
      <c r="B77" s="60"/>
      <c r="C77" s="1163" t="s">
        <v>271</v>
      </c>
      <c r="D77" s="1201">
        <f>SUM(D74:D76)</f>
        <v>0</v>
      </c>
      <c r="E77" s="1201">
        <f>SUM(E74:E76)</f>
        <v>0</v>
      </c>
      <c r="F77" s="1201">
        <f>SUM(F74:F76)</f>
        <v>0</v>
      </c>
      <c r="G77" s="1202">
        <f>SUM(G74:G76)</f>
        <v>0</v>
      </c>
      <c r="H77" s="816">
        <f t="shared" si="1"/>
        <v>0</v>
      </c>
    </row>
    <row r="78" spans="1:8" ht="16" customHeight="1" thickBot="1">
      <c r="A78" s="808"/>
      <c r="B78" s="60"/>
      <c r="C78" s="1163" t="s">
        <v>272</v>
      </c>
      <c r="D78" s="1207">
        <f>D73-D77</f>
        <v>0</v>
      </c>
      <c r="E78" s="1207">
        <f>E73-E77</f>
        <v>0</v>
      </c>
      <c r="F78" s="1207">
        <f>F73-F77</f>
        <v>0</v>
      </c>
      <c r="G78" s="1208">
        <f>G73-G77</f>
        <v>0</v>
      </c>
      <c r="H78" s="1166">
        <f t="shared" si="1"/>
        <v>0</v>
      </c>
    </row>
    <row r="79" spans="1:8" ht="16" customHeight="1" thickBot="1">
      <c r="A79" s="808"/>
      <c r="B79" s="60"/>
      <c r="C79" s="1209" t="s">
        <v>273</v>
      </c>
      <c r="D79" s="1207">
        <f>D67+D78</f>
        <v>0</v>
      </c>
      <c r="E79" s="1207">
        <f>E67+E78</f>
        <v>0</v>
      </c>
      <c r="F79" s="1207">
        <f>F67+F78</f>
        <v>126923</v>
      </c>
      <c r="G79" s="1207">
        <f>G67+G78</f>
        <v>126789.2</v>
      </c>
      <c r="H79" s="816">
        <f t="shared" si="1"/>
        <v>0</v>
      </c>
    </row>
    <row r="80" spans="1:8" ht="16" customHeight="1">
      <c r="A80" s="814"/>
      <c r="B80" s="85"/>
      <c r="C80" s="1167" t="s">
        <v>274</v>
      </c>
      <c r="D80" s="1172"/>
      <c r="E80" s="1172"/>
      <c r="F80" s="1173">
        <f>Administration!E158</f>
        <v>0</v>
      </c>
      <c r="G80" s="1173">
        <f>IF(F80&gt;0,F80+SUM(Administration!F156:F157),0)</f>
        <v>0</v>
      </c>
      <c r="H80" s="1205">
        <f t="shared" si="1"/>
        <v>0</v>
      </c>
    </row>
    <row r="81" spans="1:8" ht="16" customHeight="1" thickBot="1">
      <c r="A81" s="814"/>
      <c r="B81" s="85"/>
      <c r="C81" s="113" t="s">
        <v>275</v>
      </c>
      <c r="D81" s="1172"/>
      <c r="E81" s="1172"/>
      <c r="F81" s="1173">
        <f>Administration!E163</f>
        <v>0</v>
      </c>
      <c r="G81" s="1199">
        <f>IF(F81&gt;0,F81+SUM(Administration!F161:F162),0)</f>
        <v>0</v>
      </c>
      <c r="H81" s="1200">
        <f t="shared" si="1"/>
        <v>0</v>
      </c>
    </row>
    <row r="82" spans="1:8" ht="16" customHeight="1" thickBot="1">
      <c r="A82" s="808"/>
      <c r="B82" s="60"/>
      <c r="C82" s="1210" t="s">
        <v>276</v>
      </c>
      <c r="D82" s="1211">
        <f>D80-D81</f>
        <v>0</v>
      </c>
      <c r="E82" s="1211">
        <f>E80-E81</f>
        <v>0</v>
      </c>
      <c r="F82" s="1211">
        <f>F80-F81</f>
        <v>0</v>
      </c>
      <c r="G82" s="1211">
        <f>G80-G81</f>
        <v>0</v>
      </c>
      <c r="H82" s="816">
        <f t="shared" si="1"/>
        <v>0</v>
      </c>
    </row>
    <row r="83" spans="1:8" ht="16" customHeight="1" thickBot="1">
      <c r="A83" s="808"/>
      <c r="B83" s="60"/>
      <c r="C83" s="809" t="s">
        <v>277</v>
      </c>
      <c r="D83" s="1212">
        <f>D79+D82</f>
        <v>0</v>
      </c>
      <c r="E83" s="1212">
        <f>E79+E82</f>
        <v>0</v>
      </c>
      <c r="F83" s="1212">
        <f>F79+F82</f>
        <v>126923</v>
      </c>
      <c r="G83" s="1207">
        <f>G79+G82</f>
        <v>126789.2</v>
      </c>
      <c r="H83" s="1166">
        <f t="shared" si="1"/>
        <v>0</v>
      </c>
    </row>
    <row r="84" spans="1:8" ht="16" customHeight="1" thickBot="1">
      <c r="A84" s="1213"/>
      <c r="B84" s="1214"/>
      <c r="C84" s="1215" t="s">
        <v>278</v>
      </c>
      <c r="D84" s="1216"/>
      <c r="E84" s="1216"/>
      <c r="F84" s="1216">
        <f>D133</f>
        <v>126923</v>
      </c>
      <c r="G84" s="1216">
        <f>E133</f>
        <v>126789.2</v>
      </c>
      <c r="H84" s="1217"/>
    </row>
    <row r="85" spans="1:8" ht="16" customHeight="1" thickBot="1">
      <c r="A85" s="114"/>
      <c r="B85" s="58"/>
      <c r="C85" s="1218" t="s">
        <v>279</v>
      </c>
      <c r="D85" s="1219"/>
      <c r="E85" s="1219"/>
      <c r="F85" s="1219"/>
      <c r="G85" s="1220"/>
      <c r="H85" s="1221"/>
    </row>
    <row r="86" spans="1:8" ht="16" customHeight="1">
      <c r="A86" s="114"/>
      <c r="B86" s="59"/>
      <c r="C86" s="1167" t="s">
        <v>280</v>
      </c>
      <c r="D86" s="1172"/>
      <c r="E86" s="1172"/>
      <c r="F86" s="1173">
        <f>IF(E86=0,0,E86-Ejendom!E97)</f>
        <v>0</v>
      </c>
      <c r="G86" s="1204">
        <f>IF(F86=0,0,F86-(Ejendom!E97))</f>
        <v>0</v>
      </c>
      <c r="H86" s="1197">
        <f t="shared" ref="H86:H102" si="2">IF($F$4=0,0,F86/((($E$4*7)+($F$4*5))/12))</f>
        <v>0</v>
      </c>
    </row>
    <row r="87" spans="1:8" ht="16" customHeight="1">
      <c r="A87" s="114"/>
      <c r="B87" s="59"/>
      <c r="C87" s="109" t="s">
        <v>281</v>
      </c>
      <c r="D87" s="1172"/>
      <c r="E87" s="1172"/>
      <c r="F87" s="1173">
        <f>MAX(0,IF(E87=0,0,E87+IF('Undervisning-SFO udgifter'!E66&gt;17500,,'Undervisning-SFO udgifter'!E66)-'Undervisning-SFO udgifter'!F79))</f>
        <v>0</v>
      </c>
      <c r="G87" s="1173">
        <f>IF(F87=0,0,MAX((F87-'Undervisning-SFO udgifter'!F79),0))</f>
        <v>0</v>
      </c>
      <c r="H87" s="1197">
        <f t="shared" si="2"/>
        <v>0</v>
      </c>
    </row>
    <row r="88" spans="1:8" ht="16" customHeight="1">
      <c r="A88" s="114"/>
      <c r="B88" s="59"/>
      <c r="C88" s="109" t="s">
        <v>282</v>
      </c>
      <c r="D88" s="1172"/>
      <c r="E88" s="1172"/>
      <c r="F88" s="1173">
        <f>MAX(0,IF(E88=0,0,E88-Administration!F113))</f>
        <v>0</v>
      </c>
      <c r="G88" s="1173">
        <f>IF(F88=0,0,F88-Administration!F113)</f>
        <v>0</v>
      </c>
      <c r="H88" s="1197">
        <f t="shared" si="2"/>
        <v>0</v>
      </c>
    </row>
    <row r="89" spans="1:8" ht="16" customHeight="1">
      <c r="A89" s="114"/>
      <c r="B89" s="59"/>
      <c r="C89" s="109" t="s">
        <v>283</v>
      </c>
      <c r="D89" s="1172"/>
      <c r="E89" s="1172"/>
      <c r="F89" s="1172"/>
      <c r="G89" s="1172"/>
      <c r="H89" s="1197">
        <f t="shared" si="2"/>
        <v>0</v>
      </c>
    </row>
    <row r="90" spans="1:8" ht="16" customHeight="1">
      <c r="A90" s="114"/>
      <c r="B90" s="59"/>
      <c r="C90" s="109" t="s">
        <v>284</v>
      </c>
      <c r="D90" s="1172"/>
      <c r="E90" s="1172"/>
      <c r="F90" s="1172"/>
      <c r="G90" s="1172"/>
      <c r="H90" s="1197">
        <f t="shared" si="2"/>
        <v>0</v>
      </c>
    </row>
    <row r="91" spans="1:8" ht="16" customHeight="1" thickBot="1">
      <c r="A91" s="114"/>
      <c r="B91" s="59"/>
      <c r="C91" s="111" t="s">
        <v>285</v>
      </c>
      <c r="D91" s="1222"/>
      <c r="E91" s="1222"/>
      <c r="F91" s="1222"/>
      <c r="G91" s="1222"/>
      <c r="H91" s="1200">
        <f t="shared" si="2"/>
        <v>0</v>
      </c>
    </row>
    <row r="92" spans="1:8" ht="16" customHeight="1" thickBot="1">
      <c r="A92" s="114"/>
      <c r="B92" s="59"/>
      <c r="C92" s="1223" t="s">
        <v>286</v>
      </c>
      <c r="D92" s="1183">
        <f>SUM(D86:D91)</f>
        <v>0</v>
      </c>
      <c r="E92" s="1183">
        <f>SUM(E86:E91)</f>
        <v>0</v>
      </c>
      <c r="F92" s="1183">
        <f>SUM(F86:F91)</f>
        <v>0</v>
      </c>
      <c r="G92" s="1183">
        <f>SUM(G86:G91)</f>
        <v>0</v>
      </c>
      <c r="H92" s="818">
        <f t="shared" si="2"/>
        <v>0</v>
      </c>
    </row>
    <row r="93" spans="1:8" ht="16" customHeight="1">
      <c r="A93" s="114"/>
      <c r="B93" s="59"/>
      <c r="C93" s="1167" t="s">
        <v>287</v>
      </c>
      <c r="D93" s="1195"/>
      <c r="E93" s="1195"/>
      <c r="F93" s="1195"/>
      <c r="G93" s="1187">
        <f>+F93</f>
        <v>0</v>
      </c>
      <c r="H93" s="1205">
        <f t="shared" si="2"/>
        <v>0</v>
      </c>
    </row>
    <row r="94" spans="1:8" ht="16" customHeight="1">
      <c r="A94" s="114"/>
      <c r="B94" s="59"/>
      <c r="C94" s="109" t="s">
        <v>288</v>
      </c>
      <c r="D94" s="1172"/>
      <c r="E94" s="1172"/>
      <c r="F94" s="1172"/>
      <c r="G94" s="1173">
        <f>+F94</f>
        <v>0</v>
      </c>
      <c r="H94" s="1197">
        <f t="shared" si="2"/>
        <v>0</v>
      </c>
    </row>
    <row r="95" spans="1:8" ht="16" customHeight="1">
      <c r="A95" s="114"/>
      <c r="B95" s="59"/>
      <c r="C95" s="109" t="s">
        <v>289</v>
      </c>
      <c r="D95" s="1172"/>
      <c r="E95" s="1172"/>
      <c r="F95" s="1172"/>
      <c r="G95" s="1173">
        <f>+F95</f>
        <v>0</v>
      </c>
      <c r="H95" s="1224">
        <f t="shared" si="2"/>
        <v>0</v>
      </c>
    </row>
    <row r="96" spans="1:8" ht="16" customHeight="1" thickBot="1">
      <c r="A96" s="114"/>
      <c r="B96" s="59"/>
      <c r="C96" s="111" t="s">
        <v>290</v>
      </c>
      <c r="D96" s="1225"/>
      <c r="E96" s="1225"/>
      <c r="F96" s="1225"/>
      <c r="G96" s="1173">
        <f>+F96</f>
        <v>0</v>
      </c>
      <c r="H96" s="817">
        <f t="shared" si="2"/>
        <v>0</v>
      </c>
    </row>
    <row r="97" spans="1:8" ht="16" customHeight="1" thickBot="1">
      <c r="A97" s="114"/>
      <c r="B97" s="59"/>
      <c r="C97" s="1223" t="s">
        <v>291</v>
      </c>
      <c r="D97" s="1165">
        <f>SUM(D93:D96)</f>
        <v>0</v>
      </c>
      <c r="E97" s="1165">
        <f>SUM(E93:E96)</f>
        <v>0</v>
      </c>
      <c r="F97" s="1165">
        <f>SUM(F93:F96)</f>
        <v>0</v>
      </c>
      <c r="G97" s="1165">
        <f>SUM(G93:G96)</f>
        <v>0</v>
      </c>
      <c r="H97" s="1226">
        <f t="shared" si="2"/>
        <v>0</v>
      </c>
    </row>
    <row r="98" spans="1:8" ht="16" customHeight="1" thickBot="1">
      <c r="A98" s="114"/>
      <c r="B98" s="59"/>
      <c r="C98" s="1223" t="s">
        <v>292</v>
      </c>
      <c r="D98" s="1183">
        <f>D97+D92</f>
        <v>0</v>
      </c>
      <c r="E98" s="1183">
        <f>E92+E97</f>
        <v>0</v>
      </c>
      <c r="F98" s="1183">
        <f>F92+F97</f>
        <v>0</v>
      </c>
      <c r="G98" s="1183">
        <f>G92+G97</f>
        <v>0</v>
      </c>
      <c r="H98" s="1226">
        <f t="shared" si="2"/>
        <v>0</v>
      </c>
    </row>
    <row r="99" spans="1:8" ht="16" customHeight="1" thickBot="1">
      <c r="A99" s="114"/>
      <c r="B99" s="59"/>
      <c r="C99" s="1223" t="s">
        <v>293</v>
      </c>
      <c r="D99" s="1227">
        <f>D98-D105</f>
        <v>0</v>
      </c>
      <c r="E99" s="1227">
        <f>E98-E105</f>
        <v>0</v>
      </c>
      <c r="F99" s="1227">
        <f>F98-F105</f>
        <v>126923</v>
      </c>
      <c r="G99" s="1227">
        <f>G98-G105</f>
        <v>253712.2</v>
      </c>
      <c r="H99" s="818">
        <f t="shared" si="2"/>
        <v>0</v>
      </c>
    </row>
    <row r="100" spans="1:8" ht="16" customHeight="1">
      <c r="A100" s="114"/>
      <c r="B100" s="59"/>
      <c r="C100" s="1167" t="s">
        <v>294</v>
      </c>
      <c r="D100" s="1228"/>
      <c r="E100" s="1228"/>
      <c r="F100" s="1229">
        <f>IF(E100=0,0,E100-'Prio-renter'!J25)</f>
        <v>0</v>
      </c>
      <c r="G100" s="1229">
        <f>IF(F100=0,0,F100-('Prio-renter'!J25*(1+fremskrivning)))</f>
        <v>0</v>
      </c>
      <c r="H100" s="1230">
        <f t="shared" si="2"/>
        <v>0</v>
      </c>
    </row>
    <row r="101" spans="1:8" ht="16" customHeight="1">
      <c r="A101" s="114"/>
      <c r="B101" s="59"/>
      <c r="C101" s="109" t="s">
        <v>295</v>
      </c>
      <c r="D101" s="1155"/>
      <c r="E101" s="1155"/>
      <c r="F101" s="1153">
        <f>IF(E101&lt;=0,0,E101+D122)</f>
        <v>0</v>
      </c>
      <c r="G101" s="1153">
        <f>F101</f>
        <v>0</v>
      </c>
      <c r="H101" s="1231">
        <f t="shared" si="2"/>
        <v>0</v>
      </c>
    </row>
    <row r="102" spans="1:8" ht="16" customHeight="1">
      <c r="A102" s="114"/>
      <c r="B102" s="59"/>
      <c r="C102" s="1232" t="s">
        <v>296</v>
      </c>
      <c r="D102" s="1155"/>
      <c r="E102" s="1155"/>
      <c r="F102" s="1153">
        <f>IF((F96)&lt;=0,(E96+E102)-F84,0)</f>
        <v>-126923</v>
      </c>
      <c r="G102" s="1153">
        <f>IF((G96)&lt;=0,(F96+F102)-G84,0)</f>
        <v>-253712.2</v>
      </c>
      <c r="H102" s="1231">
        <f t="shared" si="2"/>
        <v>0</v>
      </c>
    </row>
    <row r="103" spans="1:8" ht="16" customHeight="1">
      <c r="A103" s="114"/>
      <c r="B103" s="59"/>
      <c r="C103" s="195" t="s">
        <v>297</v>
      </c>
      <c r="D103" s="819"/>
      <c r="E103" s="819"/>
      <c r="F103" s="819"/>
      <c r="G103" s="1233"/>
      <c r="H103" s="820"/>
    </row>
    <row r="104" spans="1:8" ht="16" customHeight="1" thickBot="1">
      <c r="A104" s="114"/>
      <c r="B104" s="59"/>
      <c r="C104" s="196" t="s">
        <v>298</v>
      </c>
      <c r="D104" s="1234"/>
      <c r="E104" s="1234"/>
      <c r="F104" s="1234"/>
      <c r="G104" s="1234"/>
      <c r="H104" s="1235">
        <f>IF($F$4=0,0,F104/((($E$4*7)+($F$4*5))/12))</f>
        <v>0</v>
      </c>
    </row>
    <row r="105" spans="1:8" ht="16" customHeight="1" thickBot="1">
      <c r="A105" s="114"/>
      <c r="B105" s="59"/>
      <c r="C105" s="1223" t="s">
        <v>299</v>
      </c>
      <c r="D105" s="1236">
        <f>SUM(D100:D104)</f>
        <v>0</v>
      </c>
      <c r="E105" s="1236">
        <f>SUM(E100:E104)</f>
        <v>0</v>
      </c>
      <c r="F105" s="1236">
        <f>SUM(F100:F104)</f>
        <v>-126923</v>
      </c>
      <c r="G105" s="1236">
        <f>SUM(G100:G104)</f>
        <v>-253712.2</v>
      </c>
      <c r="H105" s="818">
        <f>IF($F$4=0,0,F105/((($E$4*7)+($F$4*5))/12))</f>
        <v>0</v>
      </c>
    </row>
    <row r="106" spans="1:8" ht="16" customHeight="1" thickBot="1">
      <c r="A106" s="114"/>
      <c r="B106" s="59"/>
      <c r="C106" s="1237" t="s">
        <v>300</v>
      </c>
      <c r="D106" s="1236">
        <f>D99+D105</f>
        <v>0</v>
      </c>
      <c r="E106" s="1236">
        <f>SUM(E99:E104)</f>
        <v>0</v>
      </c>
      <c r="F106" s="1236">
        <f>SUM(F99:F104)</f>
        <v>0</v>
      </c>
      <c r="G106" s="1236">
        <f>SUM(G99:G104)</f>
        <v>0</v>
      </c>
      <c r="H106" s="1226">
        <f>IF($F$4=0,0,F106/((($E$4*7)+($F$4*5))/12))</f>
        <v>0</v>
      </c>
    </row>
    <row r="107" spans="1:8" ht="16" customHeight="1" thickBot="1">
      <c r="A107" s="114"/>
      <c r="B107" s="59"/>
      <c r="C107" s="821" t="s">
        <v>301</v>
      </c>
      <c r="D107" s="1238"/>
      <c r="E107" s="1238"/>
      <c r="F107" s="1238"/>
      <c r="G107" s="1238"/>
      <c r="H107" s="1221"/>
    </row>
    <row r="108" spans="1:8" ht="16" customHeight="1" thickBot="1">
      <c r="A108" s="114"/>
      <c r="B108" s="59"/>
      <c r="C108" s="1239" t="s">
        <v>302</v>
      </c>
      <c r="D108" s="1240">
        <f>D97-D101-D102-D104</f>
        <v>0</v>
      </c>
      <c r="E108" s="1240">
        <f>E97-E101-E102-E104</f>
        <v>0</v>
      </c>
      <c r="F108" s="1240">
        <f>F97-F101-F102-F104</f>
        <v>126923</v>
      </c>
      <c r="G108" s="1240">
        <f>G97-G101-G102-G104</f>
        <v>253712.2</v>
      </c>
      <c r="H108" s="1175">
        <f>IF($F$4=0,0,F108/((($E$4*7)+($F$4*5))/12))</f>
        <v>0</v>
      </c>
    </row>
    <row r="109" spans="1:8" ht="16" customHeight="1" thickBot="1">
      <c r="A109" s="114"/>
      <c r="B109" s="59"/>
      <c r="C109" s="1241" t="s">
        <v>303</v>
      </c>
      <c r="D109" s="1242">
        <f>IF((D101+D102+D104)&lt;&gt;0,D97/(D101+D102+D104),0)*100</f>
        <v>0</v>
      </c>
      <c r="E109" s="1242">
        <f>IF((E101+E102+E104)&lt;&gt;0,E97/(E101+E102+E104),0)*100</f>
        <v>0</v>
      </c>
      <c r="F109" s="1242">
        <f>IF((F101+F102+F104)&lt;&gt;0,F97/(F101+F102+F104),0)*100</f>
        <v>0</v>
      </c>
      <c r="G109" s="1242">
        <f>IF((G101+G102+G104)&lt;&gt;0,G97/(G101+G102+G104),0)*100</f>
        <v>0</v>
      </c>
      <c r="H109" s="1242">
        <f>IF((H101+H102+H104)&lt;&gt;0,H97/(H101+H102+H104),0)*100</f>
        <v>0</v>
      </c>
    </row>
    <row r="110" spans="1:8" ht="16" customHeight="1" thickBot="1">
      <c r="A110" s="1243"/>
      <c r="B110" s="1244"/>
      <c r="C110" s="1245"/>
      <c r="D110" s="1245"/>
      <c r="E110" s="1245"/>
      <c r="F110" s="1245"/>
      <c r="G110" s="1245"/>
      <c r="H110" s="1246"/>
    </row>
    <row r="111" spans="1:8" ht="14" thickBot="1">
      <c r="A111" s="2680"/>
      <c r="B111" s="2680"/>
      <c r="C111" s="2681"/>
      <c r="D111" s="2681"/>
      <c r="E111" s="2681"/>
      <c r="F111" s="2681"/>
      <c r="G111" s="2681"/>
      <c r="H111" s="2681"/>
    </row>
    <row r="112" spans="1:8" ht="14" thickBot="1">
      <c r="A112" s="2541"/>
      <c r="B112" s="2541"/>
      <c r="C112" s="895" t="s">
        <v>304</v>
      </c>
      <c r="D112" s="1247">
        <f>budgetår</f>
        <v>2025</v>
      </c>
      <c r="E112" s="1248">
        <f>budgetår+1</f>
        <v>2026</v>
      </c>
    </row>
    <row r="113" spans="1:11" ht="14" thickBot="1">
      <c r="A113" s="2541"/>
      <c r="B113" s="2541"/>
      <c r="C113" s="1249" t="s">
        <v>305</v>
      </c>
      <c r="D113" s="1250">
        <f>F83</f>
        <v>126923</v>
      </c>
      <c r="E113" s="1251">
        <f>G83</f>
        <v>126789.2</v>
      </c>
    </row>
    <row r="114" spans="1:11" ht="14" thickBot="1">
      <c r="A114" s="2541"/>
      <c r="B114" s="2541"/>
      <c r="C114" s="896" t="s">
        <v>306</v>
      </c>
      <c r="D114" s="1252">
        <f>'Skolepenge, pasningsordning.'!H96</f>
        <v>0</v>
      </c>
      <c r="E114" s="1253">
        <f>'Skolepenge, pasningsordning.'!I96</f>
        <v>0</v>
      </c>
    </row>
    <row r="115" spans="1:11">
      <c r="A115" s="2541"/>
      <c r="B115" s="2541"/>
      <c r="C115" s="1254" t="s">
        <v>307</v>
      </c>
      <c r="D115" s="1255">
        <f>'lon undervisning'!AG94+'Lon pæd., TAP mm'!BZ84</f>
        <v>0</v>
      </c>
      <c r="E115" s="1256">
        <f>'lon undervisning'!AG96+'Lon pæd., TAP mm'!BZ85</f>
        <v>0</v>
      </c>
    </row>
    <row r="116" spans="1:11">
      <c r="A116" s="2541"/>
      <c r="B116" s="2541"/>
      <c r="C116" s="1257" t="s">
        <v>308</v>
      </c>
      <c r="D116" s="1258">
        <f>'Lon pæd., TAP mm'!W84</f>
        <v>0</v>
      </c>
      <c r="E116" s="1259">
        <f>'Lon pæd., TAP mm'!W85</f>
        <v>0</v>
      </c>
    </row>
    <row r="117" spans="1:11">
      <c r="A117" s="2541"/>
      <c r="B117" s="2541"/>
      <c r="C117" s="1257" t="s">
        <v>309</v>
      </c>
      <c r="D117" s="1258">
        <f>'Lon pæd., TAP mm'!CW84</f>
        <v>0</v>
      </c>
      <c r="E117" s="1259">
        <f>'Lon pæd., TAP mm'!CW85</f>
        <v>0</v>
      </c>
    </row>
    <row r="118" spans="1:11">
      <c r="A118" s="2541"/>
      <c r="B118" s="2541"/>
      <c r="C118" s="1257" t="s">
        <v>310</v>
      </c>
      <c r="D118" s="1258">
        <f>'Lon pæd., TAP mm'!DD84</f>
        <v>0</v>
      </c>
      <c r="E118" s="1259">
        <f>'Lon pæd., TAP mm'!DD85</f>
        <v>0</v>
      </c>
    </row>
    <row r="119" spans="1:11">
      <c r="A119" s="2541"/>
      <c r="B119" s="2541"/>
      <c r="C119" s="1257" t="s">
        <v>311</v>
      </c>
      <c r="D119" s="1258">
        <f>'Lon pæd., TAP mm'!CJ84</f>
        <v>0</v>
      </c>
      <c r="E119" s="1259">
        <f>'Lon pæd., TAP mm'!CJ85</f>
        <v>0</v>
      </c>
      <c r="I119" s="5"/>
      <c r="J119" s="11"/>
      <c r="K119" s="5"/>
    </row>
    <row r="120" spans="1:11">
      <c r="A120" s="2541"/>
      <c r="B120" s="2541"/>
      <c r="C120" s="1257" t="s">
        <v>312</v>
      </c>
      <c r="D120" s="1258">
        <f>'Lon pæd., TAP mm'!BA84</f>
        <v>0</v>
      </c>
      <c r="E120" s="1259">
        <f>'Lon pæd., TAP mm'!BA85</f>
        <v>0</v>
      </c>
    </row>
    <row r="121" spans="1:11" ht="14" thickBot="1">
      <c r="A121" s="2541"/>
      <c r="B121" s="2541"/>
      <c r="C121" s="1260" t="s">
        <v>313</v>
      </c>
      <c r="D121" s="1261">
        <f>'Lon pæd., TAP mm'!BN84</f>
        <v>0</v>
      </c>
      <c r="E121" s="1262">
        <f>'Lon pæd., TAP mm'!BN85</f>
        <v>0</v>
      </c>
    </row>
    <row r="122" spans="1:11" ht="15" customHeight="1" thickBot="1">
      <c r="A122" s="2541"/>
      <c r="B122" s="2541"/>
      <c r="C122" s="897" t="s">
        <v>314</v>
      </c>
      <c r="D122" s="898">
        <f>SUM(D115:D121)</f>
        <v>0</v>
      </c>
      <c r="E122" s="1263">
        <f>SUM(E115:E121)</f>
        <v>0</v>
      </c>
    </row>
    <row r="123" spans="1:11" ht="14" thickBot="1">
      <c r="A123" s="2541"/>
      <c r="B123" s="2541"/>
      <c r="C123" s="896" t="s">
        <v>315</v>
      </c>
      <c r="D123" s="1264">
        <f>budgetår</f>
        <v>2025</v>
      </c>
      <c r="E123" s="1265">
        <f>budgetår+1</f>
        <v>2026</v>
      </c>
    </row>
    <row r="124" spans="1:11">
      <c r="A124" s="2541"/>
      <c r="B124" s="2541"/>
      <c r="C124" s="1254" t="s">
        <v>316</v>
      </c>
      <c r="D124" s="1255">
        <f>'Undervisning-SFO udgifter'!E79</f>
        <v>0</v>
      </c>
      <c r="E124" s="1256">
        <f>'Undervisning-SFO udgifter'!E79+SUM('Undervisning-SFO udgifter'!F74:F78)</f>
        <v>0</v>
      </c>
    </row>
    <row r="125" spans="1:11">
      <c r="A125" s="2541"/>
      <c r="B125" s="2541"/>
      <c r="C125" s="1257" t="s">
        <v>317</v>
      </c>
      <c r="D125" s="1258">
        <f>'Undervisning-SFO udgifter'!E128</f>
        <v>0</v>
      </c>
      <c r="E125" s="1259">
        <f>'Undervisning-SFO udgifter'!E128+'Undervisning-SFO udgifter'!F128</f>
        <v>0</v>
      </c>
    </row>
    <row r="126" spans="1:11">
      <c r="A126" s="2541"/>
      <c r="B126" s="2541"/>
      <c r="C126" s="1257" t="s">
        <v>318</v>
      </c>
      <c r="D126" s="1258">
        <f>Daginstitution!E171</f>
        <v>0</v>
      </c>
      <c r="E126" s="1259">
        <f>Daginstitution!E171+SUM(Daginstitution!F168:H170)</f>
        <v>0</v>
      </c>
    </row>
    <row r="127" spans="1:11">
      <c r="A127" s="2541"/>
      <c r="B127" s="2541"/>
      <c r="C127" s="1257" t="s">
        <v>319</v>
      </c>
      <c r="D127" s="1258">
        <f>Skolemadsordning!E45</f>
        <v>0</v>
      </c>
      <c r="E127" s="1259">
        <f>Skolemadsordning!E45+SUM(Skolemadsordning!F43:F44)</f>
        <v>0</v>
      </c>
    </row>
    <row r="128" spans="1:11">
      <c r="A128" s="2541"/>
      <c r="B128" s="2541"/>
      <c r="C128" s="1257" t="s">
        <v>247</v>
      </c>
      <c r="D128" s="1258">
        <f>Ejendom!E97</f>
        <v>0</v>
      </c>
      <c r="E128" s="1259">
        <f>Ejendom!E97+Ejendom!F97</f>
        <v>0</v>
      </c>
    </row>
    <row r="129" spans="1:5">
      <c r="A129" s="2541"/>
      <c r="B129" s="2541"/>
      <c r="C129" s="1257" t="s">
        <v>320</v>
      </c>
      <c r="D129" s="1258">
        <f>Administration!E113</f>
        <v>0</v>
      </c>
      <c r="E129" s="1259">
        <f>Administration!E113+SUM(Administration!F111:F112)</f>
        <v>0</v>
      </c>
    </row>
    <row r="130" spans="1:5" ht="14" thickBot="1">
      <c r="A130" s="2541"/>
      <c r="B130" s="2541"/>
      <c r="C130" s="1260" t="s">
        <v>321</v>
      </c>
      <c r="D130" s="1261">
        <f>Administration!E151</f>
        <v>0</v>
      </c>
      <c r="E130" s="1262">
        <f>Administration!E151+SUM(Administration!F149:F150)</f>
        <v>0</v>
      </c>
    </row>
    <row r="131" spans="1:5" ht="14" thickBot="1">
      <c r="A131" s="2541"/>
      <c r="B131" s="2541"/>
      <c r="C131" s="896" t="s">
        <v>322</v>
      </c>
      <c r="D131" s="1266">
        <f>SUM(D124:D130)</f>
        <v>0</v>
      </c>
      <c r="E131" s="1263">
        <f>SUM(E124:E130)</f>
        <v>0</v>
      </c>
    </row>
    <row r="132" spans="1:5" ht="14" thickBot="1">
      <c r="A132" s="2541"/>
      <c r="B132" s="2541"/>
      <c r="C132" s="688" t="s">
        <v>323</v>
      </c>
      <c r="D132" s="1267">
        <f>'Prio-renter'!J25*-1</f>
        <v>0</v>
      </c>
      <c r="E132" s="1268">
        <f>('Prio-renter'!J25+'Prio-renter'!L23+'Prio-renter'!L17+'Prio-renter'!L11+'Prio-renter'!L6)*-1</f>
        <v>0</v>
      </c>
    </row>
    <row r="133" spans="1:5" ht="14" thickBot="1">
      <c r="A133" s="2541"/>
      <c r="B133" s="2541"/>
      <c r="C133" s="896" t="s">
        <v>324</v>
      </c>
      <c r="D133" s="1269">
        <f>SUM(D113:D132)-D122-D131-D123</f>
        <v>126923</v>
      </c>
      <c r="E133" s="1270">
        <f>SUM(E113:E132)-E122-E131-E123</f>
        <v>126789.2</v>
      </c>
    </row>
    <row r="134" spans="1:5">
      <c r="B134"/>
      <c r="C134"/>
      <c r="D134"/>
    </row>
    <row r="135" spans="1:5">
      <c r="B135"/>
      <c r="C135"/>
      <c r="D135"/>
    </row>
    <row r="136" spans="1:5">
      <c r="B136"/>
      <c r="C136"/>
      <c r="D136"/>
    </row>
    <row r="137" spans="1:5">
      <c r="B137"/>
      <c r="C137"/>
      <c r="D137"/>
    </row>
  </sheetData>
  <sheetProtection sheet="1" formatCells="0" formatColumns="0" formatRows="0"/>
  <mergeCells count="47">
    <mergeCell ref="A64:B64"/>
    <mergeCell ref="A56:B56"/>
    <mergeCell ref="A63:B63"/>
    <mergeCell ref="A57:B57"/>
    <mergeCell ref="A58:B58"/>
    <mergeCell ref="A59:B59"/>
    <mergeCell ref="A61:B61"/>
    <mergeCell ref="A62:B62"/>
    <mergeCell ref="C1:F1"/>
    <mergeCell ref="A18:B18"/>
    <mergeCell ref="A28:B28"/>
    <mergeCell ref="A34:B34"/>
    <mergeCell ref="A37:B37"/>
    <mergeCell ref="A29:B29"/>
    <mergeCell ref="A33:B33"/>
    <mergeCell ref="A4:B6"/>
    <mergeCell ref="A9:B9"/>
    <mergeCell ref="A15:B15"/>
    <mergeCell ref="A16:B16"/>
    <mergeCell ref="A32:B32"/>
    <mergeCell ref="A31:B31"/>
    <mergeCell ref="A35:B35"/>
    <mergeCell ref="A36:B36"/>
    <mergeCell ref="C11:H11"/>
    <mergeCell ref="A8:B8"/>
    <mergeCell ref="A111:B133"/>
    <mergeCell ref="C111:H111"/>
    <mergeCell ref="A46:B46"/>
    <mergeCell ref="A47:B47"/>
    <mergeCell ref="A48:B48"/>
    <mergeCell ref="A49:B49"/>
    <mergeCell ref="A39:B39"/>
    <mergeCell ref="A40:B40"/>
    <mergeCell ref="A43:B43"/>
    <mergeCell ref="A45:B45"/>
    <mergeCell ref="A42:B42"/>
    <mergeCell ref="A50:B50"/>
    <mergeCell ref="A51:B51"/>
    <mergeCell ref="A52:B52"/>
    <mergeCell ref="A53:B53"/>
    <mergeCell ref="F2:F3"/>
    <mergeCell ref="C30:H30"/>
    <mergeCell ref="C44:H44"/>
    <mergeCell ref="C54:H54"/>
    <mergeCell ref="C60:H60"/>
    <mergeCell ref="C14:H14"/>
    <mergeCell ref="C22:H22"/>
  </mergeCells>
  <phoneticPr fontId="55" type="noConversion"/>
  <conditionalFormatting sqref="D67">
    <cfRule type="iconSet" priority="4">
      <iconSet iconSet="3Arrows">
        <cfvo type="percent" val="0"/>
        <cfvo type="num" val="0"/>
        <cfvo type="num" val="50000"/>
      </iconSet>
    </cfRule>
  </conditionalFormatting>
  <conditionalFormatting sqref="D83">
    <cfRule type="iconSet" priority="3">
      <iconSet iconSet="3Arrows">
        <cfvo type="percent" val="0"/>
        <cfvo type="num" val="0"/>
        <cfvo type="num" val="50000"/>
      </iconSet>
    </cfRule>
  </conditionalFormatting>
  <conditionalFormatting sqref="E67:G67">
    <cfRule type="iconSet" priority="8">
      <iconSet iconSet="3Arrows">
        <cfvo type="percent" val="0"/>
        <cfvo type="num" val="0"/>
        <cfvo type="num" val="50000"/>
      </iconSet>
    </cfRule>
  </conditionalFormatting>
  <conditionalFormatting sqref="E83:G83">
    <cfRule type="iconSet" priority="7">
      <iconSet iconSet="3Arrows">
        <cfvo type="percent" val="0"/>
        <cfvo type="num" val="0"/>
        <cfvo type="num" val="50000"/>
      </iconSet>
    </cfRule>
  </conditionalFormatting>
  <dataValidations count="2">
    <dataValidation type="whole" allowBlank="1" showInputMessage="1" showErrorMessage="1" errorTitle="OBS" error="Refusioner tastes som negative beløb" sqref="D32 D38 D56:E56 D62:E62 D34:E34 D36:E36 D46" xr:uid="{00000000-0002-0000-0300-000000000000}">
      <formula1>-5000000000</formula1>
      <formula2>-1</formula2>
    </dataValidation>
    <dataValidation allowBlank="1" showInputMessage="1" showErrorMessage="1" errorTitle="OBS" error="Refusioner tastes som negative beløb" sqref="D55" xr:uid="{00000000-0002-0000-0300-000001000000}"/>
  </dataValidations>
  <printOptions horizontalCentered="1"/>
  <pageMargins left="0.25" right="0.25" top="0.75" bottom="0.75" header="0.3" footer="0.3"/>
  <pageSetup paperSize="9" scale="53" fitToHeight="2" orientation="portrait"/>
  <headerFooter alignWithMargins="0">
    <oddHeader>&amp;C&amp;"Arial,Fed"&amp;12HOVEDSKEMA</oddHeader>
    <oddFooter>&amp;L&amp;G&amp;R
&amp;D
&amp;A</oddFooter>
  </headerFooter>
  <rowBreaks count="1" manualBreakCount="1">
    <brk id="84" max="16383" man="1"/>
  </rowBreaks>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2:I24"/>
  <sheetViews>
    <sheetView workbookViewId="0">
      <selection activeCell="E33" sqref="E33"/>
    </sheetView>
  </sheetViews>
  <sheetFormatPr baseColWidth="10" defaultColWidth="11.5" defaultRowHeight="13"/>
  <sheetData>
    <row r="2" spans="1:9" ht="28">
      <c r="A2" s="1271" t="s">
        <v>325</v>
      </c>
      <c r="B2" s="1272" t="s">
        <v>326</v>
      </c>
      <c r="C2" s="1272" t="s">
        <v>327</v>
      </c>
      <c r="D2" s="1272" t="s">
        <v>328</v>
      </c>
      <c r="E2" s="1272" t="s">
        <v>329</v>
      </c>
      <c r="F2" s="1272" t="s">
        <v>330</v>
      </c>
      <c r="G2" s="1272" t="s">
        <v>331</v>
      </c>
      <c r="H2" s="1272" t="s">
        <v>332</v>
      </c>
      <c r="I2" s="1273" t="s">
        <v>333</v>
      </c>
    </row>
    <row r="3" spans="1:9">
      <c r="A3" s="1274" t="s">
        <v>334</v>
      </c>
      <c r="B3" s="1275">
        <v>365</v>
      </c>
      <c r="C3" s="1275">
        <v>105</v>
      </c>
      <c r="D3" s="1275">
        <v>6</v>
      </c>
      <c r="E3" s="1276">
        <v>37068</v>
      </c>
      <c r="F3" s="1276">
        <v>37467</v>
      </c>
      <c r="G3" s="1277">
        <v>25</v>
      </c>
      <c r="H3" s="1278">
        <v>229</v>
      </c>
      <c r="I3" s="1279">
        <v>1694.6</v>
      </c>
    </row>
    <row r="4" spans="1:9">
      <c r="A4" s="296" t="s">
        <v>335</v>
      </c>
      <c r="B4" s="297">
        <v>365</v>
      </c>
      <c r="C4" s="297">
        <v>104</v>
      </c>
      <c r="D4" s="297">
        <v>7</v>
      </c>
      <c r="E4" s="298">
        <v>37433</v>
      </c>
      <c r="F4" s="298">
        <v>37467</v>
      </c>
      <c r="G4" s="299">
        <v>25</v>
      </c>
      <c r="H4" s="300">
        <v>229</v>
      </c>
      <c r="I4" s="301">
        <v>1687.2</v>
      </c>
    </row>
    <row r="5" spans="1:9">
      <c r="A5" s="296" t="s">
        <v>336</v>
      </c>
      <c r="B5" s="297">
        <v>365</v>
      </c>
      <c r="C5" s="297">
        <v>104</v>
      </c>
      <c r="D5" s="297">
        <v>9</v>
      </c>
      <c r="E5" s="298">
        <v>37803</v>
      </c>
      <c r="F5" s="298">
        <v>37835</v>
      </c>
      <c r="G5" s="299">
        <v>22</v>
      </c>
      <c r="H5" s="300">
        <v>230</v>
      </c>
      <c r="I5" s="301">
        <v>1694.6</v>
      </c>
    </row>
    <row r="6" spans="1:9">
      <c r="A6" s="296" t="s">
        <v>337</v>
      </c>
      <c r="B6" s="297">
        <v>366</v>
      </c>
      <c r="C6" s="297">
        <v>104</v>
      </c>
      <c r="D6" s="297">
        <v>9</v>
      </c>
      <c r="E6" s="298">
        <v>38171</v>
      </c>
      <c r="F6" s="298">
        <v>38205</v>
      </c>
      <c r="G6" s="299">
        <v>23</v>
      </c>
      <c r="H6" s="300">
        <v>230</v>
      </c>
      <c r="I6" s="301">
        <v>1687.2</v>
      </c>
    </row>
    <row r="7" spans="1:9">
      <c r="A7" s="296" t="s">
        <v>338</v>
      </c>
      <c r="B7" s="297">
        <v>365</v>
      </c>
      <c r="C7" s="297">
        <v>104</v>
      </c>
      <c r="D7" s="297">
        <v>9</v>
      </c>
      <c r="E7" s="298">
        <v>38538</v>
      </c>
      <c r="F7" s="298">
        <v>38570</v>
      </c>
      <c r="G7" s="299">
        <v>25</v>
      </c>
      <c r="H7" s="300">
        <v>227</v>
      </c>
      <c r="I7" s="301">
        <v>1672.4</v>
      </c>
    </row>
    <row r="8" spans="1:9">
      <c r="A8" s="296" t="s">
        <v>339</v>
      </c>
      <c r="B8" s="297">
        <v>365</v>
      </c>
      <c r="C8" s="297">
        <v>105</v>
      </c>
      <c r="D8" s="297">
        <v>8</v>
      </c>
      <c r="E8" s="298">
        <v>38902</v>
      </c>
      <c r="F8" s="298">
        <v>38934</v>
      </c>
      <c r="G8" s="299">
        <v>25</v>
      </c>
      <c r="H8" s="300">
        <v>227</v>
      </c>
      <c r="I8" s="301">
        <v>1679.8</v>
      </c>
    </row>
    <row r="9" spans="1:9">
      <c r="A9" s="296" t="s">
        <v>340</v>
      </c>
      <c r="B9" s="297">
        <v>365</v>
      </c>
      <c r="C9" s="297">
        <v>105</v>
      </c>
      <c r="D9" s="297">
        <v>6</v>
      </c>
      <c r="E9" s="298">
        <v>39266</v>
      </c>
      <c r="F9" s="298">
        <v>39298</v>
      </c>
      <c r="G9" s="299">
        <v>25</v>
      </c>
      <c r="H9" s="300">
        <v>229</v>
      </c>
      <c r="I9" s="301">
        <v>1694.6</v>
      </c>
    </row>
    <row r="10" spans="1:9">
      <c r="A10" s="296" t="s">
        <v>341</v>
      </c>
      <c r="B10" s="297">
        <v>366</v>
      </c>
      <c r="C10" s="297">
        <v>104</v>
      </c>
      <c r="D10" s="297">
        <v>7</v>
      </c>
      <c r="E10" s="298">
        <v>39632</v>
      </c>
      <c r="F10" s="298">
        <v>39666</v>
      </c>
      <c r="G10" s="299">
        <v>25</v>
      </c>
      <c r="H10" s="300">
        <v>230</v>
      </c>
      <c r="I10" s="301">
        <v>1687.2</v>
      </c>
    </row>
    <row r="11" spans="1:9">
      <c r="A11" s="296" t="s">
        <v>342</v>
      </c>
      <c r="B11" s="297">
        <v>365</v>
      </c>
      <c r="C11" s="297">
        <v>104</v>
      </c>
      <c r="D11" s="297">
        <v>9</v>
      </c>
      <c r="E11" s="298">
        <v>39997</v>
      </c>
      <c r="F11" s="298">
        <v>40031</v>
      </c>
      <c r="G11" s="299">
        <v>25</v>
      </c>
      <c r="H11" s="300">
        <v>227</v>
      </c>
      <c r="I11" s="301">
        <v>1672.4</v>
      </c>
    </row>
    <row r="12" spans="1:9">
      <c r="A12" s="296" t="s">
        <v>343</v>
      </c>
      <c r="B12" s="297">
        <v>365</v>
      </c>
      <c r="C12" s="297">
        <v>104</v>
      </c>
      <c r="D12" s="297">
        <v>9</v>
      </c>
      <c r="E12" s="298">
        <v>40362</v>
      </c>
      <c r="F12" s="298">
        <v>40396</v>
      </c>
      <c r="G12" s="299">
        <v>25</v>
      </c>
      <c r="H12" s="300">
        <v>227</v>
      </c>
      <c r="I12" s="301">
        <v>1672.4</v>
      </c>
    </row>
    <row r="13" spans="1:9">
      <c r="A13" s="296" t="s">
        <v>344</v>
      </c>
      <c r="B13" s="297">
        <v>365</v>
      </c>
      <c r="C13" s="297">
        <v>104</v>
      </c>
      <c r="D13" s="297">
        <v>9</v>
      </c>
      <c r="E13" s="298">
        <v>40729</v>
      </c>
      <c r="F13" s="298">
        <v>40761</v>
      </c>
      <c r="G13" s="299">
        <v>25</v>
      </c>
      <c r="H13" s="300">
        <v>227</v>
      </c>
      <c r="I13" s="301">
        <v>1679.8</v>
      </c>
    </row>
    <row r="14" spans="1:9">
      <c r="A14" s="296" t="s">
        <v>345</v>
      </c>
      <c r="B14" s="297">
        <v>366</v>
      </c>
      <c r="C14" s="297">
        <v>106</v>
      </c>
      <c r="D14" s="297">
        <v>8</v>
      </c>
      <c r="E14" s="298">
        <v>41093</v>
      </c>
      <c r="F14" s="298">
        <v>41125</v>
      </c>
      <c r="G14" s="299">
        <v>25</v>
      </c>
      <c r="H14" s="300">
        <v>227</v>
      </c>
      <c r="I14" s="301">
        <v>1679.8</v>
      </c>
    </row>
    <row r="15" spans="1:9">
      <c r="A15" s="296" t="s">
        <v>346</v>
      </c>
      <c r="B15" s="297">
        <v>365</v>
      </c>
      <c r="C15" s="297">
        <v>104</v>
      </c>
      <c r="D15" s="297">
        <v>7</v>
      </c>
      <c r="E15" s="298">
        <v>41458</v>
      </c>
      <c r="F15" s="298">
        <v>41492</v>
      </c>
      <c r="G15" s="299">
        <v>25</v>
      </c>
      <c r="H15" s="300">
        <v>229</v>
      </c>
      <c r="I15" s="301">
        <v>1694.6</v>
      </c>
    </row>
    <row r="16" spans="1:9">
      <c r="A16" s="296" t="s">
        <v>347</v>
      </c>
      <c r="B16" s="297">
        <v>365</v>
      </c>
      <c r="C16" s="297">
        <v>104</v>
      </c>
      <c r="D16" s="297">
        <v>9</v>
      </c>
      <c r="E16" s="298">
        <v>41827</v>
      </c>
      <c r="F16" s="298">
        <v>41857</v>
      </c>
      <c r="G16" s="299">
        <v>25</v>
      </c>
      <c r="H16" s="300">
        <v>227</v>
      </c>
      <c r="I16" s="301">
        <v>1679.8</v>
      </c>
    </row>
    <row r="17" spans="1:9">
      <c r="A17" s="296" t="s">
        <v>348</v>
      </c>
      <c r="B17" s="297">
        <v>365</v>
      </c>
      <c r="C17" s="297">
        <v>104</v>
      </c>
      <c r="D17" s="297">
        <v>9</v>
      </c>
      <c r="E17" s="298">
        <v>42188</v>
      </c>
      <c r="F17" s="298">
        <v>42222</v>
      </c>
      <c r="G17" s="299">
        <v>25</v>
      </c>
      <c r="H17" s="300">
        <v>227</v>
      </c>
      <c r="I17" s="301">
        <v>1679.8</v>
      </c>
    </row>
    <row r="18" spans="1:9">
      <c r="A18" s="1280" t="s">
        <v>349</v>
      </c>
      <c r="B18" s="1281">
        <v>366</v>
      </c>
      <c r="C18" s="1281">
        <v>104</v>
      </c>
      <c r="D18" s="1281">
        <v>9</v>
      </c>
      <c r="E18" s="1282">
        <v>42556</v>
      </c>
      <c r="F18" s="1282">
        <v>42588</v>
      </c>
      <c r="G18" s="1283">
        <v>25</v>
      </c>
      <c r="H18" s="1284">
        <v>228</v>
      </c>
      <c r="I18" s="302">
        <v>1687.2</v>
      </c>
    </row>
    <row r="20" spans="1:9">
      <c r="A20" s="190" t="s">
        <v>350</v>
      </c>
    </row>
    <row r="21" spans="1:9">
      <c r="A21" s="190" t="s">
        <v>351</v>
      </c>
    </row>
    <row r="22" spans="1:9">
      <c r="A22" t="s">
        <v>352</v>
      </c>
    </row>
    <row r="24" spans="1:9">
      <c r="A24" s="204" t="s">
        <v>353</v>
      </c>
    </row>
  </sheetData>
  <sheetProtection sheet="1" objects="1" scenarios="1"/>
  <phoneticPr fontId="55" type="noConversion"/>
  <pageMargins left="0.75000000000000011" right="0.75000000000000011" top="1" bottom="1" header="0.5" footer="0.5"/>
  <pageSetup paperSize="9" scale="82"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tabColor theme="6" tint="0.59999389629810485"/>
    <pageSetUpPr fitToPage="1"/>
  </sheetPr>
  <dimension ref="A1:R131"/>
  <sheetViews>
    <sheetView zoomScale="143" zoomScaleNormal="140" zoomScaleSheetLayoutView="100" workbookViewId="0"/>
  </sheetViews>
  <sheetFormatPr baseColWidth="10" defaultColWidth="10.83203125" defaultRowHeight="13"/>
  <cols>
    <col min="1" max="1" width="10.83203125" style="12"/>
    <col min="2" max="2" width="13.1640625" style="12" customWidth="1"/>
    <col min="3" max="3" width="13.5" style="12" customWidth="1"/>
    <col min="4" max="4" width="11.5" style="12" customWidth="1"/>
    <col min="5" max="5" width="14.5" style="12" customWidth="1"/>
    <col min="6" max="6" width="10.83203125" style="12"/>
    <col min="7" max="7" width="16.5" style="12" customWidth="1"/>
    <col min="8" max="8" width="10.5" style="12" customWidth="1"/>
    <col min="9" max="9" width="14.5" style="12" customWidth="1"/>
    <col min="10" max="10" width="14" style="12" customWidth="1"/>
    <col min="11" max="11" width="14.1640625" style="12" customWidth="1"/>
    <col min="12" max="16384" width="10.83203125" style="12"/>
  </cols>
  <sheetData>
    <row r="1" spans="1:11" s="98" customFormat="1" ht="27" customHeight="1" thickBot="1">
      <c r="A1" s="1285"/>
      <c r="B1" s="1285"/>
      <c r="C1" s="1285"/>
      <c r="D1" s="1285"/>
      <c r="E1" s="1285"/>
      <c r="F1" s="1285"/>
      <c r="G1" s="1285"/>
      <c r="H1" s="1285"/>
      <c r="I1" s="1285"/>
      <c r="J1" s="1285"/>
      <c r="K1" s="1285"/>
    </row>
    <row r="2" spans="1:11" ht="23">
      <c r="A2" s="229"/>
      <c r="F2" s="230" t="s">
        <v>354</v>
      </c>
    </row>
    <row r="3" spans="1:11" ht="6" customHeight="1">
      <c r="F3" s="230"/>
    </row>
    <row r="4" spans="1:11" ht="12" customHeight="1" thickBot="1">
      <c r="F4" s="230"/>
    </row>
    <row r="5" spans="1:11" ht="21" customHeight="1">
      <c r="A5" s="1286" t="str">
        <f>"Beregning af driftstilskud for "&amp;budgetår</f>
        <v>Beregning af driftstilskud for 2025</v>
      </c>
      <c r="B5" s="1287"/>
      <c r="C5" s="1287"/>
      <c r="D5" s="1287"/>
      <c r="E5" s="1287"/>
      <c r="F5" s="1287"/>
      <c r="G5" s="1287"/>
      <c r="H5" s="1287"/>
      <c r="I5" s="1287"/>
      <c r="J5" s="1287"/>
      <c r="K5" s="1288"/>
    </row>
    <row r="6" spans="1:11" ht="21" customHeight="1">
      <c r="A6" s="1289" t="str">
        <f>"Grundtilskud 10.000 kr pr. elev 5/9-"&amp;budgetår-1&amp;" (max 400.000 kr.)"</f>
        <v>Grundtilskud 10.000 kr pr. elev 5/9-2024 (max 400.000 kr.)</v>
      </c>
      <c r="B6" s="1290"/>
      <c r="C6" s="1290"/>
      <c r="D6" s="1290"/>
      <c r="E6" s="1290"/>
      <c r="F6" s="1290"/>
      <c r="G6" s="1291" t="str">
        <f>"("&amp;Grundtilsk_1&amp;" x"&amp;elevtal_1&amp;")"</f>
        <v>(10000 x0)</v>
      </c>
      <c r="H6" s="1290"/>
      <c r="I6" s="1290"/>
      <c r="J6" s="1292"/>
      <c r="K6" s="1293">
        <f>MIN(400000,J8*Grundtilsk_1)</f>
        <v>0</v>
      </c>
    </row>
    <row r="7" spans="1:11" ht="6" customHeight="1" thickBot="1">
      <c r="A7" s="822"/>
      <c r="B7" s="86"/>
      <c r="C7" s="86"/>
      <c r="D7" s="86"/>
      <c r="E7" s="86"/>
      <c r="F7" s="86"/>
      <c r="G7" s="231"/>
      <c r="H7" s="86"/>
      <c r="I7" s="86"/>
      <c r="J7" s="232"/>
      <c r="K7" s="823"/>
    </row>
    <row r="8" spans="1:11" ht="18.75" customHeight="1" thickBot="1">
      <c r="A8" s="824" t="s">
        <v>355</v>
      </c>
      <c r="B8" s="232"/>
      <c r="C8" s="232"/>
      <c r="D8" s="232"/>
      <c r="E8" s="232"/>
      <c r="F8" s="232"/>
      <c r="G8" s="232"/>
      <c r="H8" s="232"/>
      <c r="I8" s="233" t="str">
        <f>"Elevtal 5/9- "&amp;budgetår-1</f>
        <v>Elevtal 5/9- 2024</v>
      </c>
      <c r="J8" s="1294">
        <f>elevtal_1</f>
        <v>0</v>
      </c>
      <c r="K8" s="246"/>
    </row>
    <row r="9" spans="1:11" ht="4" customHeight="1">
      <c r="A9" s="824"/>
      <c r="B9" s="232"/>
      <c r="C9" s="232"/>
      <c r="D9" s="232"/>
      <c r="E9" s="232"/>
      <c r="F9" s="232"/>
      <c r="G9" s="232"/>
      <c r="H9" s="232"/>
      <c r="I9" s="232"/>
      <c r="J9" s="232"/>
      <c r="K9" s="825"/>
    </row>
    <row r="10" spans="1:11" ht="17" customHeight="1">
      <c r="A10" s="824" t="str">
        <f>"Fordeling af elever 5/9-"&amp;budgetår-1&amp;":"</f>
        <v>Fordeling af elever 5/9-2024:</v>
      </c>
      <c r="B10" s="232"/>
      <c r="C10" s="232"/>
      <c r="D10" s="232"/>
      <c r="E10" s="232"/>
      <c r="F10" s="232"/>
      <c r="G10" s="232"/>
      <c r="H10" s="232"/>
      <c r="I10" s="232"/>
      <c r="J10" s="232"/>
      <c r="K10" s="246"/>
    </row>
    <row r="11" spans="1:11" ht="5" customHeight="1">
      <c r="A11" s="824"/>
      <c r="B11" s="232"/>
      <c r="C11" s="232"/>
      <c r="D11" s="234"/>
      <c r="E11" s="232"/>
      <c r="F11" s="232"/>
      <c r="G11" s="232"/>
      <c r="H11" s="234"/>
      <c r="I11" s="232"/>
      <c r="J11" s="235"/>
      <c r="K11" s="246"/>
    </row>
    <row r="12" spans="1:11" ht="18" customHeight="1">
      <c r="A12" s="1295"/>
      <c r="B12" s="1296" t="str">
        <f>"Elever pr. 5/9- "&amp;budgetår-1&amp;" : "</f>
        <v xml:space="preserve">Elever pr. 5/9- 2024 : </v>
      </c>
      <c r="C12" s="1296" t="s">
        <v>356</v>
      </c>
      <c r="D12" s="1297">
        <f>elevu13_1</f>
        <v>0</v>
      </c>
      <c r="E12" s="1292"/>
      <c r="F12" s="1296" t="s">
        <v>357</v>
      </c>
      <c r="G12" s="1297">
        <f>elevo13_1</f>
        <v>0</v>
      </c>
      <c r="H12" s="1292"/>
      <c r="I12" s="1298" t="s">
        <v>358</v>
      </c>
      <c r="J12" s="1297">
        <f>elev10kl_1</f>
        <v>0</v>
      </c>
      <c r="K12" s="826"/>
    </row>
    <row r="13" spans="1:11" ht="6" customHeight="1">
      <c r="A13" s="824"/>
      <c r="B13" s="232"/>
      <c r="C13" s="232"/>
      <c r="D13" s="232"/>
      <c r="E13" s="236"/>
      <c r="F13" s="232"/>
      <c r="G13" s="232"/>
      <c r="H13" s="236"/>
      <c r="I13" s="232"/>
      <c r="J13" s="232"/>
      <c r="K13" s="826"/>
    </row>
    <row r="14" spans="1:11" ht="17" customHeight="1">
      <c r="A14" s="824" t="s">
        <v>359</v>
      </c>
      <c r="B14" s="232"/>
      <c r="C14" s="232"/>
      <c r="D14" s="237"/>
      <c r="E14" s="232"/>
      <c r="F14" s="232"/>
      <c r="G14" s="237"/>
      <c r="H14" s="43"/>
      <c r="I14" s="232"/>
      <c r="J14" s="232"/>
      <c r="K14" s="827"/>
    </row>
    <row r="15" spans="1:11" ht="17" customHeight="1">
      <c r="A15" s="824"/>
      <c r="B15" s="2734"/>
      <c r="C15" s="1299" t="s">
        <v>360</v>
      </c>
      <c r="D15" s="1300"/>
      <c r="E15" s="1300"/>
      <c r="F15" s="1301">
        <f>FaeUdgSmaa</f>
        <v>8326</v>
      </c>
      <c r="G15" s="1302">
        <f>IF(elevtal_1&gt;220,220,elevtal_1)</f>
        <v>0</v>
      </c>
      <c r="H15" s="1292" t="s">
        <v>361</v>
      </c>
      <c r="I15" s="1303">
        <f>MIN(J8,220)*F15</f>
        <v>0</v>
      </c>
      <c r="J15" s="238"/>
      <c r="K15" s="246"/>
    </row>
    <row r="16" spans="1:11" ht="18" customHeight="1">
      <c r="A16" s="824"/>
      <c r="B16" s="2734"/>
      <c r="C16" s="1299" t="s">
        <v>362</v>
      </c>
      <c r="D16" s="1300"/>
      <c r="E16" s="1300"/>
      <c r="F16" s="1301">
        <f>FaeUdgStore</f>
        <v>3331</v>
      </c>
      <c r="G16" s="1302">
        <f>IF(elevtal_1&gt;220,elevtal_1-220,0)</f>
        <v>0</v>
      </c>
      <c r="H16" s="1304" t="s">
        <v>361</v>
      </c>
      <c r="I16" s="1303">
        <f>MAX(0,J8-220)*F16</f>
        <v>0</v>
      </c>
      <c r="J16" s="1303">
        <f>SUM(I15:I16)</f>
        <v>0</v>
      </c>
      <c r="K16" s="246"/>
    </row>
    <row r="17" spans="1:18" ht="5" customHeight="1">
      <c r="A17" s="824"/>
      <c r="B17" s="232"/>
      <c r="C17" s="232"/>
      <c r="D17" s="232"/>
      <c r="E17" s="232"/>
      <c r="F17" s="232"/>
      <c r="G17" s="239"/>
      <c r="H17" s="232"/>
      <c r="I17" s="238"/>
      <c r="J17" s="238"/>
      <c r="K17" s="826"/>
    </row>
    <row r="18" spans="1:18" ht="15.75" customHeight="1">
      <c r="A18" s="824" t="s">
        <v>363</v>
      </c>
      <c r="B18" s="232"/>
      <c r="C18" s="232"/>
      <c r="D18" s="232"/>
      <c r="E18" s="232"/>
      <c r="F18" s="232"/>
      <c r="G18" s="239"/>
      <c r="H18" s="232"/>
      <c r="I18" s="238"/>
      <c r="J18" s="238"/>
      <c r="K18" s="828"/>
    </row>
    <row r="19" spans="1:18" ht="15.75" customHeight="1">
      <c r="A19" s="824"/>
      <c r="B19" s="2720"/>
      <c r="C19" s="2721" t="s">
        <v>364</v>
      </c>
      <c r="D19" s="2722"/>
      <c r="E19" s="2723"/>
      <c r="F19" s="1305">
        <f>UvTaxU13</f>
        <v>43708</v>
      </c>
      <c r="G19" s="1302">
        <f>elevu13_1</f>
        <v>0</v>
      </c>
      <c r="H19" s="1292" t="s">
        <v>361</v>
      </c>
      <c r="I19" s="1303">
        <f>F19*D12</f>
        <v>0</v>
      </c>
      <c r="J19" s="238"/>
      <c r="K19" s="246"/>
    </row>
    <row r="20" spans="1:18" ht="15.75" customHeight="1">
      <c r="A20" s="824"/>
      <c r="B20" s="2720"/>
      <c r="C20" s="2717" t="s">
        <v>365</v>
      </c>
      <c r="D20" s="2718"/>
      <c r="E20" s="2719"/>
      <c r="F20" s="1301">
        <f>UvTaxO13</f>
        <v>57694</v>
      </c>
      <c r="G20" s="1306">
        <f>elevo13_1</f>
        <v>0</v>
      </c>
      <c r="H20" s="1304" t="s">
        <v>361</v>
      </c>
      <c r="I20" s="1303">
        <f>F20*G12</f>
        <v>0</v>
      </c>
      <c r="J20" s="238"/>
      <c r="K20" s="246"/>
      <c r="R20" s="13"/>
    </row>
    <row r="21" spans="1:18" ht="15.75" customHeight="1">
      <c r="A21" s="824"/>
      <c r="B21" s="2720"/>
      <c r="C21" s="1307" t="s">
        <v>366</v>
      </c>
      <c r="D21" s="1308"/>
      <c r="E21" s="1309"/>
      <c r="F21" s="1310">
        <f>UvTax10kl</f>
        <v>56589</v>
      </c>
      <c r="G21" s="1311">
        <f>elev10kl_1</f>
        <v>0</v>
      </c>
      <c r="H21" s="1304" t="s">
        <v>361</v>
      </c>
      <c r="I21" s="1303">
        <f>F21*J12</f>
        <v>0</v>
      </c>
      <c r="J21" s="1303">
        <f>SUM(I19:I21)</f>
        <v>0</v>
      </c>
      <c r="K21" s="246"/>
      <c r="R21" s="13"/>
    </row>
    <row r="22" spans="1:18" ht="15.75" customHeight="1">
      <c r="A22" s="824"/>
      <c r="B22" s="43"/>
      <c r="C22" s="240"/>
      <c r="D22" s="241"/>
      <c r="E22" s="242"/>
      <c r="F22" s="243"/>
      <c r="G22" s="244"/>
      <c r="H22" s="232"/>
      <c r="I22" s="245"/>
      <c r="J22" s="245"/>
      <c r="K22" s="246"/>
      <c r="R22" s="13"/>
    </row>
    <row r="23" spans="1:18" ht="11" customHeight="1">
      <c r="A23" s="824"/>
      <c r="B23" s="232"/>
      <c r="C23" s="247"/>
      <c r="D23" s="43"/>
      <c r="E23" s="43"/>
      <c r="F23" s="248"/>
      <c r="G23" s="247"/>
      <c r="H23" s="232"/>
      <c r="I23" s="232"/>
      <c r="J23" s="236"/>
      <c r="K23" s="827"/>
    </row>
    <row r="24" spans="1:18" ht="21" customHeight="1">
      <c r="A24" s="824" t="s">
        <v>367</v>
      </c>
      <c r="B24" s="232"/>
      <c r="C24" s="232"/>
      <c r="D24" s="43"/>
      <c r="E24" s="248"/>
      <c r="F24" s="249" t="s">
        <v>368</v>
      </c>
      <c r="G24" s="1312">
        <f>IF(Forside!H12&gt;=4,1.02,1)</f>
        <v>1</v>
      </c>
      <c r="H24" s="250"/>
      <c r="I24" s="250"/>
      <c r="J24" s="829" t="s">
        <v>369</v>
      </c>
      <c r="K24" s="1313">
        <f>(K6+J16+J21)*G24</f>
        <v>0</v>
      </c>
    </row>
    <row r="25" spans="1:18" ht="15" customHeight="1">
      <c r="A25" s="1314"/>
      <c r="B25" s="1315"/>
      <c r="C25" s="1315"/>
      <c r="D25" s="1315"/>
      <c r="E25" s="1315"/>
      <c r="F25" s="1315"/>
      <c r="G25" s="1315"/>
      <c r="H25" s="1292"/>
      <c r="I25" s="1292"/>
      <c r="J25" s="1292"/>
      <c r="K25" s="1316"/>
    </row>
    <row r="26" spans="1:18" ht="22" customHeight="1">
      <c r="A26" s="830" t="str">
        <f>"Regulering af driftstilskud for de sidste 5 mdr. af "&amp;budgetår</f>
        <v>Regulering af driftstilskud for de sidste 5 mdr. af 2025</v>
      </c>
      <c r="B26" s="251"/>
      <c r="C26" s="251"/>
      <c r="D26" s="251"/>
      <c r="E26" s="251"/>
      <c r="F26" s="251"/>
      <c r="G26" s="251"/>
      <c r="H26" s="251"/>
      <c r="I26" s="251"/>
      <c r="J26" s="251"/>
      <c r="K26" s="831"/>
    </row>
    <row r="27" spans="1:18" ht="5" customHeight="1">
      <c r="A27" s="824"/>
      <c r="B27" s="232"/>
      <c r="C27" s="232"/>
      <c r="D27" s="232"/>
      <c r="E27" s="232"/>
      <c r="F27" s="232"/>
      <c r="G27" s="232"/>
      <c r="H27" s="232"/>
      <c r="I27" s="232"/>
      <c r="J27" s="232"/>
      <c r="K27" s="828"/>
    </row>
    <row r="28" spans="1:18" ht="15" customHeight="1">
      <c r="A28" s="832"/>
      <c r="B28" s="232"/>
      <c r="C28" s="252"/>
      <c r="D28" s="248"/>
      <c r="E28" s="232"/>
      <c r="F28" s="232"/>
      <c r="G28" s="232"/>
      <c r="H28" s="234"/>
      <c r="I28" s="233" t="str">
        <f>"Elevtal 5/9 "&amp;budgetår&amp;" :"</f>
        <v>Elevtal 5/9 2025 :</v>
      </c>
      <c r="J28" s="1317">
        <f>Elevtal</f>
        <v>0</v>
      </c>
      <c r="K28" s="246"/>
    </row>
    <row r="29" spans="1:18" ht="6" customHeight="1">
      <c r="A29" s="832"/>
      <c r="B29" s="232"/>
      <c r="C29" s="252"/>
      <c r="D29" s="248"/>
      <c r="E29" s="232"/>
      <c r="F29" s="233"/>
      <c r="G29" s="248"/>
      <c r="H29" s="234"/>
      <c r="I29" s="253"/>
      <c r="J29" s="233"/>
      <c r="K29" s="827"/>
    </row>
    <row r="30" spans="1:18" ht="15" customHeight="1">
      <c r="A30" s="824" t="str">
        <f>"Fordeling af elever 5/9-"&amp;budgetår&amp;":"</f>
        <v>Fordeling af elever 5/9-2025:</v>
      </c>
      <c r="B30" s="232"/>
      <c r="C30" s="232"/>
      <c r="D30" s="234"/>
      <c r="E30" s="232"/>
      <c r="F30" s="232"/>
      <c r="G30" s="232"/>
      <c r="H30" s="234"/>
      <c r="I30" s="232"/>
      <c r="J30" s="235"/>
      <c r="K30" s="246"/>
    </row>
    <row r="31" spans="1:18" ht="6" customHeight="1">
      <c r="A31" s="824"/>
      <c r="B31" s="232"/>
      <c r="C31" s="232"/>
      <c r="D31" s="234"/>
      <c r="E31" s="232"/>
      <c r="F31" s="232"/>
      <c r="G31" s="232"/>
      <c r="H31" s="234"/>
      <c r="I31" s="232"/>
      <c r="J31" s="235"/>
      <c r="K31" s="246"/>
    </row>
    <row r="32" spans="1:18" ht="15" customHeight="1">
      <c r="A32" s="1295"/>
      <c r="B32" s="1296" t="str">
        <f>"Elever pr. 5/9- "&amp;budgetår&amp;" : "</f>
        <v xml:space="preserve">Elever pr. 5/9- 2025 : </v>
      </c>
      <c r="C32" s="1296" t="s">
        <v>356</v>
      </c>
      <c r="D32" s="1297">
        <f>elevu13</f>
        <v>0</v>
      </c>
      <c r="E32" s="1292"/>
      <c r="F32" s="1296" t="s">
        <v>357</v>
      </c>
      <c r="G32" s="1297">
        <f>elevo13</f>
        <v>0</v>
      </c>
      <c r="H32" s="1292"/>
      <c r="I32" s="1298" t="s">
        <v>358</v>
      </c>
      <c r="J32" s="1297">
        <f>elev10kl</f>
        <v>0</v>
      </c>
      <c r="K32" s="826"/>
    </row>
    <row r="33" spans="1:11" ht="12" customHeight="1">
      <c r="A33" s="824"/>
      <c r="B33" s="232"/>
      <c r="C33" s="232"/>
      <c r="D33" s="254"/>
      <c r="E33" s="232"/>
      <c r="F33" s="232"/>
      <c r="G33" s="232"/>
      <c r="H33" s="232"/>
      <c r="I33" s="232"/>
      <c r="J33" s="232"/>
      <c r="K33" s="826"/>
    </row>
    <row r="34" spans="1:11" ht="16">
      <c r="A34" s="824" t="s">
        <v>359</v>
      </c>
      <c r="B34" s="232"/>
      <c r="C34" s="232"/>
      <c r="D34" s="237"/>
      <c r="E34" s="232"/>
      <c r="F34" s="232"/>
      <c r="G34" s="255" t="s">
        <v>370</v>
      </c>
      <c r="H34" s="43"/>
      <c r="I34" s="232"/>
      <c r="J34" s="232"/>
      <c r="K34" s="827"/>
    </row>
    <row r="35" spans="1:11" ht="16">
      <c r="A35" s="824"/>
      <c r="B35" s="2734"/>
      <c r="C35" s="1299" t="s">
        <v>360</v>
      </c>
      <c r="D35" s="1300"/>
      <c r="E35" s="1300"/>
      <c r="F35" s="1301">
        <f>FaeUdgSmaa</f>
        <v>8326</v>
      </c>
      <c r="G35" s="1318">
        <f>IF(elevtal_1&lt;221,IF(Elevtal&lt;221,Elevtal-elevtal_1,IF(Elevtal&gt;220,220-elevtal_1)),IF(elevtal_1&gt;220,IF(Elevtal&gt;220,0,IF(Elevtal&lt;221,Elevtal-220))))</f>
        <v>0</v>
      </c>
      <c r="H35" s="1319" t="s">
        <v>371</v>
      </c>
      <c r="I35" s="1303">
        <f>MIN(G35,220)*F35*5/12</f>
        <v>0</v>
      </c>
      <c r="J35" s="238"/>
      <c r="K35" s="828"/>
    </row>
    <row r="36" spans="1:11" ht="16">
      <c r="A36" s="824"/>
      <c r="B36" s="2734"/>
      <c r="C36" s="1299" t="s">
        <v>372</v>
      </c>
      <c r="D36" s="1300"/>
      <c r="E36" s="1300"/>
      <c r="F36" s="1301">
        <f>FaeUdgStore</f>
        <v>3331</v>
      </c>
      <c r="G36" s="1320">
        <f>IF(elevtal_1&lt;221,IF(Elevtal&lt;221,0,IF(Elevtal&gt;220,Elevtal-220)),IF(elevtal_1&gt;220,IF(Elevtal&gt;220,((Elevtal-220)-(elevtal_1-220)),IF(Elevtal&lt;221,G16*-1))))</f>
        <v>0</v>
      </c>
      <c r="H36" s="1319" t="s">
        <v>371</v>
      </c>
      <c r="I36" s="1303">
        <f>F36*G36*5/12</f>
        <v>0</v>
      </c>
      <c r="J36" s="1303">
        <f>SUM(I35:I36)</f>
        <v>0</v>
      </c>
      <c r="K36" s="828"/>
    </row>
    <row r="37" spans="1:11" ht="16">
      <c r="A37" s="824"/>
      <c r="B37" s="232"/>
      <c r="C37" s="232"/>
      <c r="D37" s="232"/>
      <c r="E37" s="232"/>
      <c r="F37" s="232"/>
      <c r="G37" s="232"/>
      <c r="H37" s="232"/>
      <c r="I37" s="232"/>
      <c r="J37" s="232"/>
      <c r="K37" s="826"/>
    </row>
    <row r="38" spans="1:11" ht="16">
      <c r="A38" s="824" t="s">
        <v>363</v>
      </c>
      <c r="B38" s="232"/>
      <c r="C38" s="232"/>
      <c r="D38" s="232"/>
      <c r="E38" s="232"/>
      <c r="F38" s="232"/>
      <c r="G38" s="255" t="s">
        <v>370</v>
      </c>
      <c r="H38" s="232"/>
      <c r="I38" s="232"/>
      <c r="J38" s="232"/>
      <c r="K38" s="828"/>
    </row>
    <row r="39" spans="1:11" ht="15" customHeight="1">
      <c r="A39" s="824"/>
      <c r="B39" s="256"/>
      <c r="C39" s="2721" t="s">
        <v>364</v>
      </c>
      <c r="D39" s="2722"/>
      <c r="E39" s="2723"/>
      <c r="F39" s="1305">
        <f>UvTaxU13</f>
        <v>43708</v>
      </c>
      <c r="G39" s="1321">
        <f>(elevu13-elevu13_1)*1</f>
        <v>0</v>
      </c>
      <c r="H39" s="1319" t="s">
        <v>371</v>
      </c>
      <c r="I39" s="1303">
        <f>F39*G39*5/12</f>
        <v>0</v>
      </c>
      <c r="J39" s="238"/>
      <c r="K39" s="246"/>
    </row>
    <row r="40" spans="1:11" ht="15" customHeight="1">
      <c r="A40" s="824"/>
      <c r="B40" s="256"/>
      <c r="C40" s="2717" t="s">
        <v>365</v>
      </c>
      <c r="D40" s="2718"/>
      <c r="E40" s="2719"/>
      <c r="F40" s="1301">
        <f>UvTaxO13</f>
        <v>57694</v>
      </c>
      <c r="G40" s="1322">
        <f>elevo13-elevo13_1</f>
        <v>0</v>
      </c>
      <c r="H40" s="1319" t="s">
        <v>371</v>
      </c>
      <c r="I40" s="1303">
        <f>F40*G40*5/12</f>
        <v>0</v>
      </c>
      <c r="J40" s="238"/>
      <c r="K40" s="246"/>
    </row>
    <row r="41" spans="1:11" ht="15" customHeight="1">
      <c r="A41" s="824"/>
      <c r="B41" s="256"/>
      <c r="C41" s="1307" t="s">
        <v>366</v>
      </c>
      <c r="D41" s="1308"/>
      <c r="E41" s="1309"/>
      <c r="F41" s="1310">
        <f>UvTax10kl</f>
        <v>56589</v>
      </c>
      <c r="G41" s="1323">
        <f>((7/12*elev10kl_1)+(5/24*elev10klfeb_1)+(5/24*elev10kl))-elev10kl_1</f>
        <v>0</v>
      </c>
      <c r="H41" s="1324"/>
      <c r="I41" s="1303">
        <f>F41*G41</f>
        <v>0</v>
      </c>
      <c r="J41" s="1303">
        <f>SUM(I39:I41)</f>
        <v>0</v>
      </c>
      <c r="K41" s="246"/>
    </row>
    <row r="42" spans="1:11" ht="15" customHeight="1">
      <c r="A42" s="824"/>
      <c r="B42" s="232"/>
      <c r="C42" s="247"/>
      <c r="D42" s="43"/>
      <c r="E42" s="43"/>
      <c r="F42" s="248"/>
      <c r="G42" s="247"/>
      <c r="H42" s="232"/>
      <c r="I42" s="232"/>
      <c r="J42" s="236"/>
      <c r="K42" s="827"/>
    </row>
    <row r="43" spans="1:11" ht="6" customHeight="1">
      <c r="A43" s="824"/>
      <c r="B43" s="232"/>
      <c r="C43" s="247"/>
      <c r="D43" s="43"/>
      <c r="E43" s="43"/>
      <c r="F43" s="248"/>
      <c r="G43" s="247"/>
      <c r="H43" s="232"/>
      <c r="I43" s="232"/>
      <c r="J43" s="236"/>
      <c r="K43" s="827"/>
    </row>
    <row r="44" spans="1:11" ht="21" customHeight="1" thickBot="1">
      <c r="A44" s="824"/>
      <c r="B44" s="232"/>
      <c r="C44" s="232"/>
      <c r="D44" s="232"/>
      <c r="E44" s="232"/>
      <c r="F44" s="232"/>
      <c r="G44" s="232"/>
      <c r="H44" s="250"/>
      <c r="I44" s="250"/>
      <c r="J44" s="829" t="s">
        <v>373</v>
      </c>
      <c r="K44" s="1325">
        <f>(J36+J41)*G24</f>
        <v>0</v>
      </c>
    </row>
    <row r="45" spans="1:11" ht="21" customHeight="1" thickBot="1">
      <c r="A45" s="1326"/>
      <c r="B45" s="1327" t="str">
        <f>"Årselevtal "&amp;budgetår&amp;":"</f>
        <v>Årselevtal 2025:</v>
      </c>
      <c r="C45" s="1328">
        <f>IF(J28=0,0,((J8*7/12)+(J28*5/12)))</f>
        <v>0</v>
      </c>
      <c r="D45" s="1329"/>
      <c r="E45" s="1330" t="s">
        <v>374</v>
      </c>
      <c r="F45" s="1331" t="str">
        <f>IF(K45=0,"",K45/((J8*7/12)+(J28*5/12)))</f>
        <v/>
      </c>
      <c r="G45" s="1329"/>
      <c r="H45" s="1332" t="str">
        <f>"Driftstilskud i alt "&amp;budgetår</f>
        <v>Driftstilskud i alt 2025</v>
      </c>
      <c r="I45" s="1333"/>
      <c r="J45" s="1333"/>
      <c r="K45" s="1334">
        <f>K24+K44</f>
        <v>0</v>
      </c>
    </row>
    <row r="46" spans="1:11" ht="21" customHeight="1">
      <c r="A46" s="824"/>
      <c r="B46" s="232"/>
      <c r="C46" s="232"/>
      <c r="D46" s="232"/>
      <c r="E46" s="232"/>
      <c r="F46" s="232"/>
      <c r="G46" s="232"/>
      <c r="H46" s="232"/>
      <c r="I46" s="232"/>
      <c r="J46" s="232"/>
      <c r="K46" s="246"/>
    </row>
    <row r="47" spans="1:11" ht="19" customHeight="1">
      <c r="A47" s="833" t="s">
        <v>375</v>
      </c>
      <c r="B47" s="257"/>
      <c r="C47" s="257"/>
      <c r="D47" s="257"/>
      <c r="E47" s="232"/>
      <c r="F47" s="232"/>
      <c r="G47" s="232"/>
      <c r="H47" s="232"/>
      <c r="I47" s="232"/>
      <c r="J47" s="232"/>
      <c r="K47" s="246"/>
    </row>
    <row r="48" spans="1:11" ht="19" customHeight="1">
      <c r="A48" s="833"/>
      <c r="B48" s="257"/>
      <c r="C48" s="257"/>
      <c r="D48" s="257"/>
      <c r="E48" s="232"/>
      <c r="F48" s="232"/>
      <c r="G48" s="232"/>
      <c r="H48" s="232"/>
      <c r="I48" s="232"/>
      <c r="J48" s="232"/>
      <c r="K48" s="246"/>
    </row>
    <row r="49" spans="1:11" ht="13" customHeight="1">
      <c r="A49" s="834"/>
      <c r="B49" s="206" t="s">
        <v>376</v>
      </c>
      <c r="C49" s="258"/>
      <c r="D49" s="205"/>
      <c r="E49" s="2698" t="s">
        <v>377</v>
      </c>
      <c r="F49" s="2699"/>
      <c r="G49" s="2699"/>
      <c r="H49" s="2699"/>
      <c r="I49" s="2700"/>
      <c r="J49" s="1335">
        <f>SUM(E50:I50)</f>
        <v>135843</v>
      </c>
      <c r="K49" s="246"/>
    </row>
    <row r="50" spans="1:11" ht="14" customHeight="1">
      <c r="A50" s="834"/>
      <c r="B50" s="835"/>
      <c r="C50" s="258"/>
      <c r="D50" s="205"/>
      <c r="E50" s="363">
        <f>IF(elevtal_1&lt;=149,InklGrund,"0")</f>
        <v>135843</v>
      </c>
      <c r="F50" s="363" t="b">
        <f>IF(AND(elevtal_1&gt;=150,elevtal_1&lt;=299),ROUND(InklGrund*95%,"0"))</f>
        <v>0</v>
      </c>
      <c r="G50" s="364" t="str">
        <f>IF(AND(elevtal_1&gt;=300,elevtal_1&lt;=450),InklGrund*90%,"0")</f>
        <v>0</v>
      </c>
      <c r="H50" s="365" t="str">
        <f>IF(elevtal_1&gt;450,InklGrund*85%,"0")</f>
        <v>0</v>
      </c>
      <c r="I50" s="366"/>
      <c r="J50" s="260"/>
      <c r="K50" s="246"/>
    </row>
    <row r="51" spans="1:11" ht="15.75" customHeight="1">
      <c r="A51" s="834"/>
      <c r="B51" s="835"/>
      <c r="C51" s="258"/>
      <c r="D51" s="205"/>
      <c r="E51" s="2725" t="str">
        <f>"Antal elever 5/9 "&amp;budgetår-1</f>
        <v>Antal elever 5/9 2024</v>
      </c>
      <c r="F51" s="2726"/>
      <c r="G51" s="2728" t="s">
        <v>378</v>
      </c>
      <c r="H51" s="2729"/>
      <c r="I51" s="2730"/>
      <c r="J51" s="1336" t="s">
        <v>379</v>
      </c>
      <c r="K51" s="246"/>
    </row>
    <row r="52" spans="1:11" ht="15.75" customHeight="1">
      <c r="A52" s="834"/>
      <c r="B52" s="206" t="s">
        <v>380</v>
      </c>
      <c r="C52" s="258"/>
      <c r="D52" s="205"/>
      <c r="E52" s="2727">
        <f>elevtal_1</f>
        <v>0</v>
      </c>
      <c r="F52" s="2727"/>
      <c r="G52" s="2731">
        <f>Bygtilsk</f>
        <v>2781</v>
      </c>
      <c r="H52" s="2732"/>
      <c r="I52" s="2733"/>
      <c r="J52" s="1337">
        <f>E52*G52</f>
        <v>0</v>
      </c>
      <c r="K52" s="246"/>
    </row>
    <row r="53" spans="1:11" ht="21" customHeight="1">
      <c r="A53" s="834"/>
      <c r="B53" s="206"/>
      <c r="C53" s="258"/>
      <c r="D53" s="205"/>
      <c r="E53" s="207"/>
      <c r="F53" s="208"/>
      <c r="G53" s="237"/>
      <c r="H53" s="259"/>
      <c r="I53" s="209"/>
      <c r="J53" s="260"/>
      <c r="K53" s="246"/>
    </row>
    <row r="54" spans="1:11" ht="15.75" customHeight="1">
      <c r="A54" s="834"/>
      <c r="B54" s="2701" t="str">
        <f>"Tilskud til undervisning af SPS elever for hele "&amp;budgetår&amp;""</f>
        <v>Tilskud til undervisning af SPS elever for hele 2025</v>
      </c>
      <c r="C54" s="2701"/>
      <c r="D54" s="2702"/>
      <c r="E54" s="2705" t="str">
        <f>"Antal SPS elever pr. 5/9 "&amp;budgetår-1</f>
        <v>Antal SPS elever pr. 5/9 2024</v>
      </c>
      <c r="F54" s="2706"/>
      <c r="G54" s="2706"/>
      <c r="H54" s="2706"/>
      <c r="I54" s="2707"/>
      <c r="J54" s="1336" t="s">
        <v>379</v>
      </c>
      <c r="K54" s="246"/>
    </row>
    <row r="55" spans="1:11" ht="15.75" customHeight="1">
      <c r="A55" s="834"/>
      <c r="B55" s="2701"/>
      <c r="C55" s="2701"/>
      <c r="D55" s="2701"/>
      <c r="E55" s="2708">
        <f>Forside!E36</f>
        <v>0</v>
      </c>
      <c r="F55" s="2709"/>
      <c r="G55" s="2709"/>
      <c r="H55" s="2709"/>
      <c r="I55" s="2710"/>
      <c r="J55" s="1335">
        <f>(IF(E55&gt;0,SatsBilag!B48,0)+IF(E55&gt;1,SatsBilag!B49,0)+IF(E55&gt;2,(SatsBilag!B50*(E55-2)))+IF(Forside!H8&gt;0,Statstilskud!E55-12)*SatsBilag!B51)</f>
        <v>0</v>
      </c>
      <c r="K55" s="246"/>
    </row>
    <row r="56" spans="1:11" ht="18" customHeight="1">
      <c r="A56" s="832"/>
      <c r="B56" s="836"/>
      <c r="C56" s="232"/>
      <c r="D56" s="205"/>
      <c r="E56" s="205"/>
      <c r="F56" s="205"/>
      <c r="G56" s="205"/>
      <c r="H56" s="259"/>
      <c r="I56" s="259"/>
      <c r="J56" s="260"/>
      <c r="K56" s="246"/>
    </row>
    <row r="57" spans="1:11" ht="15.75" customHeight="1">
      <c r="A57" s="834"/>
      <c r="B57" s="2703" t="str">
        <f>"Tilskud til personlig assistence samt to-sprogede              (hele "&amp;budgetår&amp;")"</f>
        <v>Tilskud til personlig assistence samt to-sprogede              (hele 2025)</v>
      </c>
      <c r="C57" s="2703"/>
      <c r="D57" s="2704"/>
      <c r="E57" s="2711" t="s">
        <v>381</v>
      </c>
      <c r="F57" s="2712"/>
      <c r="G57" s="2712"/>
      <c r="H57" s="2712"/>
      <c r="I57" s="2713"/>
      <c r="J57" s="1338" t="s">
        <v>379</v>
      </c>
      <c r="K57" s="246"/>
    </row>
    <row r="58" spans="1:11" ht="22" customHeight="1">
      <c r="A58" s="834"/>
      <c r="B58" s="2703"/>
      <c r="C58" s="2703"/>
      <c r="D58" s="2704"/>
      <c r="E58" s="2714"/>
      <c r="F58" s="2715"/>
      <c r="G58" s="2715"/>
      <c r="H58" s="2715"/>
      <c r="I58" s="2716"/>
      <c r="J58" s="1339"/>
      <c r="K58" s="246"/>
    </row>
    <row r="59" spans="1:11" ht="15.75" customHeight="1">
      <c r="A59" s="834"/>
      <c r="B59" s="289"/>
      <c r="C59" s="289"/>
      <c r="D59" s="289"/>
      <c r="E59" s="207"/>
      <c r="F59" s="290"/>
      <c r="G59" s="261"/>
      <c r="H59" s="259"/>
      <c r="I59" s="209"/>
      <c r="J59" s="260"/>
      <c r="K59" s="246"/>
    </row>
    <row r="60" spans="1:11" ht="15.75" customHeight="1">
      <c r="A60" s="832"/>
      <c r="B60" s="836"/>
      <c r="C60" s="232"/>
      <c r="D60" s="205"/>
      <c r="E60" s="1340"/>
      <c r="F60" s="1341" t="str">
        <f>"Antal elever 5/9 "&amp;budgetår-1</f>
        <v>Antal elever 5/9 2024</v>
      </c>
      <c r="G60" s="1342" t="s">
        <v>378</v>
      </c>
      <c r="H60" s="1343"/>
      <c r="I60" s="1343"/>
      <c r="J60" s="1344" t="s">
        <v>379</v>
      </c>
      <c r="K60" s="246"/>
    </row>
    <row r="61" spans="1:11" ht="15.75" customHeight="1">
      <c r="A61" s="837"/>
      <c r="B61" s="206" t="s">
        <v>382</v>
      </c>
      <c r="C61" s="210"/>
      <c r="D61" s="205"/>
      <c r="E61" s="1345"/>
      <c r="F61" s="1346">
        <f>Forside!E38</f>
        <v>0</v>
      </c>
      <c r="G61" s="1347">
        <f>SFOtilsk</f>
        <v>8968</v>
      </c>
      <c r="H61" s="1348"/>
      <c r="I61" s="1349"/>
      <c r="J61" s="1350">
        <f>F61*G61</f>
        <v>0</v>
      </c>
      <c r="K61" s="246"/>
    </row>
    <row r="62" spans="1:11" ht="15.75" customHeight="1">
      <c r="A62" s="834"/>
      <c r="B62" s="211"/>
      <c r="C62" s="261"/>
      <c r="D62" s="205"/>
      <c r="E62" s="211" t="str">
        <f>"Ændringer 5/9 i "&amp;budgetår</f>
        <v>Ændringer 5/9 i 2025</v>
      </c>
      <c r="F62" s="1351">
        <f>Forside!G38-Forside!E38</f>
        <v>0</v>
      </c>
      <c r="G62" s="1351">
        <f>G61/12*5</f>
        <v>3736.666666666667</v>
      </c>
      <c r="H62" s="1352"/>
      <c r="I62" s="1353"/>
      <c r="J62" s="1337">
        <f>F62*G62</f>
        <v>0</v>
      </c>
      <c r="K62" s="246"/>
    </row>
    <row r="63" spans="1:11" ht="1" customHeight="1" thickBot="1">
      <c r="A63" s="838"/>
      <c r="B63" s="50"/>
      <c r="C63" s="262"/>
      <c r="D63" s="49"/>
      <c r="E63" s="49"/>
      <c r="F63" s="51"/>
      <c r="G63" s="52"/>
      <c r="H63" s="263"/>
      <c r="I63" s="264"/>
      <c r="J63" s="1354"/>
      <c r="K63" s="839"/>
    </row>
    <row r="64" spans="1:11" ht="15.75" customHeight="1" thickBot="1">
      <c r="A64" s="1355" t="s">
        <v>383</v>
      </c>
      <c r="B64" s="1356"/>
      <c r="C64" s="1356"/>
      <c r="D64" s="1356"/>
      <c r="E64" s="1356"/>
      <c r="F64" s="1356"/>
      <c r="G64" s="1356"/>
      <c r="H64" s="1357"/>
      <c r="I64" s="1357"/>
      <c r="J64" s="1358"/>
      <c r="K64" s="1359">
        <f>SUM(J49:J62)</f>
        <v>135843</v>
      </c>
    </row>
    <row r="65" spans="1:11">
      <c r="A65" s="840"/>
      <c r="B65" s="46"/>
      <c r="C65" s="45"/>
      <c r="D65" s="46"/>
      <c r="E65" s="46"/>
      <c r="F65" s="47"/>
      <c r="G65" s="44"/>
      <c r="H65" s="47"/>
      <c r="I65" s="265"/>
      <c r="J65" s="265"/>
      <c r="K65" s="266"/>
    </row>
    <row r="66" spans="1:11">
      <c r="A66" s="1"/>
      <c r="B66" s="1"/>
      <c r="C66" s="267"/>
      <c r="D66" s="16"/>
      <c r="E66" s="15"/>
      <c r="F66" s="17"/>
      <c r="G66" s="15"/>
      <c r="H66" s="268"/>
    </row>
    <row r="67" spans="1:11" ht="15.75" customHeight="1" thickBot="1">
      <c r="H67" s="19"/>
    </row>
    <row r="68" spans="1:11" ht="20">
      <c r="A68" s="1286" t="str">
        <f>"Beregning af driftstilskud for "&amp;budgetår+1</f>
        <v>Beregning af driftstilskud for 2026</v>
      </c>
      <c r="B68" s="1360"/>
      <c r="C68" s="1360"/>
      <c r="D68" s="1360"/>
      <c r="E68" s="1360"/>
      <c r="F68" s="1360"/>
      <c r="G68" s="1360"/>
      <c r="H68" s="1360"/>
      <c r="I68" s="1360"/>
      <c r="J68" s="1360"/>
      <c r="K68" s="1361"/>
    </row>
    <row r="69" spans="1:11" ht="16">
      <c r="A69" s="1289" t="str">
        <f>"Grundtilskud 10.000 kr pr. elev 5/9-"&amp;budgetår&amp;" (max 400.000 kr.)"</f>
        <v>Grundtilskud 10.000 kr pr. elev 5/9-2025 (max 400.000 kr.)</v>
      </c>
      <c r="B69" s="1290"/>
      <c r="C69" s="1290"/>
      <c r="D69" s="1290"/>
      <c r="E69" s="1290"/>
      <c r="F69" s="1290"/>
      <c r="G69" s="1291" t="str">
        <f>"("&amp;GrundTilsk&amp;" x"&amp;Elevtal&amp;")"</f>
        <v>(10000 x0)</v>
      </c>
      <c r="H69" s="1290"/>
      <c r="I69" s="1290"/>
      <c r="J69" s="1292"/>
      <c r="K69" s="1362">
        <f>MIN(400000,J71*GrundTilsk)</f>
        <v>0</v>
      </c>
    </row>
    <row r="70" spans="1:11" ht="5" customHeight="1" thickBot="1">
      <c r="A70" s="822"/>
      <c r="B70" s="86"/>
      <c r="C70" s="86"/>
      <c r="D70" s="86"/>
      <c r="E70" s="86"/>
      <c r="F70" s="86"/>
      <c r="G70" s="231"/>
      <c r="H70" s="86"/>
      <c r="I70" s="86"/>
      <c r="J70" s="232"/>
      <c r="K70" s="841"/>
    </row>
    <row r="71" spans="1:11" ht="17" thickBot="1">
      <c r="A71" s="824" t="s">
        <v>355</v>
      </c>
      <c r="B71" s="232"/>
      <c r="C71" s="232"/>
      <c r="D71" s="232"/>
      <c r="E71" s="232"/>
      <c r="F71" s="232"/>
      <c r="G71" s="232"/>
      <c r="H71" s="232"/>
      <c r="I71" s="233" t="str">
        <f>"Elevtal 5/9- "&amp;budgetår</f>
        <v>Elevtal 5/9- 2025</v>
      </c>
      <c r="J71" s="1294">
        <f>Elevtal</f>
        <v>0</v>
      </c>
      <c r="K71" s="842"/>
    </row>
    <row r="72" spans="1:11" ht="7" customHeight="1">
      <c r="A72" s="824"/>
      <c r="B72" s="232"/>
      <c r="C72" s="232"/>
      <c r="D72" s="232"/>
      <c r="E72" s="232"/>
      <c r="F72" s="232"/>
      <c r="G72" s="232"/>
      <c r="H72" s="232"/>
      <c r="I72" s="232"/>
      <c r="J72" s="232"/>
      <c r="K72" s="843"/>
    </row>
    <row r="73" spans="1:11" ht="16">
      <c r="A73" s="824" t="str">
        <f>"Fordeling af elever 5/9-"&amp;budgetår&amp;":"</f>
        <v>Fordeling af elever 5/9-2025:</v>
      </c>
      <c r="B73" s="232"/>
      <c r="C73" s="232"/>
      <c r="D73" s="232"/>
      <c r="E73" s="232"/>
      <c r="F73" s="232"/>
      <c r="G73" s="232"/>
      <c r="H73" s="232"/>
      <c r="I73" s="232"/>
      <c r="J73" s="232"/>
      <c r="K73" s="842"/>
    </row>
    <row r="74" spans="1:11" ht="7" customHeight="1">
      <c r="A74" s="824"/>
      <c r="B74" s="232"/>
      <c r="C74" s="232"/>
      <c r="D74" s="234"/>
      <c r="E74" s="232"/>
      <c r="F74" s="232"/>
      <c r="G74" s="232"/>
      <c r="H74" s="234"/>
      <c r="I74" s="232"/>
      <c r="J74" s="235"/>
      <c r="K74" s="842"/>
    </row>
    <row r="75" spans="1:11" ht="16">
      <c r="A75" s="1295"/>
      <c r="B75" s="1296" t="str">
        <f>"Elever pr. 5/9- "&amp;budgetår&amp;" : "</f>
        <v xml:space="preserve">Elever pr. 5/9- 2025 : </v>
      </c>
      <c r="C75" s="1296" t="s">
        <v>356</v>
      </c>
      <c r="D75" s="1297">
        <f>elevu13</f>
        <v>0</v>
      </c>
      <c r="E75" s="1292"/>
      <c r="F75" s="1296" t="s">
        <v>357</v>
      </c>
      <c r="G75" s="1297">
        <f>elevo13</f>
        <v>0</v>
      </c>
      <c r="H75" s="1292"/>
      <c r="I75" s="1298" t="s">
        <v>358</v>
      </c>
      <c r="J75" s="1297">
        <f>elev10kl</f>
        <v>0</v>
      </c>
      <c r="K75" s="844"/>
    </row>
    <row r="76" spans="1:11" ht="16">
      <c r="A76" s="824"/>
      <c r="B76" s="232"/>
      <c r="C76" s="232"/>
      <c r="D76" s="232"/>
      <c r="E76" s="236"/>
      <c r="F76" s="232"/>
      <c r="G76" s="232"/>
      <c r="H76" s="236"/>
      <c r="I76" s="232"/>
      <c r="J76" s="232"/>
      <c r="K76" s="844"/>
    </row>
    <row r="77" spans="1:11" ht="16">
      <c r="A77" s="824" t="s">
        <v>359</v>
      </c>
      <c r="B77" s="232"/>
      <c r="C77" s="232"/>
      <c r="D77" s="237"/>
      <c r="E77" s="232"/>
      <c r="F77" s="232"/>
      <c r="G77" s="237"/>
      <c r="H77" s="43"/>
      <c r="I77" s="232"/>
      <c r="J77" s="232"/>
      <c r="K77" s="844"/>
    </row>
    <row r="78" spans="1:11" ht="16">
      <c r="A78" s="824"/>
      <c r="B78" s="2720"/>
      <c r="C78" s="1299" t="s">
        <v>360</v>
      </c>
      <c r="D78" s="1300"/>
      <c r="E78" s="1300"/>
      <c r="F78" s="1363">
        <f>FaeUdgSmaa*(1+FremskrStatst)</f>
        <v>8326</v>
      </c>
      <c r="G78" s="1364">
        <f>IF(Elevtal&gt;220,220,Elevtal)</f>
        <v>0</v>
      </c>
      <c r="H78" s="1292" t="s">
        <v>361</v>
      </c>
      <c r="I78" s="1303">
        <f>G78*F78</f>
        <v>0</v>
      </c>
      <c r="J78" s="238"/>
      <c r="K78" s="842"/>
    </row>
    <row r="79" spans="1:11" ht="16">
      <c r="A79" s="824"/>
      <c r="B79" s="2720"/>
      <c r="C79" s="1299" t="s">
        <v>362</v>
      </c>
      <c r="D79" s="1300"/>
      <c r="E79" s="1300"/>
      <c r="F79" s="1363">
        <f>FaeUdgStore*(FremskrStatst_1+1)</f>
        <v>3331</v>
      </c>
      <c r="G79" s="1364">
        <f>IF(Elevtal&gt;220,Elevtal-220,0)</f>
        <v>0</v>
      </c>
      <c r="H79" s="1292" t="s">
        <v>361</v>
      </c>
      <c r="I79" s="1303">
        <f>MAX(0,J71-219)*F79</f>
        <v>0</v>
      </c>
      <c r="J79" s="1303">
        <f>SUM(I78:I79)</f>
        <v>0</v>
      </c>
      <c r="K79" s="842"/>
    </row>
    <row r="80" spans="1:11" ht="16">
      <c r="A80" s="824"/>
      <c r="B80" s="232"/>
      <c r="C80" s="232"/>
      <c r="D80" s="232"/>
      <c r="E80" s="232"/>
      <c r="F80" s="232"/>
      <c r="G80" s="232"/>
      <c r="H80" s="232"/>
      <c r="I80" s="238"/>
      <c r="J80" s="238"/>
      <c r="K80" s="844"/>
    </row>
    <row r="81" spans="1:11" ht="16">
      <c r="A81" s="824" t="s">
        <v>363</v>
      </c>
      <c r="B81" s="232"/>
      <c r="C81" s="232"/>
      <c r="D81" s="232"/>
      <c r="E81" s="232"/>
      <c r="F81" s="232"/>
      <c r="G81" s="232"/>
      <c r="H81" s="232"/>
      <c r="I81" s="238"/>
      <c r="J81" s="238"/>
      <c r="K81" s="845"/>
    </row>
    <row r="82" spans="1:11" ht="16">
      <c r="A82" s="824"/>
      <c r="B82" s="2720"/>
      <c r="C82" s="2721" t="s">
        <v>364</v>
      </c>
      <c r="D82" s="2722"/>
      <c r="E82" s="2723"/>
      <c r="F82" s="1305">
        <f>UvTaxU13*(FremskrStatst+1)</f>
        <v>43708</v>
      </c>
      <c r="G82" s="1311">
        <f>elevu13</f>
        <v>0</v>
      </c>
      <c r="H82" s="1292" t="s">
        <v>361</v>
      </c>
      <c r="I82" s="1303">
        <f>F82*D75</f>
        <v>0</v>
      </c>
      <c r="J82" s="238"/>
      <c r="K82" s="842"/>
    </row>
    <row r="83" spans="1:11" ht="16">
      <c r="A83" s="824"/>
      <c r="B83" s="2720"/>
      <c r="C83" s="2717" t="s">
        <v>365</v>
      </c>
      <c r="D83" s="2718"/>
      <c r="E83" s="2719"/>
      <c r="F83" s="1305">
        <f>UvTaxO13*(FremskrStatst+1)</f>
        <v>57694</v>
      </c>
      <c r="G83" s="1311">
        <f>elevo13</f>
        <v>0</v>
      </c>
      <c r="H83" s="1292" t="s">
        <v>361</v>
      </c>
      <c r="I83" s="1365">
        <f>F83*G75</f>
        <v>0</v>
      </c>
      <c r="J83" s="238"/>
      <c r="K83" s="842"/>
    </row>
    <row r="84" spans="1:11" ht="16">
      <c r="A84" s="824"/>
      <c r="B84" s="2720"/>
      <c r="C84" s="1307" t="s">
        <v>366</v>
      </c>
      <c r="D84" s="1308"/>
      <c r="E84" s="1309"/>
      <c r="F84" s="1366">
        <f>UvTax10kl*(FremskrStatst+1)</f>
        <v>56589</v>
      </c>
      <c r="G84" s="1311">
        <f>elev10kl</f>
        <v>0</v>
      </c>
      <c r="H84" s="1292" t="s">
        <v>361</v>
      </c>
      <c r="I84" s="1367">
        <f>F84*G84</f>
        <v>0</v>
      </c>
      <c r="J84" s="1368">
        <f>SUM(I82:I84)</f>
        <v>0</v>
      </c>
      <c r="K84" s="842"/>
    </row>
    <row r="85" spans="1:11" ht="16">
      <c r="A85" s="824"/>
      <c r="B85" s="232"/>
      <c r="C85" s="247"/>
      <c r="D85" s="43"/>
      <c r="E85" s="43"/>
      <c r="F85" s="248"/>
      <c r="G85" s="247"/>
      <c r="H85" s="232"/>
      <c r="I85" s="232"/>
      <c r="J85" s="236"/>
      <c r="K85" s="844"/>
    </row>
    <row r="86" spans="1:11" ht="16">
      <c r="A86" s="824" t="s">
        <v>367</v>
      </c>
      <c r="B86" s="232"/>
      <c r="C86" s="232"/>
      <c r="D86" s="43"/>
      <c r="E86" s="248"/>
      <c r="F86" s="249" t="s">
        <v>368</v>
      </c>
      <c r="G86" s="1312">
        <f>IF(Forside!H12&gt;=4,1.02,1)</f>
        <v>1</v>
      </c>
      <c r="H86" s="250"/>
      <c r="I86" s="250"/>
      <c r="J86" s="829" t="s">
        <v>369</v>
      </c>
      <c r="K86" s="1369">
        <f>(K69+J79+J84)*G86</f>
        <v>0</v>
      </c>
    </row>
    <row r="87" spans="1:11" ht="7" customHeight="1">
      <c r="A87" s="1314"/>
      <c r="B87" s="1315"/>
      <c r="C87" s="1315"/>
      <c r="D87" s="1315"/>
      <c r="E87" s="1315"/>
      <c r="F87" s="1315"/>
      <c r="G87" s="1315"/>
      <c r="H87" s="1292"/>
      <c r="I87" s="1292"/>
      <c r="J87" s="1292"/>
      <c r="K87" s="1370"/>
    </row>
    <row r="88" spans="1:11" ht="20">
      <c r="A88" s="846" t="str">
        <f>"Regulering af driftstilskud for de sidste 5 mdr. af "&amp;budgetår+1</f>
        <v>Regulering af driftstilskud for de sidste 5 mdr. af 2026</v>
      </c>
      <c r="B88" s="269"/>
      <c r="C88" s="269"/>
      <c r="D88" s="269"/>
      <c r="E88" s="269"/>
      <c r="F88" s="269"/>
      <c r="G88" s="269"/>
      <c r="H88" s="269"/>
      <c r="I88" s="269"/>
      <c r="J88" s="269"/>
      <c r="K88" s="847"/>
    </row>
    <row r="89" spans="1:11" ht="4" customHeight="1">
      <c r="A89" s="824"/>
      <c r="B89" s="232"/>
      <c r="C89" s="232"/>
      <c r="D89" s="232"/>
      <c r="E89" s="232"/>
      <c r="F89" s="232"/>
      <c r="G89" s="232"/>
      <c r="H89" s="232"/>
      <c r="I89" s="232"/>
      <c r="J89" s="232"/>
      <c r="K89" s="845"/>
    </row>
    <row r="90" spans="1:11" ht="16">
      <c r="A90" s="832"/>
      <c r="B90" s="232"/>
      <c r="C90" s="252"/>
      <c r="D90" s="248"/>
      <c r="E90" s="232"/>
      <c r="F90" s="232"/>
      <c r="G90" s="232"/>
      <c r="H90" s="234"/>
      <c r="I90" s="233" t="str">
        <f>"Elevtal 5/9 "&amp;budgetår+1&amp;" :"</f>
        <v>Elevtal 5/9 2026 :</v>
      </c>
      <c r="J90" s="1363">
        <f>elevtal_2</f>
        <v>0</v>
      </c>
      <c r="K90" s="842"/>
    </row>
    <row r="91" spans="1:11" ht="16">
      <c r="A91" s="2724" t="str">
        <f>"Fordeling af elever  5/9 "&amp;budgetår+1&amp;" :"</f>
        <v>Fordeling af elever  5/9 2026 :</v>
      </c>
      <c r="B91" s="2720"/>
      <c r="C91" s="2720"/>
      <c r="D91" s="234"/>
      <c r="E91" s="232"/>
      <c r="F91" s="232"/>
      <c r="G91" s="232"/>
      <c r="H91" s="234"/>
      <c r="I91" s="232"/>
      <c r="J91" s="235"/>
      <c r="K91" s="842"/>
    </row>
    <row r="92" spans="1:11" ht="16">
      <c r="A92" s="824"/>
      <c r="B92" s="232"/>
      <c r="C92" s="232"/>
      <c r="D92" s="234"/>
      <c r="E92" s="232"/>
      <c r="F92" s="232"/>
      <c r="G92" s="232"/>
      <c r="H92" s="234"/>
      <c r="I92" s="232"/>
      <c r="J92" s="235"/>
      <c r="K92" s="842"/>
    </row>
    <row r="93" spans="1:11" ht="16">
      <c r="A93" s="1295"/>
      <c r="B93" s="1296" t="str">
        <f>"Elever pr. 5/9- "&amp;budgetår+1&amp;" : "</f>
        <v xml:space="preserve">Elever pr. 5/9- 2026 : </v>
      </c>
      <c r="C93" s="1296" t="s">
        <v>356</v>
      </c>
      <c r="D93" s="1297">
        <f>elevu13_2</f>
        <v>0</v>
      </c>
      <c r="E93" s="1292"/>
      <c r="F93" s="1296" t="s">
        <v>357</v>
      </c>
      <c r="G93" s="1297">
        <f>elevo13_2</f>
        <v>0</v>
      </c>
      <c r="H93" s="1292"/>
      <c r="I93" s="1298" t="s">
        <v>358</v>
      </c>
      <c r="J93" s="1297">
        <f>elev10kl_2</f>
        <v>0</v>
      </c>
      <c r="K93" s="844"/>
    </row>
    <row r="94" spans="1:11" ht="16">
      <c r="A94" s="824"/>
      <c r="B94" s="232"/>
      <c r="C94" s="232"/>
      <c r="D94" s="254"/>
      <c r="E94" s="232"/>
      <c r="F94" s="232"/>
      <c r="G94" s="232"/>
      <c r="H94" s="232"/>
      <c r="I94" s="232"/>
      <c r="J94" s="232"/>
      <c r="K94" s="844"/>
    </row>
    <row r="95" spans="1:11" ht="16">
      <c r="A95" s="824" t="s">
        <v>359</v>
      </c>
      <c r="B95" s="232"/>
      <c r="C95" s="232"/>
      <c r="D95" s="237"/>
      <c r="E95" s="232"/>
      <c r="F95" s="232"/>
      <c r="G95" s="255" t="s">
        <v>370</v>
      </c>
      <c r="H95" s="43"/>
      <c r="I95" s="232"/>
      <c r="J95" s="232"/>
      <c r="K95" s="844"/>
    </row>
    <row r="96" spans="1:11" ht="16">
      <c r="A96" s="824"/>
      <c r="B96" s="2720"/>
      <c r="C96" s="1299" t="s">
        <v>360</v>
      </c>
      <c r="D96" s="1300"/>
      <c r="E96" s="1300"/>
      <c r="F96" s="1301">
        <f>FaeUdgSmaa*(1+FremskrStatst)</f>
        <v>8326</v>
      </c>
      <c r="G96" s="1371">
        <f>IF(Elevtal&lt;221,IF(elevtal_2&lt;221,elevtal_2-Elevtal,IF(elevtal_2&gt;220,220-Elevtal)),IF(Elevtal&gt;220,IF(elevtal_2&gt;220,0,IF(elevtal_2&lt;221,elevtal_2-220))))</f>
        <v>0</v>
      </c>
      <c r="H96" s="1319" t="s">
        <v>371</v>
      </c>
      <c r="I96" s="1303">
        <f>MIN(G96,220)*F96*5/12</f>
        <v>0</v>
      </c>
      <c r="J96" s="238"/>
      <c r="K96" s="842"/>
    </row>
    <row r="97" spans="1:11" ht="16">
      <c r="A97" s="824"/>
      <c r="B97" s="2720"/>
      <c r="C97" s="1299" t="s">
        <v>372</v>
      </c>
      <c r="D97" s="1300"/>
      <c r="E97" s="1300"/>
      <c r="F97" s="1301">
        <f>FaeUdgStore*(FremskrStatst+1)</f>
        <v>3331</v>
      </c>
      <c r="G97" s="1364">
        <f>IF(Elevtal&lt;221,IF(elevtal_2&lt;221,0,IF(elevtal_2&gt;220,elevtal_2-220)),IF(Elevtal&gt;220,IF(elevtal_2&gt;220,((elevtal_2-220)-(Elevtal-220)),IF(elevtal_2&lt;221,G82*-1))))</f>
        <v>0</v>
      </c>
      <c r="H97" s="1319" t="s">
        <v>371</v>
      </c>
      <c r="I97" s="1303">
        <f>F97*G97*5/12</f>
        <v>0</v>
      </c>
      <c r="J97" s="1303">
        <f>SUM(I96:I97)</f>
        <v>0</v>
      </c>
      <c r="K97" s="845"/>
    </row>
    <row r="98" spans="1:11" ht="16">
      <c r="A98" s="824"/>
      <c r="B98" s="232"/>
      <c r="C98" s="232"/>
      <c r="D98" s="232"/>
      <c r="E98" s="232"/>
      <c r="F98" s="232"/>
      <c r="G98" s="232"/>
      <c r="H98" s="232"/>
      <c r="I98" s="232"/>
      <c r="J98" s="232"/>
      <c r="K98" s="844"/>
    </row>
    <row r="99" spans="1:11" ht="16">
      <c r="A99" s="824" t="s">
        <v>363</v>
      </c>
      <c r="B99" s="232"/>
      <c r="C99" s="232"/>
      <c r="D99" s="232"/>
      <c r="E99" s="232"/>
      <c r="F99" s="232"/>
      <c r="G99" s="255" t="s">
        <v>370</v>
      </c>
      <c r="H99" s="232"/>
      <c r="I99" s="232"/>
      <c r="J99" s="232"/>
      <c r="K99" s="845"/>
    </row>
    <row r="100" spans="1:11" ht="16">
      <c r="A100" s="824"/>
      <c r="B100" s="256"/>
      <c r="C100" s="2721" t="s">
        <v>364</v>
      </c>
      <c r="D100" s="2722"/>
      <c r="E100" s="2723"/>
      <c r="F100" s="1305">
        <f>UvTaxU13*(FremskrStatst+1)</f>
        <v>43708</v>
      </c>
      <c r="G100" s="1372">
        <f>elevu13_2-elevu13</f>
        <v>0</v>
      </c>
      <c r="H100" s="1319" t="s">
        <v>371</v>
      </c>
      <c r="I100" s="1303">
        <f>F100*G100*5/12</f>
        <v>0</v>
      </c>
      <c r="J100" s="238"/>
      <c r="K100" s="842"/>
    </row>
    <row r="101" spans="1:11" ht="16">
      <c r="A101" s="824"/>
      <c r="B101" s="256"/>
      <c r="C101" s="2717" t="s">
        <v>365</v>
      </c>
      <c r="D101" s="2718"/>
      <c r="E101" s="2719"/>
      <c r="F101" s="1305">
        <f>UvTaxO13*(FremskrStatst+1)</f>
        <v>57694</v>
      </c>
      <c r="G101" s="1372">
        <f>elevo13_2-elevo13</f>
        <v>0</v>
      </c>
      <c r="H101" s="1319" t="s">
        <v>371</v>
      </c>
      <c r="I101" s="1303">
        <f>F101*G101*5/12</f>
        <v>0</v>
      </c>
      <c r="J101" s="238"/>
      <c r="K101" s="842"/>
    </row>
    <row r="102" spans="1:11" ht="16">
      <c r="A102" s="848" t="s">
        <v>384</v>
      </c>
      <c r="B102" s="270"/>
      <c r="C102" s="1307" t="s">
        <v>366</v>
      </c>
      <c r="D102" s="1308"/>
      <c r="E102" s="1309"/>
      <c r="F102" s="1366">
        <f>UvTax10kl*(FremskrStatst+1)</f>
        <v>56589</v>
      </c>
      <c r="G102" s="1373">
        <f>((7/12*elev10kl)+(5/24*elev10klfeb)+(5/24*elev10kl_2))-elev10kl</f>
        <v>0</v>
      </c>
      <c r="H102" s="1374"/>
      <c r="I102" s="1303">
        <f>F102*G102</f>
        <v>0</v>
      </c>
      <c r="J102" s="1303">
        <f>SUM(I100:I102)</f>
        <v>0</v>
      </c>
      <c r="K102" s="842"/>
    </row>
    <row r="103" spans="1:11" ht="16">
      <c r="A103" s="824"/>
      <c r="B103" s="232"/>
      <c r="C103" s="247"/>
      <c r="D103" s="43"/>
      <c r="E103" s="43"/>
      <c r="F103" s="248"/>
      <c r="G103" s="247"/>
      <c r="H103" s="232"/>
      <c r="I103" s="232"/>
      <c r="J103" s="236"/>
      <c r="K103" s="844"/>
    </row>
    <row r="104" spans="1:11" ht="16">
      <c r="A104" s="824"/>
      <c r="B104" s="232"/>
      <c r="C104" s="247"/>
      <c r="D104" s="43"/>
      <c r="E104" s="43"/>
      <c r="F104" s="248"/>
      <c r="G104" s="247"/>
      <c r="H104" s="232"/>
      <c r="I104" s="232"/>
      <c r="J104" s="236"/>
      <c r="K104" s="844"/>
    </row>
    <row r="105" spans="1:11" ht="16">
      <c r="A105" s="824"/>
      <c r="B105" s="232"/>
      <c r="C105" s="232"/>
      <c r="D105" s="43"/>
      <c r="E105" s="248"/>
      <c r="F105" s="249"/>
      <c r="G105" s="271"/>
      <c r="H105" s="250"/>
      <c r="I105" s="250"/>
      <c r="J105" s="829" t="s">
        <v>373</v>
      </c>
      <c r="K105" s="1375">
        <f>(J97+J102)*G86</f>
        <v>0</v>
      </c>
    </row>
    <row r="106" spans="1:11" ht="17" thickBot="1">
      <c r="A106" s="832"/>
      <c r="B106" s="232"/>
      <c r="C106" s="232"/>
      <c r="D106" s="232"/>
      <c r="E106" s="232"/>
      <c r="F106" s="232"/>
      <c r="G106" s="232"/>
      <c r="H106" s="232"/>
      <c r="I106" s="232"/>
      <c r="J106" s="272"/>
      <c r="K106" s="849"/>
    </row>
    <row r="107" spans="1:11" ht="18" thickBot="1">
      <c r="A107" s="1326"/>
      <c r="B107" s="1327" t="str">
        <f>"Årselevtal "&amp;budgetår+1&amp;":"</f>
        <v>Årselevtal 2026:</v>
      </c>
      <c r="C107" s="1328">
        <f>IF(J90=0,0,((J71*7/12)+(J90*5/12)))</f>
        <v>0</v>
      </c>
      <c r="D107" s="1329"/>
      <c r="E107" s="1330" t="s">
        <v>374</v>
      </c>
      <c r="F107" s="1331" t="str">
        <f>IF(K107=0,"",K107/((J71*7/12)+(J90*5/12)))</f>
        <v/>
      </c>
      <c r="G107" s="1329"/>
      <c r="H107" s="1332" t="str">
        <f>"Driftstilskud i alt "&amp;budgetår+1</f>
        <v>Driftstilskud i alt 2026</v>
      </c>
      <c r="I107" s="1333"/>
      <c r="J107" s="1333"/>
      <c r="K107" s="1334">
        <f>K86+K105</f>
        <v>0</v>
      </c>
    </row>
    <row r="108" spans="1:11" ht="5" customHeight="1">
      <c r="A108" s="1376"/>
      <c r="B108" s="1377"/>
      <c r="C108" s="1377"/>
      <c r="D108" s="1377"/>
      <c r="E108" s="1377"/>
      <c r="F108" s="1377"/>
      <c r="G108" s="1377"/>
      <c r="H108" s="1377"/>
      <c r="I108" s="1377"/>
      <c r="J108" s="1377"/>
      <c r="K108" s="842"/>
    </row>
    <row r="109" spans="1:11" ht="16">
      <c r="A109" s="824"/>
      <c r="B109" s="232"/>
      <c r="C109" s="232"/>
      <c r="D109" s="232"/>
      <c r="E109" s="232"/>
      <c r="F109" s="232"/>
      <c r="G109" s="232"/>
      <c r="H109" s="232"/>
      <c r="I109" s="232"/>
      <c r="J109" s="232"/>
      <c r="K109" s="246"/>
    </row>
    <row r="110" spans="1:11" ht="20">
      <c r="A110" s="833" t="s">
        <v>375</v>
      </c>
      <c r="B110" s="257"/>
      <c r="C110" s="257"/>
      <c r="D110" s="257"/>
      <c r="E110" s="232"/>
      <c r="F110" s="232"/>
      <c r="G110" s="232"/>
      <c r="H110" s="232"/>
      <c r="I110" s="232"/>
      <c r="J110" s="232"/>
      <c r="K110" s="246"/>
    </row>
    <row r="111" spans="1:11">
      <c r="A111" s="834"/>
      <c r="B111" s="206" t="s">
        <v>376</v>
      </c>
      <c r="C111" s="258"/>
      <c r="D111" s="205"/>
      <c r="E111" s="2698" t="s">
        <v>377</v>
      </c>
      <c r="F111" s="2699"/>
      <c r="G111" s="2699"/>
      <c r="H111" s="2699"/>
      <c r="I111" s="2700"/>
      <c r="J111" s="1337">
        <f>SUM(E112:I112)</f>
        <v>135843</v>
      </c>
      <c r="K111" s="246"/>
    </row>
    <row r="112" spans="1:11">
      <c r="A112" s="834"/>
      <c r="B112" s="835"/>
      <c r="C112" s="258"/>
      <c r="D112" s="205"/>
      <c r="E112" s="363">
        <f>IF(J71&lt;=149,InklGrund,"0")</f>
        <v>135843</v>
      </c>
      <c r="F112" s="363" t="b">
        <f>IF(AND(J71&gt;=150,J71&lt;=299),ROUND(InklGrund*95%,"0"))</f>
        <v>0</v>
      </c>
      <c r="G112" s="364" t="str">
        <f>IF(AND(J71&gt;=300,J71&lt;=450),InklGrund*90%,"0")</f>
        <v>0</v>
      </c>
      <c r="H112" s="365" t="str">
        <f>IF(J71&gt;450,InklGrund*85%,"0")</f>
        <v>0</v>
      </c>
      <c r="I112" s="366"/>
      <c r="J112" s="260"/>
      <c r="K112" s="246"/>
    </row>
    <row r="113" spans="1:11">
      <c r="A113" s="834"/>
      <c r="B113" s="835"/>
      <c r="C113" s="258"/>
      <c r="D113" s="205"/>
      <c r="E113" s="2735" t="str">
        <f>"Antal elever 5/9 "&amp;budgetår</f>
        <v>Antal elever 5/9 2025</v>
      </c>
      <c r="F113" s="2735"/>
      <c r="G113" s="2736" t="s">
        <v>378</v>
      </c>
      <c r="H113" s="2737"/>
      <c r="I113" s="2738"/>
      <c r="J113" s="1336" t="s">
        <v>379</v>
      </c>
      <c r="K113" s="246"/>
    </row>
    <row r="114" spans="1:11">
      <c r="A114" s="834"/>
      <c r="B114" s="206" t="s">
        <v>380</v>
      </c>
      <c r="C114" s="258"/>
      <c r="D114" s="205"/>
      <c r="E114" s="2727">
        <f>Elevtal</f>
        <v>0</v>
      </c>
      <c r="F114" s="2727"/>
      <c r="G114" s="2731">
        <f>Bygtilsk*(SatsBilag!B43+1)</f>
        <v>2781</v>
      </c>
      <c r="H114" s="2732"/>
      <c r="I114" s="2733"/>
      <c r="J114" s="1337">
        <f>E114*G114</f>
        <v>0</v>
      </c>
      <c r="K114" s="246"/>
    </row>
    <row r="115" spans="1:11">
      <c r="A115" s="834"/>
      <c r="B115" s="206"/>
      <c r="C115" s="258"/>
      <c r="D115" s="205"/>
      <c r="E115" s="207"/>
      <c r="F115" s="208"/>
      <c r="G115" s="237"/>
      <c r="H115" s="259"/>
      <c r="I115" s="209"/>
      <c r="J115" s="260"/>
      <c r="K115" s="246"/>
    </row>
    <row r="116" spans="1:11" ht="2" customHeight="1">
      <c r="A116" s="832"/>
      <c r="B116" s="836"/>
      <c r="C116" s="232"/>
      <c r="D116" s="205"/>
      <c r="E116" s="205"/>
      <c r="F116" s="205"/>
      <c r="G116" s="205"/>
      <c r="H116" s="259"/>
      <c r="I116" s="259"/>
      <c r="J116" s="260"/>
      <c r="K116" s="246"/>
    </row>
    <row r="117" spans="1:11" ht="2" customHeight="1">
      <c r="A117" s="832"/>
      <c r="B117" s="836"/>
      <c r="C117" s="232"/>
      <c r="D117" s="205"/>
      <c r="E117" s="205"/>
      <c r="F117" s="205"/>
      <c r="G117" s="205"/>
      <c r="H117" s="259"/>
      <c r="I117" s="259"/>
      <c r="J117" s="260"/>
      <c r="K117" s="246"/>
    </row>
    <row r="118" spans="1:11" ht="13" customHeight="1">
      <c r="A118" s="834"/>
      <c r="B118" s="2701" t="str">
        <f>"Tilskud til undervisning af SPS elever for hele "&amp;budgetår+1&amp;""</f>
        <v>Tilskud til undervisning af SPS elever for hele 2026</v>
      </c>
      <c r="C118" s="2701"/>
      <c r="D118" s="2702"/>
      <c r="E118" s="2740" t="str">
        <f>"Antal SPS elever pr. 5/9 "&amp;budgetår&amp;""</f>
        <v>Antal SPS elever pr. 5/9 2025</v>
      </c>
      <c r="F118" s="2741"/>
      <c r="G118" s="2741"/>
      <c r="H118" s="2741"/>
      <c r="I118" s="2742"/>
      <c r="J118" s="1336" t="s">
        <v>379</v>
      </c>
      <c r="K118" s="246"/>
    </row>
    <row r="119" spans="1:11">
      <c r="A119" s="834"/>
      <c r="B119" s="2701"/>
      <c r="C119" s="2701"/>
      <c r="D119" s="2701"/>
      <c r="E119" s="2708">
        <f>Forside!G36</f>
        <v>0</v>
      </c>
      <c r="F119" s="2709"/>
      <c r="G119" s="2709"/>
      <c r="H119" s="2709"/>
      <c r="I119" s="2710"/>
      <c r="J119" s="1335">
        <f>(IF(E119&gt;0,SatsBilag!B48,0)+IF(E119&gt;1,SatsBilag!B49,0)+IF(E119&gt;2,(SatsBilag!B50*(E119-2)))+IF(Forside!H10&gt;0,Statstilskud!E119-12)*SatsBilag!B51)</f>
        <v>0</v>
      </c>
      <c r="K119" s="246"/>
    </row>
    <row r="120" spans="1:11">
      <c r="A120" s="832"/>
      <c r="B120" s="836"/>
      <c r="C120" s="232"/>
      <c r="D120" s="205"/>
      <c r="E120" s="205"/>
      <c r="F120" s="205"/>
      <c r="G120" s="205"/>
      <c r="H120" s="259"/>
      <c r="I120" s="259"/>
      <c r="J120" s="260"/>
      <c r="K120" s="246"/>
    </row>
    <row r="121" spans="1:11" ht="13" customHeight="1">
      <c r="A121" s="834"/>
      <c r="B121" s="2739" t="str">
        <f>"Tilskud til personlig assistence samt to-spogede (hele "&amp;budgetår+1&amp;")"</f>
        <v>Tilskud til personlig assistence samt to-spogede (hele 2026)</v>
      </c>
      <c r="C121" s="2739"/>
      <c r="D121" s="2739"/>
      <c r="E121" s="2711" t="s">
        <v>385</v>
      </c>
      <c r="F121" s="2712"/>
      <c r="G121" s="2712"/>
      <c r="H121" s="2712"/>
      <c r="I121" s="2713"/>
      <c r="J121" s="1338" t="s">
        <v>379</v>
      </c>
      <c r="K121" s="246"/>
    </row>
    <row r="122" spans="1:11">
      <c r="A122" s="834"/>
      <c r="B122" s="2739"/>
      <c r="C122" s="2739"/>
      <c r="D122" s="2739"/>
      <c r="E122" s="2714"/>
      <c r="F122" s="2715"/>
      <c r="G122" s="2715"/>
      <c r="H122" s="2715"/>
      <c r="I122" s="2716"/>
      <c r="J122" s="1339"/>
      <c r="K122" s="246"/>
    </row>
    <row r="123" spans="1:11">
      <c r="A123" s="834"/>
      <c r="B123" s="289"/>
      <c r="C123" s="289"/>
      <c r="D123" s="289"/>
      <c r="E123" s="207"/>
      <c r="F123" s="290"/>
      <c r="G123" s="261"/>
      <c r="H123" s="259"/>
      <c r="I123" s="209"/>
      <c r="J123" s="260"/>
      <c r="K123" s="246"/>
    </row>
    <row r="124" spans="1:11">
      <c r="A124" s="832"/>
      <c r="B124" s="836"/>
      <c r="C124" s="232"/>
      <c r="D124" s="205"/>
      <c r="E124" s="1340"/>
      <c r="F124" s="1341" t="str">
        <f>"Antal elever 5/9 "&amp;budgetår</f>
        <v>Antal elever 5/9 2025</v>
      </c>
      <c r="G124" s="1342" t="s">
        <v>378</v>
      </c>
      <c r="H124" s="1343"/>
      <c r="I124" s="1343"/>
      <c r="J124" s="1344" t="s">
        <v>379</v>
      </c>
      <c r="K124" s="246"/>
    </row>
    <row r="125" spans="1:11" ht="19.5" customHeight="1">
      <c r="A125" s="837"/>
      <c r="B125" s="206" t="s">
        <v>382</v>
      </c>
      <c r="C125" s="210"/>
      <c r="D125" s="205"/>
      <c r="E125" s="1345"/>
      <c r="F125" s="1346">
        <f>Forside!G38</f>
        <v>0</v>
      </c>
      <c r="G125" s="1347">
        <f>SatsBilag!B27</f>
        <v>8968</v>
      </c>
      <c r="H125" s="1348"/>
      <c r="I125" s="1349"/>
      <c r="J125" s="1350">
        <f>F125*G125</f>
        <v>0</v>
      </c>
      <c r="K125" s="246"/>
    </row>
    <row r="126" spans="1:11" ht="19.5" customHeight="1" thickBot="1">
      <c r="A126" s="834"/>
      <c r="B126" s="211"/>
      <c r="C126" s="261"/>
      <c r="D126" s="205"/>
      <c r="E126" s="211" t="str">
        <f>"Ændringer 5/9 i "&amp;budgetår+1</f>
        <v>Ændringer 5/9 i 2026</v>
      </c>
      <c r="F126" s="1351">
        <f>Forside!H38-Forside!G38</f>
        <v>0</v>
      </c>
      <c r="G126" s="1351">
        <f>G125/12*5</f>
        <v>3736.666666666667</v>
      </c>
      <c r="H126" s="1352"/>
      <c r="I126" s="1353"/>
      <c r="J126" s="1337">
        <f>F126*G126</f>
        <v>0</v>
      </c>
      <c r="K126" s="246"/>
    </row>
    <row r="127" spans="1:11" ht="17" thickBot="1">
      <c r="A127" s="1355" t="s">
        <v>383</v>
      </c>
      <c r="B127" s="1378"/>
      <c r="C127" s="1379"/>
      <c r="D127" s="1379"/>
      <c r="E127" s="1379"/>
      <c r="F127" s="1378"/>
      <c r="G127" s="1379"/>
      <c r="H127" s="1380"/>
      <c r="I127" s="1380"/>
      <c r="J127" s="1381"/>
      <c r="K127" s="1359">
        <f>SUM(J111:J126)</f>
        <v>135843</v>
      </c>
    </row>
    <row r="128" spans="1:11" ht="16">
      <c r="A128" s="850"/>
      <c r="B128" s="53"/>
      <c r="C128" s="48"/>
      <c r="D128" s="48"/>
      <c r="E128" s="48"/>
      <c r="F128" s="54"/>
      <c r="G128" s="44"/>
      <c r="H128" s="273"/>
      <c r="I128" s="274"/>
      <c r="J128" s="275"/>
      <c r="K128" s="276"/>
    </row>
    <row r="129" spans="1:11">
      <c r="A129" s="232"/>
      <c r="B129" s="232"/>
      <c r="C129" s="232"/>
      <c r="D129" s="232"/>
      <c r="E129" s="232"/>
      <c r="F129" s="232"/>
      <c r="G129" s="232"/>
      <c r="H129" s="232"/>
      <c r="I129" s="232"/>
      <c r="J129" s="232"/>
      <c r="K129" s="232"/>
    </row>
    <row r="130" spans="1:11">
      <c r="A130" s="232"/>
      <c r="B130" s="232"/>
      <c r="C130" s="232"/>
      <c r="D130" s="232"/>
      <c r="E130" s="232"/>
      <c r="F130" s="232"/>
      <c r="G130" s="232"/>
      <c r="H130" s="232"/>
      <c r="I130" s="232"/>
      <c r="J130" s="232"/>
      <c r="K130" s="232"/>
    </row>
    <row r="131" spans="1:11">
      <c r="A131" s="232"/>
      <c r="B131" s="232"/>
      <c r="C131" s="232"/>
      <c r="D131" s="232"/>
      <c r="E131" s="232"/>
      <c r="F131" s="232"/>
      <c r="G131" s="232"/>
      <c r="H131" s="232"/>
      <c r="I131" s="232"/>
      <c r="J131" s="232"/>
      <c r="K131" s="232"/>
    </row>
  </sheetData>
  <sheetProtection sheet="1" objects="1" scenarios="1" formatCells="0" formatColumns="0" formatRows="0"/>
  <mergeCells count="35">
    <mergeCell ref="E113:F113"/>
    <mergeCell ref="G113:I113"/>
    <mergeCell ref="E114:F114"/>
    <mergeCell ref="G114:I114"/>
    <mergeCell ref="B121:D122"/>
    <mergeCell ref="E121:I122"/>
    <mergeCell ref="B118:D119"/>
    <mergeCell ref="E118:I118"/>
    <mergeCell ref="E119:I119"/>
    <mergeCell ref="C40:E40"/>
    <mergeCell ref="B15:B16"/>
    <mergeCell ref="B19:B21"/>
    <mergeCell ref="C19:E19"/>
    <mergeCell ref="C20:E20"/>
    <mergeCell ref="B35:B36"/>
    <mergeCell ref="C39:E39"/>
    <mergeCell ref="E51:F51"/>
    <mergeCell ref="E52:F52"/>
    <mergeCell ref="G51:I51"/>
    <mergeCell ref="G52:I52"/>
    <mergeCell ref="E49:I49"/>
    <mergeCell ref="E111:I111"/>
    <mergeCell ref="B54:D55"/>
    <mergeCell ref="B57:D58"/>
    <mergeCell ref="E54:I54"/>
    <mergeCell ref="E55:I55"/>
    <mergeCell ref="E57:I58"/>
    <mergeCell ref="C101:E101"/>
    <mergeCell ref="B78:B79"/>
    <mergeCell ref="B82:B84"/>
    <mergeCell ref="C82:E82"/>
    <mergeCell ref="C83:E83"/>
    <mergeCell ref="B96:B97"/>
    <mergeCell ref="C100:E100"/>
    <mergeCell ref="A91:C91"/>
  </mergeCells>
  <phoneticPr fontId="55" type="noConversion"/>
  <printOptions horizontalCentered="1" verticalCentered="1"/>
  <pageMargins left="0.78740157480314965" right="0.6692913385826772" top="0.98425196850393704" bottom="0.82677165354330717" header="0.51181102362204722" footer="0.51181102362204722"/>
  <pageSetup paperSize="9" scale="56" fitToHeight="0" orientation="portrait" horizontalDpi="4294967292" verticalDpi="4294967292"/>
  <headerFooter alignWithMargins="0">
    <oddHeader>&amp;C&amp;"Arial,Fed"&amp;12STATSTILSKUD</oddHeader>
    <oddFooter>&amp;L&amp;G&amp;R
&amp;D
&amp;A</oddFooter>
  </headerFooter>
  <rowBreaks count="1" manualBreakCount="1">
    <brk id="65" max="16383" man="1"/>
  </rowBreaks>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4">
    <tabColor theme="6" tint="0.39997558519241921"/>
  </sheetPr>
  <dimension ref="A1:L152"/>
  <sheetViews>
    <sheetView topLeftCell="A89" zoomScale="179" zoomScaleNormal="100" workbookViewId="0">
      <selection activeCell="A104" sqref="A104"/>
    </sheetView>
  </sheetViews>
  <sheetFormatPr baseColWidth="10" defaultColWidth="10.83203125" defaultRowHeight="13"/>
  <cols>
    <col min="1" max="1" width="5.1640625" style="5" customWidth="1"/>
    <col min="2" max="2" width="12.5" style="5" customWidth="1"/>
    <col min="3" max="3" width="12" style="5" customWidth="1"/>
    <col min="4" max="9" width="11.1640625" style="5" customWidth="1"/>
    <col min="10" max="10" width="2.1640625" style="5" customWidth="1"/>
    <col min="11" max="16384" width="10.83203125" style="5"/>
  </cols>
  <sheetData>
    <row r="1" spans="1:11" s="100" customFormat="1" ht="26.25" customHeight="1" thickBot="1">
      <c r="A1" s="1382"/>
      <c r="B1" s="1382"/>
      <c r="C1" s="1382"/>
      <c r="D1" s="1382"/>
      <c r="E1" s="1382"/>
      <c r="F1" s="1382"/>
      <c r="G1" s="1382"/>
      <c r="H1" s="1383"/>
      <c r="I1" s="1382"/>
      <c r="J1" s="1382"/>
      <c r="K1" s="1382"/>
    </row>
    <row r="2" spans="1:11" ht="21" thickBot="1">
      <c r="A2" s="2790" t="str">
        <f>"Skolepengeindtægter januar til juli " &amp; budgetår</f>
        <v>Skolepengeindtægter januar til juli 2025</v>
      </c>
      <c r="B2" s="2791"/>
      <c r="C2" s="2791"/>
      <c r="D2" s="2791"/>
      <c r="E2" s="2791"/>
      <c r="F2" s="2791"/>
      <c r="G2" s="2791"/>
      <c r="H2" s="2791"/>
      <c r="I2" s="2791"/>
      <c r="J2" s="2792"/>
    </row>
    <row r="3" spans="1:11" ht="21" thickBot="1">
      <c r="A3" s="2801" t="s">
        <v>386</v>
      </c>
      <c r="B3" s="2802"/>
      <c r="C3" s="1384"/>
      <c r="D3" s="2803"/>
      <c r="E3" s="2791"/>
      <c r="F3" s="2791"/>
      <c r="G3" s="2791"/>
      <c r="H3" s="2791"/>
      <c r="I3" s="2791"/>
      <c r="J3" s="2792"/>
    </row>
    <row r="4" spans="1:11" s="21" customFormat="1">
      <c r="A4" s="730"/>
      <c r="B4" s="1385" t="s">
        <v>387</v>
      </c>
      <c r="C4" s="1386" t="s">
        <v>388</v>
      </c>
      <c r="D4" s="1386" t="s">
        <v>389</v>
      </c>
      <c r="E4" s="1386" t="s">
        <v>390</v>
      </c>
      <c r="F4" s="1386" t="s">
        <v>391</v>
      </c>
      <c r="G4" s="1386" t="s">
        <v>392</v>
      </c>
      <c r="H4" s="1387" t="s">
        <v>393</v>
      </c>
      <c r="I4" s="851"/>
      <c r="J4" s="852"/>
      <c r="K4" s="853"/>
    </row>
    <row r="5" spans="1:11" s="22" customFormat="1" ht="39" customHeight="1">
      <c r="A5" s="1388" t="s">
        <v>394</v>
      </c>
      <c r="B5" s="1389" t="s">
        <v>395</v>
      </c>
      <c r="C5" s="1390" t="s">
        <v>396</v>
      </c>
      <c r="D5" s="1391" t="s">
        <v>397</v>
      </c>
      <c r="E5" s="1391" t="s">
        <v>398</v>
      </c>
      <c r="F5" s="1390" t="s">
        <v>399</v>
      </c>
      <c r="G5" s="1391" t="s">
        <v>400</v>
      </c>
      <c r="H5" s="1392" t="s">
        <v>401</v>
      </c>
      <c r="I5" s="731"/>
      <c r="J5" s="330"/>
    </row>
    <row r="6" spans="1:11" ht="18" customHeight="1">
      <c r="A6" s="899" t="s">
        <v>402</v>
      </c>
      <c r="B6" s="1393"/>
      <c r="C6" s="743"/>
      <c r="D6" s="739">
        <f t="shared" ref="D6:D15" si="0">B6-C6</f>
        <v>0</v>
      </c>
      <c r="E6" s="748"/>
      <c r="F6" s="756"/>
      <c r="G6" s="753">
        <f t="shared" ref="G6:G15" si="1">D6*E6*F6</f>
        <v>0</v>
      </c>
      <c r="H6" s="277">
        <f t="shared" ref="H6:H15" si="2">C6*E6*F6</f>
        <v>0</v>
      </c>
      <c r="I6" s="703"/>
      <c r="J6" s="322"/>
    </row>
    <row r="7" spans="1:11" ht="18" customHeight="1">
      <c r="A7" s="899" t="s">
        <v>403</v>
      </c>
      <c r="B7" s="735"/>
      <c r="C7" s="744"/>
      <c r="D7" s="739">
        <f t="shared" si="0"/>
        <v>0</v>
      </c>
      <c r="E7" s="748"/>
      <c r="F7" s="757"/>
      <c r="G7" s="753">
        <f t="shared" si="1"/>
        <v>0</v>
      </c>
      <c r="H7" s="277">
        <f t="shared" si="2"/>
        <v>0</v>
      </c>
      <c r="I7" s="703"/>
      <c r="J7" s="322"/>
    </row>
    <row r="8" spans="1:11" ht="18" customHeight="1">
      <c r="A8" s="899" t="s">
        <v>404</v>
      </c>
      <c r="B8" s="735"/>
      <c r="C8" s="744"/>
      <c r="D8" s="739">
        <f t="shared" si="0"/>
        <v>0</v>
      </c>
      <c r="E8" s="748"/>
      <c r="F8" s="757"/>
      <c r="G8" s="753">
        <f t="shared" si="1"/>
        <v>0</v>
      </c>
      <c r="H8" s="277">
        <f t="shared" si="2"/>
        <v>0</v>
      </c>
      <c r="I8" s="703"/>
      <c r="J8" s="322"/>
    </row>
    <row r="9" spans="1:11" ht="18" customHeight="1">
      <c r="A9" s="900" t="s">
        <v>405</v>
      </c>
      <c r="B9" s="735"/>
      <c r="C9" s="761"/>
      <c r="D9" s="739">
        <f t="shared" si="0"/>
        <v>0</v>
      </c>
      <c r="E9" s="749"/>
      <c r="F9" s="757"/>
      <c r="G9" s="753">
        <f t="shared" si="1"/>
        <v>0</v>
      </c>
      <c r="H9" s="277">
        <f t="shared" si="2"/>
        <v>0</v>
      </c>
      <c r="I9" s="703"/>
      <c r="J9" s="322"/>
    </row>
    <row r="10" spans="1:11" ht="18" customHeight="1">
      <c r="A10" s="900" t="s">
        <v>406</v>
      </c>
      <c r="B10" s="735"/>
      <c r="C10" s="761"/>
      <c r="D10" s="739">
        <f t="shared" si="0"/>
        <v>0</v>
      </c>
      <c r="E10" s="749"/>
      <c r="F10" s="757"/>
      <c r="G10" s="753">
        <f t="shared" si="1"/>
        <v>0</v>
      </c>
      <c r="H10" s="277">
        <f t="shared" si="2"/>
        <v>0</v>
      </c>
      <c r="I10" s="703"/>
      <c r="J10" s="322"/>
    </row>
    <row r="11" spans="1:11" ht="18" customHeight="1">
      <c r="A11" s="900" t="s">
        <v>407</v>
      </c>
      <c r="B11" s="735"/>
      <c r="C11" s="761"/>
      <c r="D11" s="739">
        <f t="shared" si="0"/>
        <v>0</v>
      </c>
      <c r="E11" s="749"/>
      <c r="F11" s="757"/>
      <c r="G11" s="753">
        <f t="shared" si="1"/>
        <v>0</v>
      </c>
      <c r="H11" s="277">
        <f t="shared" si="2"/>
        <v>0</v>
      </c>
      <c r="I11" s="703"/>
      <c r="J11" s="322"/>
    </row>
    <row r="12" spans="1:11" ht="18" customHeight="1">
      <c r="A12" s="900" t="s">
        <v>408</v>
      </c>
      <c r="B12" s="736"/>
      <c r="C12" s="745"/>
      <c r="D12" s="740">
        <f t="shared" si="0"/>
        <v>0</v>
      </c>
      <c r="E12" s="750"/>
      <c r="F12" s="758"/>
      <c r="G12" s="754">
        <f t="shared" si="1"/>
        <v>0</v>
      </c>
      <c r="H12" s="370">
        <f t="shared" si="2"/>
        <v>0</v>
      </c>
      <c r="I12" s="703"/>
      <c r="J12" s="322"/>
    </row>
    <row r="13" spans="1:11" ht="18" customHeight="1">
      <c r="A13" s="901" t="s">
        <v>409</v>
      </c>
      <c r="B13" s="737"/>
      <c r="C13" s="746"/>
      <c r="D13" s="741">
        <f t="shared" si="0"/>
        <v>0</v>
      </c>
      <c r="E13" s="751"/>
      <c r="F13" s="757"/>
      <c r="G13" s="753">
        <f t="shared" si="1"/>
        <v>0</v>
      </c>
      <c r="H13" s="369">
        <f t="shared" si="2"/>
        <v>0</v>
      </c>
      <c r="I13" s="703"/>
      <c r="J13" s="322"/>
    </row>
    <row r="14" spans="1:11" ht="18" customHeight="1">
      <c r="A14" s="901" t="s">
        <v>410</v>
      </c>
      <c r="B14" s="735"/>
      <c r="C14" s="744"/>
      <c r="D14" s="739">
        <f t="shared" si="0"/>
        <v>0</v>
      </c>
      <c r="E14" s="748"/>
      <c r="F14" s="757"/>
      <c r="G14" s="753">
        <f t="shared" si="1"/>
        <v>0</v>
      </c>
      <c r="H14" s="277">
        <f t="shared" si="2"/>
        <v>0</v>
      </c>
      <c r="I14" s="703"/>
      <c r="J14" s="322"/>
    </row>
    <row r="15" spans="1:11" ht="18" customHeight="1">
      <c r="A15" s="901" t="s">
        <v>411</v>
      </c>
      <c r="B15" s="738"/>
      <c r="C15" s="747"/>
      <c r="D15" s="742">
        <f t="shared" si="0"/>
        <v>0</v>
      </c>
      <c r="E15" s="752"/>
      <c r="F15" s="759"/>
      <c r="G15" s="755">
        <f t="shared" si="1"/>
        <v>0</v>
      </c>
      <c r="H15" s="278">
        <f t="shared" si="2"/>
        <v>0</v>
      </c>
      <c r="I15" s="703"/>
      <c r="J15" s="322"/>
    </row>
    <row r="16" spans="1:11" ht="18" customHeight="1" thickBot="1">
      <c r="A16" s="1394" t="s">
        <v>412</v>
      </c>
      <c r="B16" s="1395"/>
      <c r="C16" s="1395"/>
      <c r="D16" s="1395"/>
      <c r="E16" s="1396">
        <f>SUM(E6:E15)</f>
        <v>0</v>
      </c>
      <c r="F16" s="1397"/>
      <c r="G16" s="1398">
        <f>SUM(G6:G15)</f>
        <v>0</v>
      </c>
      <c r="H16" s="1399">
        <f>SUM(H6:H15)</f>
        <v>0</v>
      </c>
      <c r="I16" s="1400"/>
      <c r="J16" s="1401"/>
      <c r="K16" s="321" t="str">
        <f>IF(E16&lt;&gt;elevtal_1,"Elevtal ikke lig med antal elever tastet på forsiden","")</f>
        <v/>
      </c>
    </row>
    <row r="17" spans="1:11" ht="21" thickBot="1">
      <c r="A17" s="2790" t="str">
        <f>"Skolepengeindtægter aug til december " &amp;budgetår</f>
        <v>Skolepengeindtægter aug til december 2025</v>
      </c>
      <c r="B17" s="2791"/>
      <c r="C17" s="2791"/>
      <c r="D17" s="2791"/>
      <c r="E17" s="2791"/>
      <c r="F17" s="2791"/>
      <c r="G17" s="2791"/>
      <c r="H17" s="2791"/>
      <c r="I17" s="2791"/>
      <c r="J17" s="2792"/>
    </row>
    <row r="18" spans="1:11">
      <c r="A18" s="732"/>
      <c r="B18" s="1386" t="s">
        <v>387</v>
      </c>
      <c r="C18" s="1386" t="s">
        <v>388</v>
      </c>
      <c r="D18" s="1386" t="s">
        <v>389</v>
      </c>
      <c r="E18" s="1386" t="s">
        <v>390</v>
      </c>
      <c r="F18" s="1386" t="s">
        <v>391</v>
      </c>
      <c r="G18" s="1386" t="s">
        <v>392</v>
      </c>
      <c r="H18" s="1387" t="s">
        <v>393</v>
      </c>
      <c r="I18" s="733"/>
      <c r="J18" s="322"/>
    </row>
    <row r="19" spans="1:11" s="21" customFormat="1" ht="42">
      <c r="A19" s="1388"/>
      <c r="B19" s="1402" t="s">
        <v>395</v>
      </c>
      <c r="C19" s="1390" t="s">
        <v>396</v>
      </c>
      <c r="D19" s="1390" t="s">
        <v>397</v>
      </c>
      <c r="E19" s="1390" t="s">
        <v>398</v>
      </c>
      <c r="F19" s="1390" t="s">
        <v>399</v>
      </c>
      <c r="G19" s="1391" t="s">
        <v>400</v>
      </c>
      <c r="H19" s="1392" t="s">
        <v>401</v>
      </c>
      <c r="I19" s="851"/>
      <c r="J19" s="852"/>
      <c r="K19" s="853"/>
    </row>
    <row r="20" spans="1:11" s="22" customFormat="1" ht="16.5" customHeight="1">
      <c r="A20" s="899" t="s">
        <v>402</v>
      </c>
      <c r="B20" s="743"/>
      <c r="C20" s="743"/>
      <c r="D20" s="764">
        <f t="shared" ref="D20:D29" si="3">B20-C20</f>
        <v>0</v>
      </c>
      <c r="E20" s="756"/>
      <c r="F20" s="756"/>
      <c r="G20" s="753">
        <f t="shared" ref="G20:G29" si="4">D20*E20*F20</f>
        <v>0</v>
      </c>
      <c r="H20" s="277">
        <f t="shared" ref="H20:H29" si="5">C20*E20*F20</f>
        <v>0</v>
      </c>
      <c r="I20" s="854"/>
      <c r="J20" s="330"/>
    </row>
    <row r="21" spans="1:11" ht="16.5" customHeight="1">
      <c r="A21" s="899" t="s">
        <v>403</v>
      </c>
      <c r="B21" s="744"/>
      <c r="C21" s="744"/>
      <c r="D21" s="765">
        <f t="shared" si="3"/>
        <v>0</v>
      </c>
      <c r="E21" s="757"/>
      <c r="F21" s="757"/>
      <c r="G21" s="753">
        <f t="shared" si="4"/>
        <v>0</v>
      </c>
      <c r="H21" s="277">
        <f t="shared" si="5"/>
        <v>0</v>
      </c>
      <c r="I21" s="703"/>
      <c r="J21" s="331"/>
      <c r="K21" s="40"/>
    </row>
    <row r="22" spans="1:11" ht="16.5" customHeight="1">
      <c r="A22" s="899" t="s">
        <v>404</v>
      </c>
      <c r="B22" s="744"/>
      <c r="C22" s="744"/>
      <c r="D22" s="765">
        <f t="shared" si="3"/>
        <v>0</v>
      </c>
      <c r="E22" s="757"/>
      <c r="F22" s="757"/>
      <c r="G22" s="753">
        <f t="shared" si="4"/>
        <v>0</v>
      </c>
      <c r="H22" s="277">
        <f t="shared" si="5"/>
        <v>0</v>
      </c>
      <c r="I22" s="703"/>
      <c r="J22" s="322"/>
      <c r="K22" s="41"/>
    </row>
    <row r="23" spans="1:11" ht="16.5" customHeight="1">
      <c r="A23" s="899" t="s">
        <v>405</v>
      </c>
      <c r="B23" s="745"/>
      <c r="C23" s="760"/>
      <c r="D23" s="766">
        <f t="shared" si="3"/>
        <v>0</v>
      </c>
      <c r="E23" s="763"/>
      <c r="F23" s="763"/>
      <c r="G23" s="762">
        <f t="shared" si="4"/>
        <v>0</v>
      </c>
      <c r="H23" s="768">
        <f t="shared" si="5"/>
        <v>0</v>
      </c>
      <c r="I23" s="703"/>
      <c r="J23" s="331"/>
      <c r="K23" s="40"/>
    </row>
    <row r="24" spans="1:11" ht="16.5" customHeight="1">
      <c r="A24" s="902" t="s">
        <v>406</v>
      </c>
      <c r="B24" s="744"/>
      <c r="C24" s="744"/>
      <c r="D24" s="765">
        <f t="shared" si="3"/>
        <v>0</v>
      </c>
      <c r="E24" s="757"/>
      <c r="F24" s="757"/>
      <c r="G24" s="753">
        <f t="shared" si="4"/>
        <v>0</v>
      </c>
      <c r="H24" s="277">
        <f t="shared" si="5"/>
        <v>0</v>
      </c>
      <c r="I24" s="703"/>
      <c r="J24" s="331"/>
      <c r="K24" s="40"/>
    </row>
    <row r="25" spans="1:11" ht="16.5" customHeight="1">
      <c r="A25" s="902" t="s">
        <v>407</v>
      </c>
      <c r="B25" s="744"/>
      <c r="C25" s="744"/>
      <c r="D25" s="765">
        <f t="shared" si="3"/>
        <v>0</v>
      </c>
      <c r="E25" s="757"/>
      <c r="F25" s="757"/>
      <c r="G25" s="753">
        <f t="shared" si="4"/>
        <v>0</v>
      </c>
      <c r="H25" s="277">
        <f t="shared" si="5"/>
        <v>0</v>
      </c>
      <c r="I25" s="703"/>
      <c r="J25" s="322"/>
      <c r="K25" s="41"/>
    </row>
    <row r="26" spans="1:11" ht="16.5" customHeight="1">
      <c r="A26" s="901" t="s">
        <v>408</v>
      </c>
      <c r="B26" s="761"/>
      <c r="C26" s="761"/>
      <c r="D26" s="765">
        <f t="shared" si="3"/>
        <v>0</v>
      </c>
      <c r="E26" s="763"/>
      <c r="F26" s="763"/>
      <c r="G26" s="753">
        <f t="shared" ref="G26:G28" si="6">D26*E26*F26</f>
        <v>0</v>
      </c>
      <c r="H26" s="277">
        <f t="shared" ref="H26:H28" si="7">C26*E26*F26</f>
        <v>0</v>
      </c>
      <c r="I26" s="703"/>
      <c r="J26" s="322"/>
      <c r="K26" s="41"/>
    </row>
    <row r="27" spans="1:11" ht="16.5" customHeight="1">
      <c r="A27" s="901" t="s">
        <v>409</v>
      </c>
      <c r="B27" s="761"/>
      <c r="C27" s="761"/>
      <c r="D27" s="765">
        <f t="shared" si="3"/>
        <v>0</v>
      </c>
      <c r="E27" s="763"/>
      <c r="F27" s="763"/>
      <c r="G27" s="753">
        <f t="shared" si="6"/>
        <v>0</v>
      </c>
      <c r="H27" s="277">
        <f t="shared" si="7"/>
        <v>0</v>
      </c>
      <c r="I27" s="703"/>
      <c r="J27" s="322"/>
      <c r="K27" s="41"/>
    </row>
    <row r="28" spans="1:11" ht="16.5" customHeight="1">
      <c r="A28" s="901" t="s">
        <v>410</v>
      </c>
      <c r="B28" s="761"/>
      <c r="C28" s="761"/>
      <c r="D28" s="765">
        <f t="shared" si="3"/>
        <v>0</v>
      </c>
      <c r="E28" s="763"/>
      <c r="F28" s="763"/>
      <c r="G28" s="753">
        <f t="shared" si="6"/>
        <v>0</v>
      </c>
      <c r="H28" s="277">
        <f t="shared" si="7"/>
        <v>0</v>
      </c>
      <c r="I28" s="703"/>
      <c r="J28" s="322"/>
      <c r="K28" s="41"/>
    </row>
    <row r="29" spans="1:11" ht="16.5" customHeight="1" thickBot="1">
      <c r="A29" s="901" t="s">
        <v>411</v>
      </c>
      <c r="B29" s="767"/>
      <c r="C29" s="767"/>
      <c r="D29" s="766">
        <f t="shared" si="3"/>
        <v>0</v>
      </c>
      <c r="E29" s="763"/>
      <c r="F29" s="763"/>
      <c r="G29" s="762">
        <f t="shared" si="4"/>
        <v>0</v>
      </c>
      <c r="H29" s="768">
        <f t="shared" si="5"/>
        <v>0</v>
      </c>
      <c r="I29" s="703"/>
      <c r="J29" s="331"/>
      <c r="K29" s="40"/>
    </row>
    <row r="30" spans="1:11" ht="16.5" customHeight="1" thickBot="1">
      <c r="A30" s="1403" t="s">
        <v>412</v>
      </c>
      <c r="B30" s="1404"/>
      <c r="C30" s="1405"/>
      <c r="D30" s="1405"/>
      <c r="E30" s="1406">
        <f>SUM(E20:E29)</f>
        <v>0</v>
      </c>
      <c r="F30" s="1407"/>
      <c r="G30" s="1408">
        <f>SUM(G20:G29)</f>
        <v>0</v>
      </c>
      <c r="H30" s="1409">
        <f>SUM(H20:H29)</f>
        <v>0</v>
      </c>
      <c r="I30" s="1410">
        <f>G16+G30</f>
        <v>0</v>
      </c>
      <c r="J30" s="322"/>
      <c r="K30" s="321" t="str">
        <f>IF(E30&lt;&gt;Elevtal,"Elevtal ikke lig med antal elever tastet på forsiden","")</f>
        <v/>
      </c>
    </row>
    <row r="31" spans="1:11" ht="16.5" customHeight="1" thickBot="1">
      <c r="A31" s="733"/>
      <c r="B31" s="352" t="s">
        <v>413</v>
      </c>
      <c r="C31" s="352"/>
      <c r="D31" s="348"/>
      <c r="E31" s="349"/>
      <c r="F31" s="348"/>
      <c r="G31" s="350"/>
      <c r="H31" s="350"/>
      <c r="I31" s="855"/>
      <c r="J31" s="322"/>
      <c r="K31" s="321"/>
    </row>
    <row r="32" spans="1:11" ht="12" customHeight="1" thickBot="1">
      <c r="A32" s="733"/>
      <c r="B32" s="353" t="s">
        <v>414</v>
      </c>
      <c r="C32" s="352"/>
      <c r="D32" s="348"/>
      <c r="E32" s="349"/>
      <c r="F32" s="348"/>
      <c r="G32" s="350"/>
      <c r="H32" s="350"/>
      <c r="I32" s="1411"/>
      <c r="J32" s="322"/>
      <c r="K32" s="321"/>
    </row>
    <row r="33" spans="1:11" ht="16.5" customHeight="1" thickBot="1">
      <c r="A33" s="733"/>
      <c r="B33" s="360" t="s">
        <v>415</v>
      </c>
      <c r="C33" s="352"/>
      <c r="D33" s="348"/>
      <c r="E33" s="349"/>
      <c r="F33" s="348"/>
      <c r="G33" s="350"/>
      <c r="H33" s="350"/>
      <c r="I33" s="1412"/>
      <c r="J33" s="322"/>
      <c r="K33" s="321"/>
    </row>
    <row r="34" spans="1:11" ht="17" thickBot="1">
      <c r="A34" s="1394"/>
      <c r="B34" s="2796" t="str">
        <f>"Skolepenge i alt til hovedskema lin. 15"</f>
        <v>Skolepenge i alt til hovedskema lin. 15</v>
      </c>
      <c r="C34" s="2796"/>
      <c r="D34" s="2796"/>
      <c r="E34" s="2796"/>
      <c r="F34" s="2797"/>
      <c r="G34" s="1413">
        <f>G16+G30+I33+I31</f>
        <v>0</v>
      </c>
      <c r="H34" s="1414">
        <f>H16+H30</f>
        <v>0</v>
      </c>
      <c r="I34" s="1415">
        <f>I30+I31+I33</f>
        <v>0</v>
      </c>
      <c r="J34" s="1401"/>
      <c r="K34" s="354"/>
    </row>
    <row r="35" spans="1:11" ht="16.5" customHeight="1" thickBot="1">
      <c r="A35" s="1416"/>
      <c r="B35" s="323"/>
      <c r="C35" s="324"/>
      <c r="D35" s="324"/>
      <c r="E35" s="324"/>
      <c r="F35" s="325"/>
      <c r="G35" s="326"/>
      <c r="H35" s="326"/>
      <c r="I35" s="327"/>
    </row>
    <row r="36" spans="1:11" ht="18" customHeight="1" thickBot="1">
      <c r="A36" s="2790" t="str">
        <f>"Indtægter vedrørende SFO (0. - 3. klasse) januar til juli "&amp;budgetår</f>
        <v>Indtægter vedrørende SFO (0. - 3. klasse) januar til juli 2025</v>
      </c>
      <c r="B36" s="2791"/>
      <c r="C36" s="2791"/>
      <c r="D36" s="2791"/>
      <c r="E36" s="2791"/>
      <c r="F36" s="2791"/>
      <c r="G36" s="2791"/>
      <c r="H36" s="2791"/>
      <c r="I36" s="2791"/>
      <c r="J36" s="2792"/>
    </row>
    <row r="37" spans="1:11" ht="21" thickBot="1">
      <c r="A37" s="2801" t="s">
        <v>386</v>
      </c>
      <c r="B37" s="2802"/>
      <c r="C37" s="1384"/>
      <c r="D37" s="2803"/>
      <c r="E37" s="2791"/>
      <c r="F37" s="2791"/>
      <c r="G37" s="2791"/>
      <c r="H37" s="2791"/>
      <c r="I37" s="2791"/>
      <c r="J37" s="2792"/>
    </row>
    <row r="38" spans="1:11" ht="18" customHeight="1">
      <c r="A38" s="732"/>
      <c r="B38" s="1417" t="s">
        <v>387</v>
      </c>
      <c r="C38" s="1417" t="s">
        <v>388</v>
      </c>
      <c r="D38" s="1417" t="s">
        <v>389</v>
      </c>
      <c r="E38" s="1417" t="s">
        <v>390</v>
      </c>
      <c r="F38" s="1417" t="s">
        <v>391</v>
      </c>
      <c r="G38" s="1417" t="s">
        <v>392</v>
      </c>
      <c r="H38" s="1418" t="s">
        <v>393</v>
      </c>
      <c r="I38" s="733"/>
      <c r="J38" s="322"/>
    </row>
    <row r="39" spans="1:11" ht="42">
      <c r="A39" s="1419"/>
      <c r="B39" s="1420" t="s">
        <v>416</v>
      </c>
      <c r="C39" s="1421" t="s">
        <v>396</v>
      </c>
      <c r="D39" s="1421" t="s">
        <v>417</v>
      </c>
      <c r="E39" s="1422" t="s">
        <v>398</v>
      </c>
      <c r="F39" s="1421" t="s">
        <v>418</v>
      </c>
      <c r="G39" s="1420" t="s">
        <v>419</v>
      </c>
      <c r="H39" s="1423" t="s">
        <v>401</v>
      </c>
      <c r="I39" s="733"/>
      <c r="J39" s="322"/>
    </row>
    <row r="40" spans="1:11" ht="16.5" customHeight="1">
      <c r="A40" s="899" t="s">
        <v>402</v>
      </c>
      <c r="B40" s="769"/>
      <c r="C40" s="776"/>
      <c r="D40" s="771">
        <f t="shared" ref="D40:D49" si="8">B40-C40</f>
        <v>0</v>
      </c>
      <c r="E40" s="774"/>
      <c r="F40" s="776"/>
      <c r="G40" s="775">
        <f t="shared" ref="G40:G49" si="9">D40*E40*F40</f>
        <v>0</v>
      </c>
      <c r="H40" s="56">
        <f t="shared" ref="H40:H49" si="10">C40*E40*F40</f>
        <v>0</v>
      </c>
      <c r="I40" s="703"/>
      <c r="J40" s="322"/>
    </row>
    <row r="41" spans="1:11" ht="16.5" customHeight="1">
      <c r="A41" s="899" t="s">
        <v>403</v>
      </c>
      <c r="B41" s="769"/>
      <c r="C41" s="777"/>
      <c r="D41" s="772">
        <f t="shared" si="8"/>
        <v>0</v>
      </c>
      <c r="E41" s="774"/>
      <c r="F41" s="777"/>
      <c r="G41" s="775">
        <f t="shared" si="9"/>
        <v>0</v>
      </c>
      <c r="H41" s="56">
        <f t="shared" si="10"/>
        <v>0</v>
      </c>
      <c r="I41" s="703"/>
      <c r="J41" s="322"/>
    </row>
    <row r="42" spans="1:11" ht="16.5" customHeight="1">
      <c r="A42" s="899" t="s">
        <v>404</v>
      </c>
      <c r="B42" s="769"/>
      <c r="C42" s="777"/>
      <c r="D42" s="772">
        <f t="shared" si="8"/>
        <v>0</v>
      </c>
      <c r="E42" s="774"/>
      <c r="F42" s="777"/>
      <c r="G42" s="775">
        <f t="shared" si="9"/>
        <v>0</v>
      </c>
      <c r="H42" s="56">
        <f t="shared" si="10"/>
        <v>0</v>
      </c>
      <c r="I42" s="703"/>
      <c r="J42" s="322"/>
    </row>
    <row r="43" spans="1:11" ht="16.5" customHeight="1">
      <c r="A43" s="899" t="s">
        <v>405</v>
      </c>
      <c r="B43" s="769"/>
      <c r="C43" s="777"/>
      <c r="D43" s="772">
        <f>B43-C43</f>
        <v>0</v>
      </c>
      <c r="E43" s="774"/>
      <c r="F43" s="777"/>
      <c r="G43" s="775">
        <f>D43*E43*F43</f>
        <v>0</v>
      </c>
      <c r="H43" s="56">
        <f>C43*E43*F43</f>
        <v>0</v>
      </c>
      <c r="I43" s="703"/>
      <c r="J43" s="322"/>
    </row>
    <row r="44" spans="1:11" ht="17" customHeight="1">
      <c r="A44" s="902" t="s">
        <v>406</v>
      </c>
      <c r="B44" s="769"/>
      <c r="C44" s="777"/>
      <c r="D44" s="772">
        <f>B44-C44</f>
        <v>0</v>
      </c>
      <c r="E44" s="774"/>
      <c r="F44" s="777"/>
      <c r="G44" s="775">
        <f>D44*E44*F44</f>
        <v>0</v>
      </c>
      <c r="H44" s="56">
        <f>C44*E44*F44</f>
        <v>0</v>
      </c>
      <c r="I44" s="703"/>
      <c r="J44" s="322"/>
    </row>
    <row r="45" spans="1:11" ht="16.5" customHeight="1">
      <c r="A45" s="902" t="s">
        <v>407</v>
      </c>
      <c r="B45" s="769"/>
      <c r="C45" s="777"/>
      <c r="D45" s="772">
        <f t="shared" si="8"/>
        <v>0</v>
      </c>
      <c r="E45" s="774"/>
      <c r="F45" s="777"/>
      <c r="G45" s="775">
        <f t="shared" si="9"/>
        <v>0</v>
      </c>
      <c r="H45" s="56">
        <f t="shared" si="10"/>
        <v>0</v>
      </c>
      <c r="I45" s="703"/>
      <c r="J45" s="322"/>
    </row>
    <row r="46" spans="1:11" ht="16.5" customHeight="1">
      <c r="A46" s="901" t="s">
        <v>408</v>
      </c>
      <c r="B46" s="769"/>
      <c r="C46" s="777"/>
      <c r="D46" s="772">
        <f t="shared" si="8"/>
        <v>0</v>
      </c>
      <c r="E46" s="774"/>
      <c r="F46" s="777"/>
      <c r="G46" s="775">
        <f t="shared" ref="G46:G48" si="11">D46*E46*F46</f>
        <v>0</v>
      </c>
      <c r="H46" s="56">
        <f t="shared" ref="H46:H48" si="12">C46*E46*F46</f>
        <v>0</v>
      </c>
      <c r="I46" s="703"/>
      <c r="J46" s="322"/>
    </row>
    <row r="47" spans="1:11" ht="16.5" customHeight="1">
      <c r="A47" s="901" t="s">
        <v>409</v>
      </c>
      <c r="B47" s="769"/>
      <c r="C47" s="777"/>
      <c r="D47" s="772">
        <f t="shared" si="8"/>
        <v>0</v>
      </c>
      <c r="E47" s="774"/>
      <c r="F47" s="777"/>
      <c r="G47" s="775">
        <f t="shared" si="11"/>
        <v>0</v>
      </c>
      <c r="H47" s="56">
        <f t="shared" si="12"/>
        <v>0</v>
      </c>
      <c r="I47" s="703"/>
      <c r="J47" s="322"/>
    </row>
    <row r="48" spans="1:11" ht="16.5" customHeight="1">
      <c r="A48" s="901" t="s">
        <v>410</v>
      </c>
      <c r="B48" s="769"/>
      <c r="C48" s="777"/>
      <c r="D48" s="772">
        <f t="shared" si="8"/>
        <v>0</v>
      </c>
      <c r="E48" s="774"/>
      <c r="F48" s="777"/>
      <c r="G48" s="775">
        <f t="shared" si="11"/>
        <v>0</v>
      </c>
      <c r="H48" s="56">
        <f t="shared" si="12"/>
        <v>0</v>
      </c>
      <c r="I48" s="703"/>
      <c r="J48" s="322"/>
    </row>
    <row r="49" spans="1:11" s="14" customFormat="1">
      <c r="A49" s="856" t="s">
        <v>411</v>
      </c>
      <c r="B49" s="769"/>
      <c r="C49" s="747"/>
      <c r="D49" s="773">
        <f t="shared" si="8"/>
        <v>0</v>
      </c>
      <c r="E49" s="774"/>
      <c r="F49" s="747"/>
      <c r="G49" s="775">
        <f t="shared" si="9"/>
        <v>0</v>
      </c>
      <c r="H49" s="56">
        <f t="shared" si="10"/>
        <v>0</v>
      </c>
      <c r="I49" s="784"/>
      <c r="J49" s="329"/>
      <c r="K49" s="857"/>
    </row>
    <row r="50" spans="1:11" ht="18" customHeight="1" thickBot="1">
      <c r="A50" s="1424" t="s">
        <v>412</v>
      </c>
      <c r="B50" s="1395"/>
      <c r="C50" s="1395"/>
      <c r="D50" s="1395"/>
      <c r="E50" s="1425">
        <f>SUM(E40:E49)</f>
        <v>0</v>
      </c>
      <c r="F50" s="1397"/>
      <c r="G50" s="1426">
        <f>SUM(G40:G49)</f>
        <v>0</v>
      </c>
      <c r="H50" s="1427">
        <f>SUM(H40:H49)</f>
        <v>0</v>
      </c>
      <c r="I50" s="1400"/>
      <c r="J50" s="1401"/>
      <c r="K50" s="321" t="str">
        <f>IF(E50&lt;&gt;SUM(Forside!E38),"SFO-børn ikke lig med antal SFO-børn tastet på forsiden","")</f>
        <v/>
      </c>
    </row>
    <row r="51" spans="1:11" ht="18" customHeight="1" thickBot="1">
      <c r="A51" s="2793" t="str">
        <f>"Indtægter vedrørende SFO (0. - 3. klasse) august til december "&amp;budgetår</f>
        <v>Indtægter vedrørende SFO (0. - 3. klasse) august til december 2025</v>
      </c>
      <c r="B51" s="2794"/>
      <c r="C51" s="2794"/>
      <c r="D51" s="2794"/>
      <c r="E51" s="2794"/>
      <c r="F51" s="2794"/>
      <c r="G51" s="2794"/>
      <c r="H51" s="2794"/>
      <c r="I51" s="2794"/>
      <c r="J51" s="2795"/>
    </row>
    <row r="52" spans="1:11" ht="18" customHeight="1">
      <c r="A52" s="1428"/>
      <c r="B52" s="1429" t="s">
        <v>387</v>
      </c>
      <c r="C52" s="1429" t="s">
        <v>388</v>
      </c>
      <c r="D52" s="1429" t="s">
        <v>389</v>
      </c>
      <c r="E52" s="1429" t="s">
        <v>390</v>
      </c>
      <c r="F52" s="1429" t="s">
        <v>391</v>
      </c>
      <c r="G52" s="1429" t="s">
        <v>392</v>
      </c>
      <c r="H52" s="1430" t="s">
        <v>393</v>
      </c>
      <c r="I52" s="903"/>
      <c r="J52" s="904"/>
    </row>
    <row r="53" spans="1:11" ht="42">
      <c r="A53" s="1419"/>
      <c r="B53" s="1420" t="s">
        <v>416</v>
      </c>
      <c r="C53" s="1420" t="s">
        <v>396</v>
      </c>
      <c r="D53" s="1420" t="s">
        <v>417</v>
      </c>
      <c r="E53" s="1421" t="s">
        <v>398</v>
      </c>
      <c r="F53" s="1420" t="s">
        <v>418</v>
      </c>
      <c r="G53" s="1420" t="s">
        <v>419</v>
      </c>
      <c r="H53" s="1423" t="s">
        <v>401</v>
      </c>
      <c r="I53" s="733"/>
      <c r="J53" s="322"/>
    </row>
    <row r="54" spans="1:11" ht="17" customHeight="1">
      <c r="A54" s="899" t="s">
        <v>402</v>
      </c>
      <c r="B54" s="213"/>
      <c r="C54" s="213"/>
      <c r="D54" s="778">
        <f t="shared" ref="D54:D63" si="13">B54-C54</f>
        <v>0</v>
      </c>
      <c r="E54" s="776"/>
      <c r="F54" s="770"/>
      <c r="G54" s="55">
        <f t="shared" ref="G54:G63" si="14">D54*E54*F54</f>
        <v>0</v>
      </c>
      <c r="H54" s="56">
        <f t="shared" ref="H54:H63" si="15">C54*E54*F54</f>
        <v>0</v>
      </c>
      <c r="I54" s="703"/>
      <c r="J54" s="322"/>
    </row>
    <row r="55" spans="1:11" ht="16.5" customHeight="1">
      <c r="A55" s="899" t="s">
        <v>403</v>
      </c>
      <c r="B55" s="213"/>
      <c r="C55" s="213"/>
      <c r="D55" s="778">
        <f>B55-C55</f>
        <v>0</v>
      </c>
      <c r="E55" s="777"/>
      <c r="F55" s="770"/>
      <c r="G55" s="55">
        <f>D55*E55*F55</f>
        <v>0</v>
      </c>
      <c r="H55" s="56">
        <f>C55*E55*F55</f>
        <v>0</v>
      </c>
      <c r="I55" s="703"/>
      <c r="J55" s="322"/>
    </row>
    <row r="56" spans="1:11" ht="16.5" customHeight="1">
      <c r="A56" s="899" t="s">
        <v>404</v>
      </c>
      <c r="B56" s="213"/>
      <c r="C56" s="213"/>
      <c r="D56" s="778">
        <f>B56-C56</f>
        <v>0</v>
      </c>
      <c r="E56" s="777"/>
      <c r="F56" s="770"/>
      <c r="G56" s="55">
        <f>D56*E56*F56</f>
        <v>0</v>
      </c>
      <c r="H56" s="56">
        <f>C56*E56*F56</f>
        <v>0</v>
      </c>
      <c r="I56" s="703"/>
      <c r="J56" s="322"/>
    </row>
    <row r="57" spans="1:11" ht="16.5" customHeight="1">
      <c r="A57" s="899" t="s">
        <v>405</v>
      </c>
      <c r="B57" s="213"/>
      <c r="C57" s="213"/>
      <c r="D57" s="778">
        <f t="shared" si="13"/>
        <v>0</v>
      </c>
      <c r="E57" s="777"/>
      <c r="F57" s="770"/>
      <c r="G57" s="55">
        <f t="shared" si="14"/>
        <v>0</v>
      </c>
      <c r="H57" s="56">
        <f t="shared" si="15"/>
        <v>0</v>
      </c>
      <c r="I57" s="703"/>
      <c r="J57" s="322"/>
    </row>
    <row r="58" spans="1:11" ht="16.5" customHeight="1">
      <c r="A58" s="902" t="s">
        <v>406</v>
      </c>
      <c r="B58" s="213"/>
      <c r="C58" s="213"/>
      <c r="D58" s="778">
        <f t="shared" si="13"/>
        <v>0</v>
      </c>
      <c r="E58" s="777"/>
      <c r="F58" s="770"/>
      <c r="G58" s="55">
        <f t="shared" si="14"/>
        <v>0</v>
      </c>
      <c r="H58" s="56">
        <f t="shared" si="15"/>
        <v>0</v>
      </c>
      <c r="I58" s="703"/>
      <c r="J58" s="322"/>
    </row>
    <row r="59" spans="1:11" ht="16.5" customHeight="1">
      <c r="A59" s="901" t="s">
        <v>407</v>
      </c>
      <c r="B59" s="213"/>
      <c r="C59" s="213"/>
      <c r="D59" s="778">
        <f>B59-C59</f>
        <v>0</v>
      </c>
      <c r="E59" s="777"/>
      <c r="F59" s="770"/>
      <c r="G59" s="55">
        <f t="shared" ref="G59:G60" si="16">D59*E59*F59</f>
        <v>0</v>
      </c>
      <c r="H59" s="56">
        <f t="shared" ref="H59:H60" si="17">C59*E59*F59</f>
        <v>0</v>
      </c>
      <c r="I59" s="703"/>
      <c r="J59" s="322"/>
    </row>
    <row r="60" spans="1:11" ht="16.5" customHeight="1">
      <c r="A60" s="901" t="s">
        <v>408</v>
      </c>
      <c r="B60" s="213"/>
      <c r="C60" s="213"/>
      <c r="D60" s="778">
        <f t="shared" si="13"/>
        <v>0</v>
      </c>
      <c r="E60" s="777"/>
      <c r="F60" s="770"/>
      <c r="G60" s="55">
        <f t="shared" si="16"/>
        <v>0</v>
      </c>
      <c r="H60" s="56">
        <f t="shared" si="17"/>
        <v>0</v>
      </c>
      <c r="I60" s="703"/>
      <c r="J60" s="322"/>
    </row>
    <row r="61" spans="1:11" ht="16.5" customHeight="1">
      <c r="A61" s="901" t="s">
        <v>409</v>
      </c>
      <c r="B61" s="213"/>
      <c r="C61" s="213"/>
      <c r="D61" s="778">
        <f t="shared" si="13"/>
        <v>0</v>
      </c>
      <c r="E61" s="777"/>
      <c r="F61" s="770"/>
      <c r="G61" s="55">
        <f t="shared" si="14"/>
        <v>0</v>
      </c>
      <c r="H61" s="56">
        <f t="shared" si="15"/>
        <v>0</v>
      </c>
      <c r="I61" s="703"/>
      <c r="J61" s="322"/>
    </row>
    <row r="62" spans="1:11" ht="13.5" customHeight="1">
      <c r="A62" s="901" t="s">
        <v>410</v>
      </c>
      <c r="B62" s="213"/>
      <c r="C62" s="213"/>
      <c r="D62" s="778">
        <f t="shared" si="13"/>
        <v>0</v>
      </c>
      <c r="E62" s="777"/>
      <c r="F62" s="770"/>
      <c r="G62" s="55">
        <f t="shared" si="14"/>
        <v>0</v>
      </c>
      <c r="H62" s="56">
        <f t="shared" si="15"/>
        <v>0</v>
      </c>
      <c r="I62" s="703"/>
      <c r="J62" s="322"/>
    </row>
    <row r="63" spans="1:11" s="14" customFormat="1" ht="14" thickBot="1">
      <c r="A63" s="856" t="s">
        <v>411</v>
      </c>
      <c r="B63" s="780"/>
      <c r="C63" s="780"/>
      <c r="D63" s="779">
        <f t="shared" si="13"/>
        <v>0</v>
      </c>
      <c r="E63" s="767"/>
      <c r="F63" s="781"/>
      <c r="G63" s="782">
        <f t="shared" si="14"/>
        <v>0</v>
      </c>
      <c r="H63" s="783">
        <f t="shared" si="15"/>
        <v>0</v>
      </c>
      <c r="I63" s="784"/>
      <c r="J63" s="329"/>
      <c r="K63" s="857"/>
    </row>
    <row r="64" spans="1:11" ht="18" customHeight="1" thickBot="1">
      <c r="A64" s="905" t="s">
        <v>412</v>
      </c>
      <c r="B64" s="1404"/>
      <c r="C64" s="1405"/>
      <c r="D64" s="1405"/>
      <c r="E64" s="1431">
        <f>SUM(E54:E63)</f>
        <v>0</v>
      </c>
      <c r="F64" s="1432"/>
      <c r="G64" s="1433">
        <f>SUM(G54:G63)</f>
        <v>0</v>
      </c>
      <c r="H64" s="1434">
        <f>SUM(H54:H63)</f>
        <v>0</v>
      </c>
      <c r="I64" s="1410">
        <f>G64+G50</f>
        <v>0</v>
      </c>
      <c r="J64" s="322"/>
      <c r="K64" s="321" t="str">
        <f>IF(E64&lt;&gt;SUM(Forside!G38),"SFO-børn ikke lig med antal SFO-børn tastet på forsiden","")</f>
        <v/>
      </c>
    </row>
    <row r="65" spans="1:12" ht="16.5" customHeight="1" thickBot="1">
      <c r="A65" s="733"/>
      <c r="B65" s="352" t="s">
        <v>420</v>
      </c>
      <c r="C65" s="352"/>
      <c r="D65" s="348"/>
      <c r="E65" s="349"/>
      <c r="F65" s="348"/>
      <c r="G65" s="350"/>
      <c r="H65" s="350"/>
      <c r="I65" s="855"/>
      <c r="J65" s="322"/>
      <c r="K65" s="321"/>
    </row>
    <row r="66" spans="1:12" ht="12" customHeight="1" thickBot="1">
      <c r="A66" s="733"/>
      <c r="B66" s="353" t="s">
        <v>421</v>
      </c>
      <c r="C66" s="352"/>
      <c r="D66" s="348"/>
      <c r="E66" s="349"/>
      <c r="F66" s="348"/>
      <c r="G66" s="350"/>
      <c r="H66" s="350"/>
      <c r="I66" s="1435"/>
      <c r="J66" s="322"/>
      <c r="K66" s="321"/>
    </row>
    <row r="67" spans="1:12" ht="16.5" customHeight="1" thickBot="1">
      <c r="A67" s="733"/>
      <c r="B67" s="352" t="s">
        <v>422</v>
      </c>
      <c r="C67" s="352"/>
      <c r="D67" s="348"/>
      <c r="E67" s="349"/>
      <c r="F67" s="348"/>
      <c r="G67" s="350"/>
      <c r="H67" s="350"/>
      <c r="I67" s="1412"/>
      <c r="J67" s="322"/>
      <c r="K67" s="321"/>
    </row>
    <row r="68" spans="1:12" ht="18" customHeight="1" thickBot="1">
      <c r="A68" s="1436"/>
      <c r="B68" s="2796" t="s">
        <v>423</v>
      </c>
      <c r="C68" s="2796"/>
      <c r="D68" s="2796"/>
      <c r="E68" s="2796"/>
      <c r="F68" s="2796"/>
      <c r="G68" s="1437">
        <f>G50+G64+I67+I65</f>
        <v>0</v>
      </c>
      <c r="H68" s="1414">
        <f>H50+H64</f>
        <v>0</v>
      </c>
      <c r="I68" s="1415">
        <f>I64+I65+I67</f>
        <v>0</v>
      </c>
      <c r="J68" s="1401"/>
      <c r="K68" s="354"/>
    </row>
    <row r="69" spans="1:12" ht="18" customHeight="1" thickBot="1">
      <c r="A69" s="1438"/>
      <c r="B69" s="24"/>
      <c r="C69" s="194"/>
      <c r="D69" s="351"/>
      <c r="E69" s="351"/>
      <c r="F69" s="325"/>
      <c r="G69" s="326"/>
      <c r="H69" s="326"/>
      <c r="I69" s="327"/>
      <c r="J69" s="1416"/>
    </row>
    <row r="70" spans="1:12" ht="18" customHeight="1" thickBot="1">
      <c r="A70" s="2798" t="str">
        <f>"Indtægter vedrørende SFO (4. klasse og opefter) januar til juli "&amp;budgetår</f>
        <v>Indtægter vedrørende SFO (4. klasse og opefter) januar til juli 2025</v>
      </c>
      <c r="B70" s="2799"/>
      <c r="C70" s="2799"/>
      <c r="D70" s="2799"/>
      <c r="E70" s="2799"/>
      <c r="F70" s="2799"/>
      <c r="G70" s="2799"/>
      <c r="H70" s="2799"/>
      <c r="I70" s="2799"/>
      <c r="J70" s="2800"/>
      <c r="L70" s="23"/>
    </row>
    <row r="71" spans="1:12" ht="21" thickBot="1">
      <c r="A71" s="2801" t="s">
        <v>386</v>
      </c>
      <c r="B71" s="2802"/>
      <c r="C71" s="1384"/>
      <c r="D71" s="2803"/>
      <c r="E71" s="2791"/>
      <c r="F71" s="2791"/>
      <c r="G71" s="2791"/>
      <c r="H71" s="2791"/>
      <c r="I71" s="2791"/>
      <c r="J71" s="2792"/>
    </row>
    <row r="72" spans="1:12" ht="18" customHeight="1">
      <c r="A72" s="1428"/>
      <c r="B72" s="1429" t="s">
        <v>387</v>
      </c>
      <c r="C72" s="1429" t="s">
        <v>388</v>
      </c>
      <c r="D72" s="1429" t="s">
        <v>389</v>
      </c>
      <c r="E72" s="1429" t="s">
        <v>390</v>
      </c>
      <c r="F72" s="1429" t="s">
        <v>391</v>
      </c>
      <c r="G72" s="1429" t="s">
        <v>392</v>
      </c>
      <c r="H72" s="1430" t="s">
        <v>393</v>
      </c>
      <c r="I72" s="903"/>
      <c r="J72" s="904"/>
      <c r="K72" s="42"/>
      <c r="L72" s="42"/>
    </row>
    <row r="73" spans="1:12" ht="42">
      <c r="A73" s="1419"/>
      <c r="B73" s="1420" t="s">
        <v>416</v>
      </c>
      <c r="C73" s="1420" t="s">
        <v>396</v>
      </c>
      <c r="D73" s="1420" t="s">
        <v>417</v>
      </c>
      <c r="E73" s="1420" t="s">
        <v>398</v>
      </c>
      <c r="F73" s="1420" t="s">
        <v>418</v>
      </c>
      <c r="G73" s="1420" t="s">
        <v>419</v>
      </c>
      <c r="H73" s="1423" t="s">
        <v>401</v>
      </c>
      <c r="I73" s="733"/>
      <c r="J73" s="322"/>
    </row>
    <row r="74" spans="1:12" ht="17" customHeight="1">
      <c r="A74" s="858">
        <v>1</v>
      </c>
      <c r="B74" s="213"/>
      <c r="C74" s="906"/>
      <c r="D74" s="907">
        <f t="shared" ref="D74:D79" si="18">B74-C74</f>
        <v>0</v>
      </c>
      <c r="E74" s="906"/>
      <c r="F74" s="906"/>
      <c r="G74" s="55">
        <f t="shared" ref="G74:G79" si="19">D74*E74*F74</f>
        <v>0</v>
      </c>
      <c r="H74" s="56">
        <f t="shared" ref="H74:H79" si="20">C74*E74*F74</f>
        <v>0</v>
      </c>
      <c r="I74" s="703"/>
      <c r="J74" s="322"/>
    </row>
    <row r="75" spans="1:12" ht="17" customHeight="1">
      <c r="A75" s="858">
        <v>2</v>
      </c>
      <c r="B75" s="213"/>
      <c r="C75" s="785"/>
      <c r="D75" s="786">
        <f t="shared" si="18"/>
        <v>0</v>
      </c>
      <c r="E75" s="785"/>
      <c r="F75" s="785"/>
      <c r="G75" s="55">
        <f t="shared" si="19"/>
        <v>0</v>
      </c>
      <c r="H75" s="56">
        <f t="shared" si="20"/>
        <v>0</v>
      </c>
      <c r="I75" s="703"/>
      <c r="J75" s="322"/>
    </row>
    <row r="76" spans="1:12" ht="17" customHeight="1">
      <c r="A76" s="858">
        <v>3</v>
      </c>
      <c r="B76" s="213"/>
      <c r="C76" s="785"/>
      <c r="D76" s="786">
        <f t="shared" si="18"/>
        <v>0</v>
      </c>
      <c r="E76" s="785"/>
      <c r="F76" s="785"/>
      <c r="G76" s="55">
        <f t="shared" si="19"/>
        <v>0</v>
      </c>
      <c r="H76" s="56">
        <f t="shared" si="20"/>
        <v>0</v>
      </c>
      <c r="I76" s="703"/>
      <c r="J76" s="322"/>
    </row>
    <row r="77" spans="1:12" ht="17" customHeight="1">
      <c r="A77" s="858">
        <v>4</v>
      </c>
      <c r="B77" s="213"/>
      <c r="C77" s="785"/>
      <c r="D77" s="786">
        <f t="shared" si="18"/>
        <v>0</v>
      </c>
      <c r="E77" s="785"/>
      <c r="F77" s="785"/>
      <c r="G77" s="55">
        <f t="shared" si="19"/>
        <v>0</v>
      </c>
      <c r="H77" s="56">
        <f t="shared" si="20"/>
        <v>0</v>
      </c>
      <c r="I77" s="703"/>
      <c r="J77" s="322"/>
    </row>
    <row r="78" spans="1:12" ht="17" customHeight="1">
      <c r="A78" s="858">
        <v>5</v>
      </c>
      <c r="B78" s="213"/>
      <c r="C78" s="785"/>
      <c r="D78" s="786">
        <f t="shared" si="18"/>
        <v>0</v>
      </c>
      <c r="E78" s="785"/>
      <c r="F78" s="785"/>
      <c r="G78" s="55">
        <f t="shared" si="19"/>
        <v>0</v>
      </c>
      <c r="H78" s="56">
        <f t="shared" si="20"/>
        <v>0</v>
      </c>
      <c r="I78" s="703"/>
      <c r="J78" s="322"/>
    </row>
    <row r="79" spans="1:12" ht="17" customHeight="1" thickBot="1">
      <c r="A79" s="858">
        <v>6</v>
      </c>
      <c r="B79" s="780"/>
      <c r="C79" s="787"/>
      <c r="D79" s="788">
        <f t="shared" si="18"/>
        <v>0</v>
      </c>
      <c r="E79" s="787"/>
      <c r="F79" s="787"/>
      <c r="G79" s="782">
        <f t="shared" si="19"/>
        <v>0</v>
      </c>
      <c r="H79" s="783">
        <f t="shared" si="20"/>
        <v>0</v>
      </c>
      <c r="I79" s="784"/>
      <c r="J79" s="329"/>
    </row>
    <row r="80" spans="1:12" ht="17" customHeight="1" thickBot="1">
      <c r="A80" s="908" t="s">
        <v>412</v>
      </c>
      <c r="B80" s="909"/>
      <c r="C80" s="910"/>
      <c r="D80" s="910"/>
      <c r="E80" s="1439">
        <f>SUM(E74:E79)</f>
        <v>0</v>
      </c>
      <c r="F80" s="1440"/>
      <c r="G80" s="1441">
        <f>SUM(G74:G79)</f>
        <v>0</v>
      </c>
      <c r="H80" s="1442">
        <f>SUM(H74:H79)</f>
        <v>0</v>
      </c>
      <c r="I80" s="355"/>
      <c r="J80" s="322"/>
      <c r="K80" s="321" t="str">
        <f>IF(E80&lt;&gt;SUM(Forside!E39),"SFO-børn ikke lig med antal SFO-børn tastet på forsiden","")</f>
        <v/>
      </c>
    </row>
    <row r="81" spans="1:11" ht="21" thickBot="1">
      <c r="A81" s="2790" t="str">
        <f>"Indtægter vedrørende SFO (4. klasse og opefter) august til december "&amp;budgetår</f>
        <v>Indtægter vedrørende SFO (4. klasse og opefter) august til december 2025</v>
      </c>
      <c r="B81" s="2791"/>
      <c r="C81" s="2791"/>
      <c r="D81" s="2791"/>
      <c r="E81" s="2791"/>
      <c r="F81" s="2791"/>
      <c r="G81" s="2791"/>
      <c r="H81" s="2791"/>
      <c r="I81" s="2791"/>
      <c r="J81" s="2792"/>
    </row>
    <row r="82" spans="1:11">
      <c r="A82" s="732"/>
      <c r="B82" s="1417" t="s">
        <v>387</v>
      </c>
      <c r="C82" s="1417" t="s">
        <v>388</v>
      </c>
      <c r="D82" s="1417" t="s">
        <v>389</v>
      </c>
      <c r="E82" s="1417" t="s">
        <v>390</v>
      </c>
      <c r="F82" s="1417" t="s">
        <v>391</v>
      </c>
      <c r="G82" s="1417" t="s">
        <v>392</v>
      </c>
      <c r="H82" s="1418" t="s">
        <v>393</v>
      </c>
      <c r="I82" s="733"/>
      <c r="J82" s="322"/>
    </row>
    <row r="83" spans="1:11" s="14" customFormat="1" ht="44" customHeight="1">
      <c r="A83" s="1419"/>
      <c r="B83" s="1420" t="s">
        <v>416</v>
      </c>
      <c r="C83" s="1420" t="s">
        <v>396</v>
      </c>
      <c r="D83" s="1420" t="s">
        <v>417</v>
      </c>
      <c r="E83" s="1420" t="s">
        <v>398</v>
      </c>
      <c r="F83" s="1420" t="s">
        <v>418</v>
      </c>
      <c r="G83" s="1420" t="s">
        <v>419</v>
      </c>
      <c r="H83" s="1423" t="s">
        <v>401</v>
      </c>
      <c r="I83" s="733"/>
      <c r="J83" s="322"/>
      <c r="K83" s="857"/>
    </row>
    <row r="84" spans="1:11" s="14" customFormat="1" ht="17" customHeight="1">
      <c r="A84" s="859" t="s">
        <v>424</v>
      </c>
      <c r="B84" s="213"/>
      <c r="C84" s="906"/>
      <c r="D84" s="907">
        <f t="shared" ref="D84:D89" si="21">B84-C84</f>
        <v>0</v>
      </c>
      <c r="E84" s="906"/>
      <c r="F84" s="906"/>
      <c r="G84" s="55">
        <f t="shared" ref="G84:G89" si="22">D84*E84*F84</f>
        <v>0</v>
      </c>
      <c r="H84" s="56">
        <f t="shared" ref="H84:H89" si="23">C84*E84*F84</f>
        <v>0</v>
      </c>
      <c r="I84" s="703"/>
      <c r="J84" s="322"/>
      <c r="K84" s="857"/>
    </row>
    <row r="85" spans="1:11" s="14" customFormat="1" ht="17" customHeight="1">
      <c r="A85" s="859" t="s">
        <v>425</v>
      </c>
      <c r="B85" s="213"/>
      <c r="C85" s="785"/>
      <c r="D85" s="786">
        <f t="shared" si="21"/>
        <v>0</v>
      </c>
      <c r="E85" s="785"/>
      <c r="F85" s="785"/>
      <c r="G85" s="55">
        <f t="shared" si="22"/>
        <v>0</v>
      </c>
      <c r="H85" s="56">
        <f t="shared" si="23"/>
        <v>0</v>
      </c>
      <c r="I85" s="703"/>
      <c r="J85" s="322"/>
      <c r="K85" s="857"/>
    </row>
    <row r="86" spans="1:11" s="14" customFormat="1" ht="17" customHeight="1">
      <c r="A86" s="859" t="s">
        <v>426</v>
      </c>
      <c r="B86" s="213"/>
      <c r="C86" s="785"/>
      <c r="D86" s="786">
        <f t="shared" si="21"/>
        <v>0</v>
      </c>
      <c r="E86" s="785"/>
      <c r="F86" s="785"/>
      <c r="G86" s="55">
        <f t="shared" si="22"/>
        <v>0</v>
      </c>
      <c r="H86" s="56">
        <f t="shared" si="23"/>
        <v>0</v>
      </c>
      <c r="I86" s="703"/>
      <c r="J86" s="322"/>
      <c r="K86" s="857"/>
    </row>
    <row r="87" spans="1:11" s="14" customFormat="1" ht="17" customHeight="1">
      <c r="A87" s="859" t="s">
        <v>427</v>
      </c>
      <c r="B87" s="213"/>
      <c r="C87" s="785"/>
      <c r="D87" s="786">
        <f t="shared" si="21"/>
        <v>0</v>
      </c>
      <c r="E87" s="785"/>
      <c r="F87" s="785"/>
      <c r="G87" s="55">
        <f t="shared" si="22"/>
        <v>0</v>
      </c>
      <c r="H87" s="56">
        <f t="shared" si="23"/>
        <v>0</v>
      </c>
      <c r="I87" s="703"/>
      <c r="J87" s="322"/>
      <c r="K87" s="857"/>
    </row>
    <row r="88" spans="1:11" s="14" customFormat="1" ht="17" customHeight="1">
      <c r="A88" s="859" t="s">
        <v>428</v>
      </c>
      <c r="B88" s="213"/>
      <c r="C88" s="785"/>
      <c r="D88" s="786">
        <f t="shared" si="21"/>
        <v>0</v>
      </c>
      <c r="E88" s="785"/>
      <c r="F88" s="785"/>
      <c r="G88" s="55">
        <f t="shared" si="22"/>
        <v>0</v>
      </c>
      <c r="H88" s="56">
        <f t="shared" si="23"/>
        <v>0</v>
      </c>
      <c r="I88" s="703"/>
      <c r="J88" s="322"/>
      <c r="K88" s="857"/>
    </row>
    <row r="89" spans="1:11" s="14" customFormat="1" ht="17" customHeight="1" thickBot="1">
      <c r="A89" s="859" t="s">
        <v>429</v>
      </c>
      <c r="B89" s="780"/>
      <c r="C89" s="787"/>
      <c r="D89" s="788">
        <f t="shared" si="21"/>
        <v>0</v>
      </c>
      <c r="E89" s="787"/>
      <c r="F89" s="787"/>
      <c r="G89" s="782">
        <f t="shared" si="22"/>
        <v>0</v>
      </c>
      <c r="H89" s="783">
        <f t="shared" si="23"/>
        <v>0</v>
      </c>
      <c r="I89" s="784"/>
      <c r="J89" s="329"/>
      <c r="K89" s="857"/>
    </row>
    <row r="90" spans="1:11" s="14" customFormat="1" ht="17" customHeight="1" thickBot="1">
      <c r="A90" s="905" t="s">
        <v>412</v>
      </c>
      <c r="B90" s="1404"/>
      <c r="C90" s="1405"/>
      <c r="D90" s="1405"/>
      <c r="E90" s="1431">
        <f>SUM(E84:E89)</f>
        <v>0</v>
      </c>
      <c r="F90" s="1407"/>
      <c r="G90" s="1443">
        <f>SUM(G84:G89)</f>
        <v>0</v>
      </c>
      <c r="H90" s="1434">
        <f>SUM(H84:H89)</f>
        <v>0</v>
      </c>
      <c r="I90" s="1444">
        <f>G90+G80</f>
        <v>0</v>
      </c>
      <c r="J90" s="322"/>
      <c r="K90" s="321" t="str">
        <f>IF(E90&lt;&gt;SUM(Forside!G39),"SFO-børn ikke lig med antal SFO-børn tastet på forsiden","")</f>
        <v/>
      </c>
    </row>
    <row r="91" spans="1:11" s="14" customFormat="1" ht="20" customHeight="1" thickBot="1">
      <c r="A91" s="1436"/>
      <c r="B91" s="2796" t="s">
        <v>430</v>
      </c>
      <c r="C91" s="2796"/>
      <c r="D91" s="2796"/>
      <c r="E91" s="2796"/>
      <c r="F91" s="2797"/>
      <c r="G91" s="911">
        <f>G80+G90</f>
        <v>0</v>
      </c>
      <c r="H91" s="912">
        <f>H80+H90</f>
        <v>0</v>
      </c>
      <c r="I91" s="1415">
        <f>I90</f>
        <v>0</v>
      </c>
      <c r="J91" s="1401"/>
      <c r="K91" s="321"/>
    </row>
    <row r="92" spans="1:11" s="14" customFormat="1" ht="12.75" customHeight="1" thickBot="1">
      <c r="A92" s="1438"/>
      <c r="B92"/>
      <c r="C92" s="5"/>
      <c r="D92" s="328"/>
      <c r="E92" s="328"/>
      <c r="F92" s="328"/>
      <c r="G92" s="328"/>
      <c r="H92" s="328"/>
      <c r="I92" s="5"/>
      <c r="J92" s="5"/>
      <c r="K92" s="857"/>
    </row>
    <row r="93" spans="1:11" ht="24" customHeight="1" thickBot="1">
      <c r="A93" s="2778" t="s">
        <v>431</v>
      </c>
      <c r="B93" s="2779"/>
      <c r="C93" s="2779"/>
      <c r="D93" s="2779"/>
      <c r="E93" s="2779"/>
      <c r="F93" s="2779"/>
      <c r="G93" s="2779"/>
      <c r="H93" s="2779"/>
      <c r="I93" s="2779"/>
      <c r="J93" s="2780"/>
    </row>
    <row r="94" spans="1:11" ht="12" customHeight="1" thickBot="1">
      <c r="A94" s="2751" t="str">
        <f>"Hvis brug for flere rækker - kan disse indsættes imellem række "&amp;L100&amp;-L107&amp;""</f>
        <v>Hvis brug for flere rækker - kan disse indsættes imellem række 100-107</v>
      </c>
      <c r="B94" s="2752"/>
      <c r="C94" s="2752"/>
      <c r="D94" s="2752"/>
      <c r="E94" s="2752"/>
      <c r="F94" s="2752"/>
      <c r="G94" s="2752"/>
      <c r="H94" s="2752"/>
      <c r="I94" s="2752"/>
      <c r="J94" s="2753"/>
    </row>
    <row r="95" spans="1:11" ht="18" customHeight="1">
      <c r="A95" s="1445" t="s">
        <v>432</v>
      </c>
      <c r="B95" s="1446" t="s">
        <v>433</v>
      </c>
      <c r="C95" s="913"/>
      <c r="D95" s="2749"/>
      <c r="E95" s="2749"/>
      <c r="F95" s="2750"/>
      <c r="G95" s="1447" t="s">
        <v>434</v>
      </c>
      <c r="H95" s="1447">
        <f>budgetår</f>
        <v>2025</v>
      </c>
      <c r="I95" s="1448">
        <f>budgetår+1</f>
        <v>2026</v>
      </c>
      <c r="J95" s="2781"/>
    </row>
    <row r="96" spans="1:11" ht="18" customHeight="1">
      <c r="A96" s="1449">
        <v>1</v>
      </c>
      <c r="B96" s="2746" t="s">
        <v>435</v>
      </c>
      <c r="C96" s="2747"/>
      <c r="D96" s="2747"/>
      <c r="E96" s="2747"/>
      <c r="F96" s="2748"/>
      <c r="G96" s="1450"/>
      <c r="H96" s="1451"/>
      <c r="I96" s="1451"/>
      <c r="J96" s="2782"/>
    </row>
    <row r="97" spans="1:12" ht="14" customHeight="1">
      <c r="A97" s="1449">
        <v>2</v>
      </c>
      <c r="B97" s="2743" t="s">
        <v>436</v>
      </c>
      <c r="C97" s="2744"/>
      <c r="D97" s="2744"/>
      <c r="E97" s="2744"/>
      <c r="F97" s="2745"/>
      <c r="G97" s="1452"/>
      <c r="H97" s="1453" t="str">
        <f>IF(Hovedskema!F8=0,"0",Daginstitution!S37+Daginstitution!S45)</f>
        <v>0</v>
      </c>
      <c r="I97" s="1454" t="str">
        <f>IF(Hovedskema!G8=0,"0",(H97/Hovedskema!F8*Hovedskema!G8)/Daginstitution!E3*Daginstitution!E4)</f>
        <v>0</v>
      </c>
      <c r="J97" s="2782"/>
    </row>
    <row r="98" spans="1:12" ht="14" customHeight="1">
      <c r="A98" s="1449">
        <v>3</v>
      </c>
      <c r="B98" s="2743" t="s">
        <v>437</v>
      </c>
      <c r="C98" s="2744"/>
      <c r="D98" s="2744"/>
      <c r="E98" s="2744"/>
      <c r="F98" s="2745"/>
      <c r="G98" s="1452"/>
      <c r="H98" s="1453" t="str">
        <f>IF(Hovedskema!F9=0,"0",Daginstitution!S90+Daginstitution!S98)</f>
        <v>0</v>
      </c>
      <c r="I98" s="1455" t="str">
        <f>IF(Hovedskema!G9=0,"0",(H98/Hovedskema!F9*Hovedskema!G9)/Daginstitution!E56*Daginstitution!E57)</f>
        <v>0</v>
      </c>
      <c r="J98" s="2782"/>
    </row>
    <row r="99" spans="1:12" ht="14" customHeight="1">
      <c r="A99" s="1449">
        <v>4</v>
      </c>
      <c r="B99" s="2743" t="s">
        <v>438</v>
      </c>
      <c r="C99" s="2744"/>
      <c r="D99" s="2744"/>
      <c r="E99" s="2744"/>
      <c r="F99" s="2745"/>
      <c r="G99" s="1456"/>
      <c r="H99" s="1457">
        <f>IF('Heltids SFO'!M12&gt;0,'Heltids SFO'!M12+'Heltids SFO'!M20,0)</f>
        <v>0</v>
      </c>
      <c r="I99" s="1458">
        <f>IF(Hovedskema!G20&gt;0,Hovedskema!G20,0)</f>
        <v>0</v>
      </c>
      <c r="J99" s="2782"/>
    </row>
    <row r="100" spans="1:12" ht="14" customHeight="1">
      <c r="A100" s="1449">
        <v>5</v>
      </c>
      <c r="B100" s="2772" t="s">
        <v>439</v>
      </c>
      <c r="C100" s="2747"/>
      <c r="D100" s="2747"/>
      <c r="E100" s="2747"/>
      <c r="F100" s="2748"/>
      <c r="G100" s="1459"/>
      <c r="H100" s="1460"/>
      <c r="I100" s="1451"/>
      <c r="J100" s="2782"/>
      <c r="L100" s="359">
        <f>ROW(K100)</f>
        <v>100</v>
      </c>
    </row>
    <row r="101" spans="1:12" ht="14" customHeight="1">
      <c r="A101" s="1449">
        <v>6</v>
      </c>
      <c r="B101" s="2772" t="s">
        <v>440</v>
      </c>
      <c r="C101" s="2747"/>
      <c r="D101" s="2747"/>
      <c r="E101" s="2747"/>
      <c r="F101" s="2748"/>
      <c r="G101" s="1459"/>
      <c r="H101" s="1460"/>
      <c r="I101" s="1451"/>
      <c r="J101" s="2782"/>
    </row>
    <row r="102" spans="1:12" ht="14" customHeight="1">
      <c r="A102" s="1449">
        <v>7</v>
      </c>
      <c r="B102" s="2772" t="s">
        <v>441</v>
      </c>
      <c r="C102" s="2747"/>
      <c r="D102" s="2747"/>
      <c r="E102" s="2747"/>
      <c r="F102" s="2748"/>
      <c r="G102" s="1459"/>
      <c r="H102" s="1460"/>
      <c r="I102" s="1451"/>
      <c r="J102" s="2782"/>
    </row>
    <row r="103" spans="1:12" ht="14" customHeight="1">
      <c r="A103" s="1449">
        <v>8</v>
      </c>
      <c r="B103" s="2746" t="s">
        <v>442</v>
      </c>
      <c r="C103" s="2773"/>
      <c r="D103" s="2773"/>
      <c r="E103" s="2773"/>
      <c r="F103" s="2774"/>
      <c r="G103" s="1459"/>
      <c r="H103" s="1460"/>
      <c r="I103" s="1451"/>
      <c r="J103" s="2782"/>
    </row>
    <row r="104" spans="1:12" ht="14" customHeight="1">
      <c r="A104" s="1449">
        <v>9</v>
      </c>
      <c r="B104" s="2746" t="s">
        <v>1558</v>
      </c>
      <c r="C104" s="2773"/>
      <c r="D104" s="2773"/>
      <c r="E104" s="2773"/>
      <c r="F104" s="2774"/>
      <c r="G104" s="1459"/>
      <c r="H104" s="1460"/>
      <c r="I104" s="1451"/>
      <c r="J104" s="2782"/>
    </row>
    <row r="105" spans="1:12" ht="14" customHeight="1">
      <c r="A105" s="1449">
        <v>10</v>
      </c>
      <c r="B105" s="2772" t="s">
        <v>444</v>
      </c>
      <c r="C105" s="2747"/>
      <c r="D105" s="2747"/>
      <c r="E105" s="2747"/>
      <c r="F105" s="2748"/>
      <c r="G105" s="1459"/>
      <c r="H105" s="1460"/>
      <c r="I105" s="1451"/>
      <c r="J105" s="2782"/>
    </row>
    <row r="106" spans="1:12" ht="14" customHeight="1">
      <c r="A106" s="1449">
        <v>11</v>
      </c>
      <c r="B106" s="2772"/>
      <c r="C106" s="2747"/>
      <c r="D106" s="2747"/>
      <c r="E106" s="2747"/>
      <c r="F106" s="2748"/>
      <c r="G106" s="1459"/>
      <c r="H106" s="1460"/>
      <c r="I106" s="1451"/>
      <c r="J106" s="2782"/>
    </row>
    <row r="107" spans="1:12" ht="14" customHeight="1" thickBot="1">
      <c r="A107" s="1449">
        <v>12</v>
      </c>
      <c r="B107" s="2772"/>
      <c r="C107" s="2747"/>
      <c r="D107" s="2747"/>
      <c r="E107" s="2747"/>
      <c r="F107" s="2748"/>
      <c r="G107" s="1459"/>
      <c r="H107" s="1460"/>
      <c r="I107" s="1451"/>
      <c r="J107" s="2782"/>
      <c r="L107" s="359">
        <f>ROW(K107)</f>
        <v>107</v>
      </c>
    </row>
    <row r="108" spans="1:12" ht="18" customHeight="1" thickBot="1">
      <c r="A108" s="1461" t="s">
        <v>412</v>
      </c>
      <c r="B108" s="1462" t="s">
        <v>445</v>
      </c>
      <c r="C108" s="1463"/>
      <c r="D108" s="1463"/>
      <c r="E108" s="1463"/>
      <c r="F108" s="1464"/>
      <c r="G108" s="1464"/>
      <c r="H108" s="1464">
        <f>SUM(H97:H107)</f>
        <v>0</v>
      </c>
      <c r="I108" s="1464">
        <f>SUM(I97:I107)</f>
        <v>0</v>
      </c>
      <c r="J108" s="2783"/>
      <c r="K108" s="354"/>
      <c r="L108" s="359"/>
    </row>
    <row r="109" spans="1:12" ht="18" customHeight="1" thickBot="1">
      <c r="A109" s="2778" t="s">
        <v>446</v>
      </c>
      <c r="B109" s="2779"/>
      <c r="C109" s="2779"/>
      <c r="D109" s="2779"/>
      <c r="E109" s="2779"/>
      <c r="F109" s="2779"/>
      <c r="G109" s="2779"/>
      <c r="H109" s="2779"/>
      <c r="I109" s="2779"/>
      <c r="J109" s="2780"/>
      <c r="L109" s="359"/>
    </row>
    <row r="110" spans="1:12" ht="12" customHeight="1" thickBot="1">
      <c r="A110" s="2751" t="str">
        <f>"Hvis brug for flere rækker - kan disse indsættes imellem række "&amp;L118&amp;-L147&amp;""</f>
        <v>Hvis brug for flere rækker - kan disse indsættes imellem række 118-147</v>
      </c>
      <c r="B110" s="2752"/>
      <c r="C110" s="2752"/>
      <c r="D110" s="2752"/>
      <c r="E110" s="2752"/>
      <c r="F110" s="2752"/>
      <c r="G110" s="2752"/>
      <c r="H110" s="2752"/>
      <c r="I110" s="2752"/>
      <c r="J110" s="2753"/>
      <c r="L110" s="359"/>
    </row>
    <row r="111" spans="1:12" ht="18" customHeight="1">
      <c r="A111" s="1445" t="s">
        <v>432</v>
      </c>
      <c r="B111" s="1446" t="s">
        <v>433</v>
      </c>
      <c r="C111" s="913"/>
      <c r="D111" s="2749"/>
      <c r="E111" s="2749"/>
      <c r="F111" s="2750"/>
      <c r="G111" s="1447" t="s">
        <v>434</v>
      </c>
      <c r="H111" s="1465">
        <f>budgetår</f>
        <v>2025</v>
      </c>
      <c r="I111" s="1466">
        <f>budgetår+1</f>
        <v>2026</v>
      </c>
      <c r="J111" s="357"/>
      <c r="L111" s="359"/>
    </row>
    <row r="112" spans="1:12">
      <c r="A112" s="1467">
        <v>1</v>
      </c>
      <c r="B112" s="2775" t="s">
        <v>447</v>
      </c>
      <c r="C112" s="2776"/>
      <c r="D112" s="2776"/>
      <c r="E112" s="2776"/>
      <c r="F112" s="2777"/>
      <c r="G112" s="1470"/>
      <c r="H112" s="1471" t="str">
        <f>IF(Hovedskema!F8=0,"0",(Daginstitution!T37))</f>
        <v>0</v>
      </c>
      <c r="I112" s="1471" t="str">
        <f>IF(Hovedskema!G8=0,"0",(Daginstitution!T37/Daginstitution!T3*Daginstitution!T4)/Hovedskema!F8*Hovedskema!G8)</f>
        <v>0</v>
      </c>
      <c r="J112" s="322"/>
      <c r="L112" s="359"/>
    </row>
    <row r="113" spans="1:12">
      <c r="A113" s="1467">
        <f>A112+1</f>
        <v>2</v>
      </c>
      <c r="B113" s="2757" t="s">
        <v>448</v>
      </c>
      <c r="C113" s="2758"/>
      <c r="D113" s="2758"/>
      <c r="E113" s="2758"/>
      <c r="F113" s="2759"/>
      <c r="G113" s="1470"/>
      <c r="H113" s="1471" t="str">
        <f>IF(Hovedskema!F9=0,"0",(Daginstitution!T90))</f>
        <v>0</v>
      </c>
      <c r="I113" s="1471" t="str">
        <f>IF(Hovedskema!G9=0,"0",(Daginstitution!T90/Daginstitution!T56*Daginstitution!T57/Hovedskema!F9*Hovedskema!G9))</f>
        <v>0</v>
      </c>
      <c r="J113" s="322"/>
      <c r="L113" s="359"/>
    </row>
    <row r="114" spans="1:12">
      <c r="A114" s="1467">
        <v>3</v>
      </c>
      <c r="B114" s="1472" t="s">
        <v>449</v>
      </c>
      <c r="C114" s="1468"/>
      <c r="D114" s="1468"/>
      <c r="E114" s="1468"/>
      <c r="F114" s="1469"/>
      <c r="G114" s="1470"/>
      <c r="H114" s="1473">
        <f>'Heltids SFO'!N12</f>
        <v>0</v>
      </c>
      <c r="I114" s="1474">
        <f>IF(Hovedskema!G27&gt;0,Hovedskema!G27,0)</f>
        <v>0</v>
      </c>
      <c r="J114" s="322"/>
      <c r="L114" s="359"/>
    </row>
    <row r="115" spans="1:12">
      <c r="A115" s="1467">
        <v>4</v>
      </c>
      <c r="B115" s="2757" t="s">
        <v>450</v>
      </c>
      <c r="C115" s="2758"/>
      <c r="D115" s="2758"/>
      <c r="E115" s="2758"/>
      <c r="F115" s="2759"/>
      <c r="G115" s="1470"/>
      <c r="H115" s="1473">
        <f>Daginstitution!S53</f>
        <v>0</v>
      </c>
      <c r="I115" s="1471" t="str">
        <f>IF(Hovedskema!G8=0,"0",(H115/Hovedskema!F8*Hovedskema!G8))</f>
        <v>0</v>
      </c>
      <c r="J115" s="322"/>
      <c r="L115" s="359"/>
    </row>
    <row r="116" spans="1:12">
      <c r="A116" s="1467">
        <v>5</v>
      </c>
      <c r="B116" s="2757" t="s">
        <v>451</v>
      </c>
      <c r="C116" s="2758"/>
      <c r="D116" s="2758"/>
      <c r="E116" s="2758"/>
      <c r="F116" s="2759"/>
      <c r="G116" s="1470"/>
      <c r="H116" s="1473">
        <f>Daginstitution!S106</f>
        <v>0</v>
      </c>
      <c r="I116" s="1471" t="str">
        <f>IF(Hovedskema!G9=0,"0",(H116/Hovedskema!F9*Hovedskema!G9))</f>
        <v>0</v>
      </c>
      <c r="J116" s="322"/>
      <c r="L116" s="359"/>
    </row>
    <row r="117" spans="1:12">
      <c r="A117" s="1467">
        <v>6</v>
      </c>
      <c r="B117" s="2757" t="s">
        <v>452</v>
      </c>
      <c r="C117" s="2758"/>
      <c r="D117" s="2758"/>
      <c r="E117" s="2758"/>
      <c r="F117" s="2759"/>
      <c r="G117" s="1470"/>
      <c r="H117" s="1473">
        <f>'Heltids SFO'!M28</f>
        <v>0</v>
      </c>
      <c r="I117" s="1474">
        <f>IF('Heltids SFO'!M28&gt;0,'Heltids SFO'!M28/Hovedskema!F7*Hovedskema!G7,0)</f>
        <v>0</v>
      </c>
      <c r="J117" s="322"/>
      <c r="L117" s="359"/>
    </row>
    <row r="118" spans="1:12">
      <c r="A118" s="1467">
        <v>7</v>
      </c>
      <c r="B118" s="2760" t="s">
        <v>453</v>
      </c>
      <c r="C118" s="2761"/>
      <c r="D118" s="2761"/>
      <c r="E118" s="2761"/>
      <c r="F118" s="2762"/>
      <c r="G118" s="1475"/>
      <c r="H118" s="1476"/>
      <c r="I118" s="1476"/>
      <c r="J118" s="322"/>
      <c r="L118" s="359">
        <f>ROW(K118)</f>
        <v>118</v>
      </c>
    </row>
    <row r="119" spans="1:12">
      <c r="A119" s="1467">
        <v>8</v>
      </c>
      <c r="B119" s="2760" t="s">
        <v>454</v>
      </c>
      <c r="C119" s="2761"/>
      <c r="D119" s="2761"/>
      <c r="E119" s="2761"/>
      <c r="F119" s="2762"/>
      <c r="G119" s="1475"/>
      <c r="H119" s="1476"/>
      <c r="I119" s="1476"/>
      <c r="J119" s="322"/>
    </row>
    <row r="120" spans="1:12">
      <c r="A120" s="1467">
        <v>9</v>
      </c>
      <c r="B120" s="2766" t="s">
        <v>455</v>
      </c>
      <c r="C120" s="2767"/>
      <c r="D120" s="2767"/>
      <c r="E120" s="2767"/>
      <c r="F120" s="2768"/>
      <c r="G120" s="1470"/>
      <c r="H120" s="1478"/>
      <c r="I120" s="1476"/>
      <c r="J120" s="322"/>
    </row>
    <row r="121" spans="1:12">
      <c r="A121" s="1467">
        <f>A120+1</f>
        <v>10</v>
      </c>
      <c r="B121" s="2769" t="s">
        <v>456</v>
      </c>
      <c r="C121" s="2770"/>
      <c r="D121" s="2770"/>
      <c r="E121" s="2770"/>
      <c r="F121" s="2771"/>
      <c r="G121" s="1470"/>
      <c r="H121" s="1478"/>
      <c r="I121" s="1476"/>
      <c r="J121" s="322"/>
    </row>
    <row r="122" spans="1:12">
      <c r="A122" s="1467">
        <v>11</v>
      </c>
      <c r="B122" s="2763" t="s">
        <v>457</v>
      </c>
      <c r="C122" s="2764"/>
      <c r="D122" s="2764"/>
      <c r="E122" s="2764"/>
      <c r="F122" s="2765"/>
      <c r="G122" s="1470"/>
      <c r="H122" s="1478"/>
      <c r="I122" s="1476"/>
      <c r="J122" s="322"/>
    </row>
    <row r="123" spans="1:12">
      <c r="A123" s="1467">
        <v>12</v>
      </c>
      <c r="B123" s="2766" t="s">
        <v>458</v>
      </c>
      <c r="C123" s="2764"/>
      <c r="D123" s="2764"/>
      <c r="E123" s="2764"/>
      <c r="F123" s="2765"/>
      <c r="G123" s="1470"/>
      <c r="H123" s="1478"/>
      <c r="I123" s="1476"/>
      <c r="J123" s="322"/>
    </row>
    <row r="124" spans="1:12">
      <c r="A124" s="1467">
        <v>13</v>
      </c>
      <c r="B124" s="2766" t="s">
        <v>459</v>
      </c>
      <c r="C124" s="2764"/>
      <c r="D124" s="2764"/>
      <c r="E124" s="2764"/>
      <c r="F124" s="2765"/>
      <c r="G124" s="1470"/>
      <c r="H124" s="1478"/>
      <c r="I124" s="1476"/>
      <c r="J124" s="322"/>
    </row>
    <row r="125" spans="1:12">
      <c r="A125" s="1467">
        <v>14</v>
      </c>
      <c r="B125" s="2763" t="s">
        <v>460</v>
      </c>
      <c r="C125" s="2764"/>
      <c r="D125" s="2764"/>
      <c r="E125" s="2764"/>
      <c r="F125" s="2765"/>
      <c r="G125" s="1470"/>
      <c r="H125" s="1460"/>
      <c r="I125" s="1451"/>
      <c r="J125" s="322"/>
    </row>
    <row r="126" spans="1:12">
      <c r="A126" s="1467">
        <v>15</v>
      </c>
      <c r="B126" s="2766" t="s">
        <v>461</v>
      </c>
      <c r="C126" s="2767"/>
      <c r="D126" s="2767"/>
      <c r="E126" s="2767"/>
      <c r="F126" s="2768"/>
      <c r="G126" s="1470"/>
      <c r="H126" s="1478"/>
      <c r="I126" s="1476"/>
      <c r="J126" s="322"/>
    </row>
    <row r="127" spans="1:12">
      <c r="A127" s="1467">
        <v>16</v>
      </c>
      <c r="B127" s="2766" t="s">
        <v>462</v>
      </c>
      <c r="C127" s="2767"/>
      <c r="D127" s="2767"/>
      <c r="E127" s="2767"/>
      <c r="F127" s="2768"/>
      <c r="G127" s="1470"/>
      <c r="H127" s="1478"/>
      <c r="I127" s="1476"/>
      <c r="J127" s="322"/>
    </row>
    <row r="128" spans="1:12">
      <c r="A128" s="1467">
        <v>17</v>
      </c>
      <c r="B128" s="2769" t="s">
        <v>463</v>
      </c>
      <c r="C128" s="2770"/>
      <c r="D128" s="2770"/>
      <c r="E128" s="2770"/>
      <c r="F128" s="2771"/>
      <c r="G128" s="1470"/>
      <c r="H128" s="1478"/>
      <c r="I128" s="1476"/>
      <c r="J128" s="322"/>
    </row>
    <row r="129" spans="1:11">
      <c r="A129" s="1467">
        <v>18</v>
      </c>
      <c r="B129" s="2766" t="s">
        <v>464</v>
      </c>
      <c r="C129" s="2764"/>
      <c r="D129" s="2764"/>
      <c r="E129" s="2764"/>
      <c r="F129" s="2765"/>
      <c r="G129" s="1470"/>
      <c r="H129" s="1478"/>
      <c r="I129" s="1476"/>
      <c r="J129" s="322"/>
    </row>
    <row r="130" spans="1:11">
      <c r="A130" s="1467">
        <v>19</v>
      </c>
      <c r="B130" s="2766" t="s">
        <v>465</v>
      </c>
      <c r="C130" s="2764"/>
      <c r="D130" s="2764"/>
      <c r="E130" s="2764"/>
      <c r="F130" s="2765"/>
      <c r="G130" s="1470"/>
      <c r="H130" s="1478"/>
      <c r="I130" s="1476"/>
      <c r="J130" s="322"/>
    </row>
    <row r="131" spans="1:11">
      <c r="A131" s="1467">
        <v>20</v>
      </c>
      <c r="B131" s="2754" t="s">
        <v>466</v>
      </c>
      <c r="C131" s="2755"/>
      <c r="D131" s="2755"/>
      <c r="E131" s="2755"/>
      <c r="F131" s="2756"/>
      <c r="G131" s="1470"/>
      <c r="H131" s="1478"/>
      <c r="I131" s="1476"/>
      <c r="J131" s="322"/>
    </row>
    <row r="132" spans="1:11">
      <c r="A132" s="1467">
        <v>21</v>
      </c>
      <c r="B132" s="2763" t="s">
        <v>467</v>
      </c>
      <c r="C132" s="2767"/>
      <c r="D132" s="2767"/>
      <c r="E132" s="2767"/>
      <c r="F132" s="2768"/>
      <c r="G132" s="1470"/>
      <c r="H132" s="1478"/>
      <c r="I132" s="1476"/>
      <c r="J132" s="322"/>
    </row>
    <row r="133" spans="1:11">
      <c r="A133" s="1467">
        <v>22</v>
      </c>
      <c r="B133" s="2766" t="s">
        <v>455</v>
      </c>
      <c r="C133" s="2767"/>
      <c r="D133" s="2767"/>
      <c r="E133" s="2767"/>
      <c r="F133" s="2768"/>
      <c r="G133" s="1470"/>
      <c r="H133" s="1478"/>
      <c r="I133" s="1476"/>
      <c r="J133" s="345"/>
    </row>
    <row r="134" spans="1:11">
      <c r="A134" s="1467">
        <v>23</v>
      </c>
      <c r="B134" s="1479" t="s">
        <v>468</v>
      </c>
      <c r="C134" s="1480"/>
      <c r="D134" s="1480"/>
      <c r="E134" s="1480"/>
      <c r="F134" s="1481"/>
      <c r="G134" s="1470"/>
      <c r="H134" s="1478"/>
      <c r="I134" s="1476"/>
      <c r="J134" s="345"/>
    </row>
    <row r="135" spans="1:11">
      <c r="A135" s="1467">
        <v>24</v>
      </c>
      <c r="B135" s="1477" t="s">
        <v>469</v>
      </c>
      <c r="C135" s="1483"/>
      <c r="D135" s="1483"/>
      <c r="E135" s="1483"/>
      <c r="F135" s="1484"/>
      <c r="G135" s="1470"/>
      <c r="H135" s="1478"/>
      <c r="I135" s="1476"/>
      <c r="J135" s="345"/>
    </row>
    <row r="136" spans="1:11">
      <c r="A136" s="1467">
        <v>25</v>
      </c>
      <c r="B136" s="1477" t="s">
        <v>470</v>
      </c>
      <c r="C136" s="1483"/>
      <c r="D136" s="1483"/>
      <c r="E136" s="1483"/>
      <c r="F136" s="1484"/>
      <c r="G136" s="1470"/>
      <c r="H136" s="1478"/>
      <c r="I136" s="1476"/>
      <c r="J136" s="345"/>
    </row>
    <row r="137" spans="1:11">
      <c r="A137" s="1467">
        <v>26</v>
      </c>
      <c r="B137" s="1482" t="s">
        <v>471</v>
      </c>
      <c r="C137" s="1483"/>
      <c r="D137" s="1483"/>
      <c r="E137" s="1483"/>
      <c r="F137" s="1484"/>
      <c r="G137" s="1470"/>
      <c r="H137" s="1478"/>
      <c r="I137" s="1476"/>
      <c r="J137" s="345"/>
    </row>
    <row r="138" spans="1:11">
      <c r="A138" s="1467">
        <v>27</v>
      </c>
      <c r="B138" s="2763" t="s">
        <v>472</v>
      </c>
      <c r="C138" s="2764"/>
      <c r="D138" s="2764"/>
      <c r="E138" s="2764"/>
      <c r="F138" s="2765"/>
      <c r="G138" s="1470"/>
      <c r="H138" s="1478"/>
      <c r="I138" s="1476"/>
      <c r="J138" s="345"/>
    </row>
    <row r="139" spans="1:11">
      <c r="A139" s="1467">
        <v>28</v>
      </c>
      <c r="B139" s="2766"/>
      <c r="C139" s="2764"/>
      <c r="D139" s="2764"/>
      <c r="E139" s="2764"/>
      <c r="F139" s="2765"/>
      <c r="G139" s="1470"/>
      <c r="H139" s="1478"/>
      <c r="I139" s="1476"/>
      <c r="J139" s="345"/>
      <c r="K139" s="23"/>
    </row>
    <row r="140" spans="1:11">
      <c r="A140" s="1467">
        <v>29</v>
      </c>
      <c r="B140" s="2766"/>
      <c r="C140" s="2784"/>
      <c r="D140" s="2784"/>
      <c r="E140" s="2784"/>
      <c r="F140" s="2785"/>
      <c r="G140" s="1470"/>
      <c r="H140" s="1478"/>
      <c r="I140" s="1478"/>
      <c r="J140" s="345"/>
      <c r="K140" s="23"/>
    </row>
    <row r="141" spans="1:11">
      <c r="A141" s="1467">
        <f>A140+1</f>
        <v>30</v>
      </c>
      <c r="B141" s="2766"/>
      <c r="C141" s="2784"/>
      <c r="D141" s="2784"/>
      <c r="E141" s="2784"/>
      <c r="F141" s="2785"/>
      <c r="G141" s="1470"/>
      <c r="H141" s="1478"/>
      <c r="I141" s="1478"/>
      <c r="J141" s="345"/>
    </row>
    <row r="142" spans="1:11">
      <c r="A142" s="1467">
        <v>31</v>
      </c>
      <c r="B142" s="2766"/>
      <c r="C142" s="2784"/>
      <c r="D142" s="2784"/>
      <c r="E142" s="2784"/>
      <c r="F142" s="2785"/>
      <c r="G142" s="1470"/>
      <c r="H142" s="1478"/>
      <c r="I142" s="1478"/>
      <c r="J142" s="345"/>
    </row>
    <row r="143" spans="1:11">
      <c r="A143" s="1467">
        <v>32</v>
      </c>
      <c r="B143" s="2766"/>
      <c r="C143" s="2784"/>
      <c r="D143" s="2784"/>
      <c r="E143" s="2784"/>
      <c r="F143" s="2785"/>
      <c r="G143" s="1470"/>
      <c r="H143" s="1478"/>
      <c r="I143" s="1478"/>
      <c r="J143" s="345"/>
    </row>
    <row r="144" spans="1:11">
      <c r="A144" s="1467">
        <v>33</v>
      </c>
      <c r="B144" s="2766"/>
      <c r="C144" s="2784"/>
      <c r="D144" s="2784"/>
      <c r="E144" s="2784"/>
      <c r="F144" s="2785"/>
      <c r="G144" s="1470"/>
      <c r="H144" s="1478"/>
      <c r="I144" s="1478"/>
      <c r="J144" s="345"/>
    </row>
    <row r="145" spans="1:12">
      <c r="A145" s="1467">
        <v>34</v>
      </c>
      <c r="B145" s="2766"/>
      <c r="C145" s="2784"/>
      <c r="D145" s="2784"/>
      <c r="E145" s="2784"/>
      <c r="F145" s="2785"/>
      <c r="G145" s="1470"/>
      <c r="H145" s="1478"/>
      <c r="I145" s="1478"/>
      <c r="J145" s="345"/>
    </row>
    <row r="146" spans="1:12">
      <c r="A146" s="1467">
        <v>35</v>
      </c>
      <c r="B146" s="2766"/>
      <c r="C146" s="2784"/>
      <c r="D146" s="2784"/>
      <c r="E146" s="2784"/>
      <c r="F146" s="2785"/>
      <c r="G146" s="1470"/>
      <c r="H146" s="1478"/>
      <c r="I146" s="1478"/>
      <c r="J146" s="345"/>
    </row>
    <row r="147" spans="1:12" ht="14" thickBot="1">
      <c r="A147" s="1467">
        <v>36</v>
      </c>
      <c r="B147" s="2786"/>
      <c r="C147" s="2787"/>
      <c r="D147" s="2787"/>
      <c r="E147" s="2787"/>
      <c r="F147" s="2788"/>
      <c r="G147" s="1485"/>
      <c r="H147" s="1486"/>
      <c r="I147" s="1486"/>
      <c r="J147" s="322"/>
      <c r="L147" s="359">
        <f>ROW(K147)</f>
        <v>147</v>
      </c>
    </row>
    <row r="148" spans="1:12" ht="17" thickBot="1">
      <c r="A148" s="1461" t="s">
        <v>412</v>
      </c>
      <c r="B148" s="1462" t="s">
        <v>473</v>
      </c>
      <c r="C148" s="1463"/>
      <c r="D148" s="1463"/>
      <c r="E148" s="1463"/>
      <c r="F148" s="1464"/>
      <c r="G148" s="1464"/>
      <c r="H148" s="1464">
        <f>SUM(H112:H147)</f>
        <v>0</v>
      </c>
      <c r="I148" s="1464">
        <f>SUM(I112:I147)</f>
        <v>0</v>
      </c>
      <c r="J148" s="1487"/>
      <c r="K148" s="354"/>
    </row>
    <row r="149" spans="1:12">
      <c r="A149"/>
      <c r="B149"/>
      <c r="C149"/>
      <c r="D149"/>
      <c r="E149"/>
      <c r="F149"/>
      <c r="G149"/>
      <c r="H149"/>
    </row>
    <row r="150" spans="1:12">
      <c r="B150"/>
      <c r="C150"/>
    </row>
    <row r="151" spans="1:12">
      <c r="B151" s="2789"/>
      <c r="C151" s="2789"/>
      <c r="D151" s="25"/>
    </row>
    <row r="152" spans="1:12">
      <c r="B152" s="26"/>
      <c r="C152" s="26"/>
      <c r="D152" s="25"/>
    </row>
  </sheetData>
  <sheetProtection sheet="1" formatCells="0" formatColumns="0" formatRows="0"/>
  <mergeCells count="66">
    <mergeCell ref="A2:J2"/>
    <mergeCell ref="A17:J17"/>
    <mergeCell ref="A36:J36"/>
    <mergeCell ref="A93:J93"/>
    <mergeCell ref="A51:J51"/>
    <mergeCell ref="B34:F34"/>
    <mergeCell ref="B68:F68"/>
    <mergeCell ref="A70:J70"/>
    <mergeCell ref="A3:B3"/>
    <mergeCell ref="D3:J3"/>
    <mergeCell ref="A37:B37"/>
    <mergeCell ref="D37:J37"/>
    <mergeCell ref="A71:B71"/>
    <mergeCell ref="D71:J71"/>
    <mergeCell ref="B91:F91"/>
    <mergeCell ref="A81:J81"/>
    <mergeCell ref="B146:F146"/>
    <mergeCell ref="B147:F147"/>
    <mergeCell ref="B151:C151"/>
    <mergeCell ref="B138:F138"/>
    <mergeCell ref="B144:F144"/>
    <mergeCell ref="B141:F141"/>
    <mergeCell ref="B142:F142"/>
    <mergeCell ref="B143:F143"/>
    <mergeCell ref="B139:F139"/>
    <mergeCell ref="B140:F140"/>
    <mergeCell ref="B145:F145"/>
    <mergeCell ref="B132:F132"/>
    <mergeCell ref="B133:F133"/>
    <mergeCell ref="D95:F95"/>
    <mergeCell ref="B118:F118"/>
    <mergeCell ref="B120:F120"/>
    <mergeCell ref="B121:F121"/>
    <mergeCell ref="B122:F122"/>
    <mergeCell ref="B123:F123"/>
    <mergeCell ref="B124:F124"/>
    <mergeCell ref="B112:F112"/>
    <mergeCell ref="B117:F117"/>
    <mergeCell ref="B106:F106"/>
    <mergeCell ref="B107:F107"/>
    <mergeCell ref="A109:J109"/>
    <mergeCell ref="J95:J108"/>
    <mergeCell ref="B98:F98"/>
    <mergeCell ref="B130:F130"/>
    <mergeCell ref="B100:F100"/>
    <mergeCell ref="B101:F101"/>
    <mergeCell ref="B102:F102"/>
    <mergeCell ref="B105:F105"/>
    <mergeCell ref="B103:F103"/>
    <mergeCell ref="B104:F104"/>
    <mergeCell ref="B99:F99"/>
    <mergeCell ref="B96:F96"/>
    <mergeCell ref="D111:F111"/>
    <mergeCell ref="A94:J94"/>
    <mergeCell ref="B131:F131"/>
    <mergeCell ref="B115:F115"/>
    <mergeCell ref="B116:F116"/>
    <mergeCell ref="B113:F113"/>
    <mergeCell ref="B119:F119"/>
    <mergeCell ref="B125:F125"/>
    <mergeCell ref="B126:F126"/>
    <mergeCell ref="B127:F127"/>
    <mergeCell ref="B128:F128"/>
    <mergeCell ref="B129:F129"/>
    <mergeCell ref="A110:J110"/>
    <mergeCell ref="B97:F97"/>
  </mergeCells>
  <phoneticPr fontId="55" type="noConversion"/>
  <dataValidations count="5">
    <dataValidation type="whole" allowBlank="1" showInputMessage="1" showErrorMessage="1" sqref="I33 I67" xr:uid="{00000000-0002-0000-0600-000000000000}">
      <formula1>-1000000</formula1>
      <formula2>0</formula2>
    </dataValidation>
    <dataValidation type="decimal" allowBlank="1" showInputMessage="1" showErrorMessage="1" sqref="F6:F15" xr:uid="{00000000-0002-0000-0600-000001000000}">
      <formula1>1</formula1>
      <formula2>7</formula2>
    </dataValidation>
    <dataValidation type="decimal" allowBlank="1" showInputMessage="1" showErrorMessage="1" sqref="F20:F29" xr:uid="{00000000-0002-0000-0600-000002000000}">
      <formula1>1</formula1>
      <formula2>5</formula2>
    </dataValidation>
    <dataValidation type="decimal" allowBlank="1" showInputMessage="1" showErrorMessage="1" sqref="F74:F79 F40:F49" xr:uid="{00000000-0002-0000-0600-000003000000}">
      <formula1>0</formula1>
      <formula2>7</formula2>
    </dataValidation>
    <dataValidation type="decimal" allowBlank="1" showInputMessage="1" showErrorMessage="1" sqref="F84:F89 F54:F63" xr:uid="{00000000-0002-0000-0600-000004000000}">
      <formula1>0</formula1>
      <formula2>5</formula2>
    </dataValidation>
  </dataValidations>
  <printOptions horizontalCentered="1"/>
  <pageMargins left="0.67" right="0.67" top="0.98" bottom="0.83" header="0.51" footer="0.51"/>
  <pageSetup paperSize="9" scale="83" orientation="portrait" horizontalDpi="4294967292" verticalDpi="4294967292"/>
  <headerFooter alignWithMargins="0">
    <oddHeader>&amp;C&amp;"Arial,Fed"&amp;12Skolepenge og øvrige indtægter</oddHeader>
    <oddFooter>&amp;L&amp;G&amp;R
&amp;D
&amp;A</oddFooter>
  </headerFooter>
  <rowBreaks count="3" manualBreakCount="3">
    <brk id="34" max="16383" man="1"/>
    <brk id="68" max="16383" man="1"/>
    <brk id="91" max="16383" man="1"/>
  </rowBreaks>
  <colBreaks count="1" manualBreakCount="1">
    <brk id="10" max="1048575" man="1"/>
  </colBreaks>
  <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tabColor rgb="FFFF0000"/>
    <pageSetUpPr fitToPage="1"/>
  </sheetPr>
  <dimension ref="A1:BP243"/>
  <sheetViews>
    <sheetView zoomScale="110" zoomScaleNormal="110" zoomScaleSheetLayoutView="100" workbookViewId="0">
      <pane xSplit="2" ySplit="3" topLeftCell="C4" activePane="bottomRight" state="frozen"/>
      <selection pane="topRight" activeCell="A40" sqref="A40:B40"/>
      <selection pane="bottomLeft" activeCell="A40" sqref="A40:B40"/>
      <selection pane="bottomRight" activeCell="C39" sqref="C39"/>
    </sheetView>
  </sheetViews>
  <sheetFormatPr baseColWidth="10" defaultColWidth="21" defaultRowHeight="13"/>
  <cols>
    <col min="1" max="1" width="3.83203125" style="66" customWidth="1"/>
    <col min="2" max="2" width="84" style="63" customWidth="1"/>
    <col min="3" max="30" width="16.5" style="68" customWidth="1"/>
    <col min="31" max="31" width="44.5" style="63" customWidth="1"/>
    <col min="32" max="32" width="34.83203125" style="63" customWidth="1"/>
    <col min="33" max="269" width="21" style="63"/>
    <col min="270" max="270" width="2.5" style="63" customWidth="1"/>
    <col min="271" max="271" width="31" style="63" customWidth="1"/>
    <col min="272" max="272" width="11.1640625" style="63" customWidth="1"/>
    <col min="273" max="273" width="11" style="63" bestFit="1" customWidth="1"/>
    <col min="274" max="283" width="10" style="63" customWidth="1"/>
    <col min="284" max="284" width="44.5" style="63" customWidth="1"/>
    <col min="285" max="285" width="7.5" style="63" customWidth="1"/>
    <col min="286" max="525" width="21" style="63"/>
    <col min="526" max="526" width="2.5" style="63" customWidth="1"/>
    <col min="527" max="527" width="31" style="63" customWidth="1"/>
    <col min="528" max="528" width="11.1640625" style="63" customWidth="1"/>
    <col min="529" max="529" width="11" style="63" bestFit="1" customWidth="1"/>
    <col min="530" max="539" width="10" style="63" customWidth="1"/>
    <col min="540" max="540" width="44.5" style="63" customWidth="1"/>
    <col min="541" max="541" width="7.5" style="63" customWidth="1"/>
    <col min="542" max="781" width="21" style="63"/>
    <col min="782" max="782" width="2.5" style="63" customWidth="1"/>
    <col min="783" max="783" width="31" style="63" customWidth="1"/>
    <col min="784" max="784" width="11.1640625" style="63" customWidth="1"/>
    <col min="785" max="785" width="11" style="63" bestFit="1" customWidth="1"/>
    <col min="786" max="795" width="10" style="63" customWidth="1"/>
    <col min="796" max="796" width="44.5" style="63" customWidth="1"/>
    <col min="797" max="797" width="7.5" style="63" customWidth="1"/>
    <col min="798" max="1037" width="21" style="63"/>
    <col min="1038" max="1038" width="2.5" style="63" customWidth="1"/>
    <col min="1039" max="1039" width="31" style="63" customWidth="1"/>
    <col min="1040" max="1040" width="11.1640625" style="63" customWidth="1"/>
    <col min="1041" max="1041" width="11" style="63" bestFit="1" customWidth="1"/>
    <col min="1042" max="1051" width="10" style="63" customWidth="1"/>
    <col min="1052" max="1052" width="44.5" style="63" customWidth="1"/>
    <col min="1053" max="1053" width="7.5" style="63" customWidth="1"/>
    <col min="1054" max="1293" width="21" style="63"/>
    <col min="1294" max="1294" width="2.5" style="63" customWidth="1"/>
    <col min="1295" max="1295" width="31" style="63" customWidth="1"/>
    <col min="1296" max="1296" width="11.1640625" style="63" customWidth="1"/>
    <col min="1297" max="1297" width="11" style="63" bestFit="1" customWidth="1"/>
    <col min="1298" max="1307" width="10" style="63" customWidth="1"/>
    <col min="1308" max="1308" width="44.5" style="63" customWidth="1"/>
    <col min="1309" max="1309" width="7.5" style="63" customWidth="1"/>
    <col min="1310" max="1549" width="21" style="63"/>
    <col min="1550" max="1550" width="2.5" style="63" customWidth="1"/>
    <col min="1551" max="1551" width="31" style="63" customWidth="1"/>
    <col min="1552" max="1552" width="11.1640625" style="63" customWidth="1"/>
    <col min="1553" max="1553" width="11" style="63" bestFit="1" customWidth="1"/>
    <col min="1554" max="1563" width="10" style="63" customWidth="1"/>
    <col min="1564" max="1564" width="44.5" style="63" customWidth="1"/>
    <col min="1565" max="1565" width="7.5" style="63" customWidth="1"/>
    <col min="1566" max="1805" width="21" style="63"/>
    <col min="1806" max="1806" width="2.5" style="63" customWidth="1"/>
    <col min="1807" max="1807" width="31" style="63" customWidth="1"/>
    <col min="1808" max="1808" width="11.1640625" style="63" customWidth="1"/>
    <col min="1809" max="1809" width="11" style="63" bestFit="1" customWidth="1"/>
    <col min="1810" max="1819" width="10" style="63" customWidth="1"/>
    <col min="1820" max="1820" width="44.5" style="63" customWidth="1"/>
    <col min="1821" max="1821" width="7.5" style="63" customWidth="1"/>
    <col min="1822" max="2061" width="21" style="63"/>
    <col min="2062" max="2062" width="2.5" style="63" customWidth="1"/>
    <col min="2063" max="2063" width="31" style="63" customWidth="1"/>
    <col min="2064" max="2064" width="11.1640625" style="63" customWidth="1"/>
    <col min="2065" max="2065" width="11" style="63" bestFit="1" customWidth="1"/>
    <col min="2066" max="2075" width="10" style="63" customWidth="1"/>
    <col min="2076" max="2076" width="44.5" style="63" customWidth="1"/>
    <col min="2077" max="2077" width="7.5" style="63" customWidth="1"/>
    <col min="2078" max="2317" width="21" style="63"/>
    <col min="2318" max="2318" width="2.5" style="63" customWidth="1"/>
    <col min="2319" max="2319" width="31" style="63" customWidth="1"/>
    <col min="2320" max="2320" width="11.1640625" style="63" customWidth="1"/>
    <col min="2321" max="2321" width="11" style="63" bestFit="1" customWidth="1"/>
    <col min="2322" max="2331" width="10" style="63" customWidth="1"/>
    <col min="2332" max="2332" width="44.5" style="63" customWidth="1"/>
    <col min="2333" max="2333" width="7.5" style="63" customWidth="1"/>
    <col min="2334" max="2573" width="21" style="63"/>
    <col min="2574" max="2574" width="2.5" style="63" customWidth="1"/>
    <col min="2575" max="2575" width="31" style="63" customWidth="1"/>
    <col min="2576" max="2576" width="11.1640625" style="63" customWidth="1"/>
    <col min="2577" max="2577" width="11" style="63" bestFit="1" customWidth="1"/>
    <col min="2578" max="2587" width="10" style="63" customWidth="1"/>
    <col min="2588" max="2588" width="44.5" style="63" customWidth="1"/>
    <col min="2589" max="2589" width="7.5" style="63" customWidth="1"/>
    <col min="2590" max="2829" width="21" style="63"/>
    <col min="2830" max="2830" width="2.5" style="63" customWidth="1"/>
    <col min="2831" max="2831" width="31" style="63" customWidth="1"/>
    <col min="2832" max="2832" width="11.1640625" style="63" customWidth="1"/>
    <col min="2833" max="2833" width="11" style="63" bestFit="1" customWidth="1"/>
    <col min="2834" max="2843" width="10" style="63" customWidth="1"/>
    <col min="2844" max="2844" width="44.5" style="63" customWidth="1"/>
    <col min="2845" max="2845" width="7.5" style="63" customWidth="1"/>
    <col min="2846" max="3085" width="21" style="63"/>
    <col min="3086" max="3086" width="2.5" style="63" customWidth="1"/>
    <col min="3087" max="3087" width="31" style="63" customWidth="1"/>
    <col min="3088" max="3088" width="11.1640625" style="63" customWidth="1"/>
    <col min="3089" max="3089" width="11" style="63" bestFit="1" customWidth="1"/>
    <col min="3090" max="3099" width="10" style="63" customWidth="1"/>
    <col min="3100" max="3100" width="44.5" style="63" customWidth="1"/>
    <col min="3101" max="3101" width="7.5" style="63" customWidth="1"/>
    <col min="3102" max="3341" width="21" style="63"/>
    <col min="3342" max="3342" width="2.5" style="63" customWidth="1"/>
    <col min="3343" max="3343" width="31" style="63" customWidth="1"/>
    <col min="3344" max="3344" width="11.1640625" style="63" customWidth="1"/>
    <col min="3345" max="3345" width="11" style="63" bestFit="1" customWidth="1"/>
    <col min="3346" max="3355" width="10" style="63" customWidth="1"/>
    <col min="3356" max="3356" width="44.5" style="63" customWidth="1"/>
    <col min="3357" max="3357" width="7.5" style="63" customWidth="1"/>
    <col min="3358" max="3597" width="21" style="63"/>
    <col min="3598" max="3598" width="2.5" style="63" customWidth="1"/>
    <col min="3599" max="3599" width="31" style="63" customWidth="1"/>
    <col min="3600" max="3600" width="11.1640625" style="63" customWidth="1"/>
    <col min="3601" max="3601" width="11" style="63" bestFit="1" customWidth="1"/>
    <col min="3602" max="3611" width="10" style="63" customWidth="1"/>
    <col min="3612" max="3612" width="44.5" style="63" customWidth="1"/>
    <col min="3613" max="3613" width="7.5" style="63" customWidth="1"/>
    <col min="3614" max="3853" width="21" style="63"/>
    <col min="3854" max="3854" width="2.5" style="63" customWidth="1"/>
    <col min="3855" max="3855" width="31" style="63" customWidth="1"/>
    <col min="3856" max="3856" width="11.1640625" style="63" customWidth="1"/>
    <col min="3857" max="3857" width="11" style="63" bestFit="1" customWidth="1"/>
    <col min="3858" max="3867" width="10" style="63" customWidth="1"/>
    <col min="3868" max="3868" width="44.5" style="63" customWidth="1"/>
    <col min="3869" max="3869" width="7.5" style="63" customWidth="1"/>
    <col min="3870" max="4109" width="21" style="63"/>
    <col min="4110" max="4110" width="2.5" style="63" customWidth="1"/>
    <col min="4111" max="4111" width="31" style="63" customWidth="1"/>
    <col min="4112" max="4112" width="11.1640625" style="63" customWidth="1"/>
    <col min="4113" max="4113" width="11" style="63" bestFit="1" customWidth="1"/>
    <col min="4114" max="4123" width="10" style="63" customWidth="1"/>
    <col min="4124" max="4124" width="44.5" style="63" customWidth="1"/>
    <col min="4125" max="4125" width="7.5" style="63" customWidth="1"/>
    <col min="4126" max="4365" width="21" style="63"/>
    <col min="4366" max="4366" width="2.5" style="63" customWidth="1"/>
    <col min="4367" max="4367" width="31" style="63" customWidth="1"/>
    <col min="4368" max="4368" width="11.1640625" style="63" customWidth="1"/>
    <col min="4369" max="4369" width="11" style="63" bestFit="1" customWidth="1"/>
    <col min="4370" max="4379" width="10" style="63" customWidth="1"/>
    <col min="4380" max="4380" width="44.5" style="63" customWidth="1"/>
    <col min="4381" max="4381" width="7.5" style="63" customWidth="1"/>
    <col min="4382" max="4621" width="21" style="63"/>
    <col min="4622" max="4622" width="2.5" style="63" customWidth="1"/>
    <col min="4623" max="4623" width="31" style="63" customWidth="1"/>
    <col min="4624" max="4624" width="11.1640625" style="63" customWidth="1"/>
    <col min="4625" max="4625" width="11" style="63" bestFit="1" customWidth="1"/>
    <col min="4626" max="4635" width="10" style="63" customWidth="1"/>
    <col min="4636" max="4636" width="44.5" style="63" customWidth="1"/>
    <col min="4637" max="4637" width="7.5" style="63" customWidth="1"/>
    <col min="4638" max="4877" width="21" style="63"/>
    <col min="4878" max="4878" width="2.5" style="63" customWidth="1"/>
    <col min="4879" max="4879" width="31" style="63" customWidth="1"/>
    <col min="4880" max="4880" width="11.1640625" style="63" customWidth="1"/>
    <col min="4881" max="4881" width="11" style="63" bestFit="1" customWidth="1"/>
    <col min="4882" max="4891" width="10" style="63" customWidth="1"/>
    <col min="4892" max="4892" width="44.5" style="63" customWidth="1"/>
    <col min="4893" max="4893" width="7.5" style="63" customWidth="1"/>
    <col min="4894" max="5133" width="21" style="63"/>
    <col min="5134" max="5134" width="2.5" style="63" customWidth="1"/>
    <col min="5135" max="5135" width="31" style="63" customWidth="1"/>
    <col min="5136" max="5136" width="11.1640625" style="63" customWidth="1"/>
    <col min="5137" max="5137" width="11" style="63" bestFit="1" customWidth="1"/>
    <col min="5138" max="5147" width="10" style="63" customWidth="1"/>
    <col min="5148" max="5148" width="44.5" style="63" customWidth="1"/>
    <col min="5149" max="5149" width="7.5" style="63" customWidth="1"/>
    <col min="5150" max="5389" width="21" style="63"/>
    <col min="5390" max="5390" width="2.5" style="63" customWidth="1"/>
    <col min="5391" max="5391" width="31" style="63" customWidth="1"/>
    <col min="5392" max="5392" width="11.1640625" style="63" customWidth="1"/>
    <col min="5393" max="5393" width="11" style="63" bestFit="1" customWidth="1"/>
    <col min="5394" max="5403" width="10" style="63" customWidth="1"/>
    <col min="5404" max="5404" width="44.5" style="63" customWidth="1"/>
    <col min="5405" max="5405" width="7.5" style="63" customWidth="1"/>
    <col min="5406" max="5645" width="21" style="63"/>
    <col min="5646" max="5646" width="2.5" style="63" customWidth="1"/>
    <col min="5647" max="5647" width="31" style="63" customWidth="1"/>
    <col min="5648" max="5648" width="11.1640625" style="63" customWidth="1"/>
    <col min="5649" max="5649" width="11" style="63" bestFit="1" customWidth="1"/>
    <col min="5650" max="5659" width="10" style="63" customWidth="1"/>
    <col min="5660" max="5660" width="44.5" style="63" customWidth="1"/>
    <col min="5661" max="5661" width="7.5" style="63" customWidth="1"/>
    <col min="5662" max="5901" width="21" style="63"/>
    <col min="5902" max="5902" width="2.5" style="63" customWidth="1"/>
    <col min="5903" max="5903" width="31" style="63" customWidth="1"/>
    <col min="5904" max="5904" width="11.1640625" style="63" customWidth="1"/>
    <col min="5905" max="5905" width="11" style="63" bestFit="1" customWidth="1"/>
    <col min="5906" max="5915" width="10" style="63" customWidth="1"/>
    <col min="5916" max="5916" width="44.5" style="63" customWidth="1"/>
    <col min="5917" max="5917" width="7.5" style="63" customWidth="1"/>
    <col min="5918" max="6157" width="21" style="63"/>
    <col min="6158" max="6158" width="2.5" style="63" customWidth="1"/>
    <col min="6159" max="6159" width="31" style="63" customWidth="1"/>
    <col min="6160" max="6160" width="11.1640625" style="63" customWidth="1"/>
    <col min="6161" max="6161" width="11" style="63" bestFit="1" customWidth="1"/>
    <col min="6162" max="6171" width="10" style="63" customWidth="1"/>
    <col min="6172" max="6172" width="44.5" style="63" customWidth="1"/>
    <col min="6173" max="6173" width="7.5" style="63" customWidth="1"/>
    <col min="6174" max="6413" width="21" style="63"/>
    <col min="6414" max="6414" width="2.5" style="63" customWidth="1"/>
    <col min="6415" max="6415" width="31" style="63" customWidth="1"/>
    <col min="6416" max="6416" width="11.1640625" style="63" customWidth="1"/>
    <col min="6417" max="6417" width="11" style="63" bestFit="1" customWidth="1"/>
    <col min="6418" max="6427" width="10" style="63" customWidth="1"/>
    <col min="6428" max="6428" width="44.5" style="63" customWidth="1"/>
    <col min="6429" max="6429" width="7.5" style="63" customWidth="1"/>
    <col min="6430" max="6669" width="21" style="63"/>
    <col min="6670" max="6670" width="2.5" style="63" customWidth="1"/>
    <col min="6671" max="6671" width="31" style="63" customWidth="1"/>
    <col min="6672" max="6672" width="11.1640625" style="63" customWidth="1"/>
    <col min="6673" max="6673" width="11" style="63" bestFit="1" customWidth="1"/>
    <col min="6674" max="6683" width="10" style="63" customWidth="1"/>
    <col min="6684" max="6684" width="44.5" style="63" customWidth="1"/>
    <col min="6685" max="6685" width="7.5" style="63" customWidth="1"/>
    <col min="6686" max="6925" width="21" style="63"/>
    <col min="6926" max="6926" width="2.5" style="63" customWidth="1"/>
    <col min="6927" max="6927" width="31" style="63" customWidth="1"/>
    <col min="6928" max="6928" width="11.1640625" style="63" customWidth="1"/>
    <col min="6929" max="6929" width="11" style="63" bestFit="1" customWidth="1"/>
    <col min="6930" max="6939" width="10" style="63" customWidth="1"/>
    <col min="6940" max="6940" width="44.5" style="63" customWidth="1"/>
    <col min="6941" max="6941" width="7.5" style="63" customWidth="1"/>
    <col min="6942" max="7181" width="21" style="63"/>
    <col min="7182" max="7182" width="2.5" style="63" customWidth="1"/>
    <col min="7183" max="7183" width="31" style="63" customWidth="1"/>
    <col min="7184" max="7184" width="11.1640625" style="63" customWidth="1"/>
    <col min="7185" max="7185" width="11" style="63" bestFit="1" customWidth="1"/>
    <col min="7186" max="7195" width="10" style="63" customWidth="1"/>
    <col min="7196" max="7196" width="44.5" style="63" customWidth="1"/>
    <col min="7197" max="7197" width="7.5" style="63" customWidth="1"/>
    <col min="7198" max="7437" width="21" style="63"/>
    <col min="7438" max="7438" width="2.5" style="63" customWidth="1"/>
    <col min="7439" max="7439" width="31" style="63" customWidth="1"/>
    <col min="7440" max="7440" width="11.1640625" style="63" customWidth="1"/>
    <col min="7441" max="7441" width="11" style="63" bestFit="1" customWidth="1"/>
    <col min="7442" max="7451" width="10" style="63" customWidth="1"/>
    <col min="7452" max="7452" width="44.5" style="63" customWidth="1"/>
    <col min="7453" max="7453" width="7.5" style="63" customWidth="1"/>
    <col min="7454" max="7693" width="21" style="63"/>
    <col min="7694" max="7694" width="2.5" style="63" customWidth="1"/>
    <col min="7695" max="7695" width="31" style="63" customWidth="1"/>
    <col min="7696" max="7696" width="11.1640625" style="63" customWidth="1"/>
    <col min="7697" max="7697" width="11" style="63" bestFit="1" customWidth="1"/>
    <col min="7698" max="7707" width="10" style="63" customWidth="1"/>
    <col min="7708" max="7708" width="44.5" style="63" customWidth="1"/>
    <col min="7709" max="7709" width="7.5" style="63" customWidth="1"/>
    <col min="7710" max="7949" width="21" style="63"/>
    <col min="7950" max="7950" width="2.5" style="63" customWidth="1"/>
    <col min="7951" max="7951" width="31" style="63" customWidth="1"/>
    <col min="7952" max="7952" width="11.1640625" style="63" customWidth="1"/>
    <col min="7953" max="7953" width="11" style="63" bestFit="1" customWidth="1"/>
    <col min="7954" max="7963" width="10" style="63" customWidth="1"/>
    <col min="7964" max="7964" width="44.5" style="63" customWidth="1"/>
    <col min="7965" max="7965" width="7.5" style="63" customWidth="1"/>
    <col min="7966" max="8205" width="21" style="63"/>
    <col min="8206" max="8206" width="2.5" style="63" customWidth="1"/>
    <col min="8207" max="8207" width="31" style="63" customWidth="1"/>
    <col min="8208" max="8208" width="11.1640625" style="63" customWidth="1"/>
    <col min="8209" max="8209" width="11" style="63" bestFit="1" customWidth="1"/>
    <col min="8210" max="8219" width="10" style="63" customWidth="1"/>
    <col min="8220" max="8220" width="44.5" style="63" customWidth="1"/>
    <col min="8221" max="8221" width="7.5" style="63" customWidth="1"/>
    <col min="8222" max="8461" width="21" style="63"/>
    <col min="8462" max="8462" width="2.5" style="63" customWidth="1"/>
    <col min="8463" max="8463" width="31" style="63" customWidth="1"/>
    <col min="8464" max="8464" width="11.1640625" style="63" customWidth="1"/>
    <col min="8465" max="8465" width="11" style="63" bestFit="1" customWidth="1"/>
    <col min="8466" max="8475" width="10" style="63" customWidth="1"/>
    <col min="8476" max="8476" width="44.5" style="63" customWidth="1"/>
    <col min="8477" max="8477" width="7.5" style="63" customWidth="1"/>
    <col min="8478" max="8717" width="21" style="63"/>
    <col min="8718" max="8718" width="2.5" style="63" customWidth="1"/>
    <col min="8719" max="8719" width="31" style="63" customWidth="1"/>
    <col min="8720" max="8720" width="11.1640625" style="63" customWidth="1"/>
    <col min="8721" max="8721" width="11" style="63" bestFit="1" customWidth="1"/>
    <col min="8722" max="8731" width="10" style="63" customWidth="1"/>
    <col min="8732" max="8732" width="44.5" style="63" customWidth="1"/>
    <col min="8733" max="8733" width="7.5" style="63" customWidth="1"/>
    <col min="8734" max="8973" width="21" style="63"/>
    <col min="8974" max="8974" width="2.5" style="63" customWidth="1"/>
    <col min="8975" max="8975" width="31" style="63" customWidth="1"/>
    <col min="8976" max="8976" width="11.1640625" style="63" customWidth="1"/>
    <col min="8977" max="8977" width="11" style="63" bestFit="1" customWidth="1"/>
    <col min="8978" max="8987" width="10" style="63" customWidth="1"/>
    <col min="8988" max="8988" width="44.5" style="63" customWidth="1"/>
    <col min="8989" max="8989" width="7.5" style="63" customWidth="1"/>
    <col min="8990" max="9229" width="21" style="63"/>
    <col min="9230" max="9230" width="2.5" style="63" customWidth="1"/>
    <col min="9231" max="9231" width="31" style="63" customWidth="1"/>
    <col min="9232" max="9232" width="11.1640625" style="63" customWidth="1"/>
    <col min="9233" max="9233" width="11" style="63" bestFit="1" customWidth="1"/>
    <col min="9234" max="9243" width="10" style="63" customWidth="1"/>
    <col min="9244" max="9244" width="44.5" style="63" customWidth="1"/>
    <col min="9245" max="9245" width="7.5" style="63" customWidth="1"/>
    <col min="9246" max="9485" width="21" style="63"/>
    <col min="9486" max="9486" width="2.5" style="63" customWidth="1"/>
    <col min="9487" max="9487" width="31" style="63" customWidth="1"/>
    <col min="9488" max="9488" width="11.1640625" style="63" customWidth="1"/>
    <col min="9489" max="9489" width="11" style="63" bestFit="1" customWidth="1"/>
    <col min="9490" max="9499" width="10" style="63" customWidth="1"/>
    <col min="9500" max="9500" width="44.5" style="63" customWidth="1"/>
    <col min="9501" max="9501" width="7.5" style="63" customWidth="1"/>
    <col min="9502" max="9741" width="21" style="63"/>
    <col min="9742" max="9742" width="2.5" style="63" customWidth="1"/>
    <col min="9743" max="9743" width="31" style="63" customWidth="1"/>
    <col min="9744" max="9744" width="11.1640625" style="63" customWidth="1"/>
    <col min="9745" max="9745" width="11" style="63" bestFit="1" customWidth="1"/>
    <col min="9746" max="9755" width="10" style="63" customWidth="1"/>
    <col min="9756" max="9756" width="44.5" style="63" customWidth="1"/>
    <col min="9757" max="9757" width="7.5" style="63" customWidth="1"/>
    <col min="9758" max="9997" width="21" style="63"/>
    <col min="9998" max="9998" width="2.5" style="63" customWidth="1"/>
    <col min="9999" max="9999" width="31" style="63" customWidth="1"/>
    <col min="10000" max="10000" width="11.1640625" style="63" customWidth="1"/>
    <col min="10001" max="10001" width="11" style="63" bestFit="1" customWidth="1"/>
    <col min="10002" max="10011" width="10" style="63" customWidth="1"/>
    <col min="10012" max="10012" width="44.5" style="63" customWidth="1"/>
    <col min="10013" max="10013" width="7.5" style="63" customWidth="1"/>
    <col min="10014" max="10253" width="21" style="63"/>
    <col min="10254" max="10254" width="2.5" style="63" customWidth="1"/>
    <col min="10255" max="10255" width="31" style="63" customWidth="1"/>
    <col min="10256" max="10256" width="11.1640625" style="63" customWidth="1"/>
    <col min="10257" max="10257" width="11" style="63" bestFit="1" customWidth="1"/>
    <col min="10258" max="10267" width="10" style="63" customWidth="1"/>
    <col min="10268" max="10268" width="44.5" style="63" customWidth="1"/>
    <col min="10269" max="10269" width="7.5" style="63" customWidth="1"/>
    <col min="10270" max="10509" width="21" style="63"/>
    <col min="10510" max="10510" width="2.5" style="63" customWidth="1"/>
    <col min="10511" max="10511" width="31" style="63" customWidth="1"/>
    <col min="10512" max="10512" width="11.1640625" style="63" customWidth="1"/>
    <col min="10513" max="10513" width="11" style="63" bestFit="1" customWidth="1"/>
    <col min="10514" max="10523" width="10" style="63" customWidth="1"/>
    <col min="10524" max="10524" width="44.5" style="63" customWidth="1"/>
    <col min="10525" max="10525" width="7.5" style="63" customWidth="1"/>
    <col min="10526" max="10765" width="21" style="63"/>
    <col min="10766" max="10766" width="2.5" style="63" customWidth="1"/>
    <col min="10767" max="10767" width="31" style="63" customWidth="1"/>
    <col min="10768" max="10768" width="11.1640625" style="63" customWidth="1"/>
    <col min="10769" max="10769" width="11" style="63" bestFit="1" customWidth="1"/>
    <col min="10770" max="10779" width="10" style="63" customWidth="1"/>
    <col min="10780" max="10780" width="44.5" style="63" customWidth="1"/>
    <col min="10781" max="10781" width="7.5" style="63" customWidth="1"/>
    <col min="10782" max="11021" width="21" style="63"/>
    <col min="11022" max="11022" width="2.5" style="63" customWidth="1"/>
    <col min="11023" max="11023" width="31" style="63" customWidth="1"/>
    <col min="11024" max="11024" width="11.1640625" style="63" customWidth="1"/>
    <col min="11025" max="11025" width="11" style="63" bestFit="1" customWidth="1"/>
    <col min="11026" max="11035" width="10" style="63" customWidth="1"/>
    <col min="11036" max="11036" width="44.5" style="63" customWidth="1"/>
    <col min="11037" max="11037" width="7.5" style="63" customWidth="1"/>
    <col min="11038" max="11277" width="21" style="63"/>
    <col min="11278" max="11278" width="2.5" style="63" customWidth="1"/>
    <col min="11279" max="11279" width="31" style="63" customWidth="1"/>
    <col min="11280" max="11280" width="11.1640625" style="63" customWidth="1"/>
    <col min="11281" max="11281" width="11" style="63" bestFit="1" customWidth="1"/>
    <col min="11282" max="11291" width="10" style="63" customWidth="1"/>
    <col min="11292" max="11292" width="44.5" style="63" customWidth="1"/>
    <col min="11293" max="11293" width="7.5" style="63" customWidth="1"/>
    <col min="11294" max="11533" width="21" style="63"/>
    <col min="11534" max="11534" width="2.5" style="63" customWidth="1"/>
    <col min="11535" max="11535" width="31" style="63" customWidth="1"/>
    <col min="11536" max="11536" width="11.1640625" style="63" customWidth="1"/>
    <col min="11537" max="11537" width="11" style="63" bestFit="1" customWidth="1"/>
    <col min="11538" max="11547" width="10" style="63" customWidth="1"/>
    <col min="11548" max="11548" width="44.5" style="63" customWidth="1"/>
    <col min="11549" max="11549" width="7.5" style="63" customWidth="1"/>
    <col min="11550" max="11789" width="21" style="63"/>
    <col min="11790" max="11790" width="2.5" style="63" customWidth="1"/>
    <col min="11791" max="11791" width="31" style="63" customWidth="1"/>
    <col min="11792" max="11792" width="11.1640625" style="63" customWidth="1"/>
    <col min="11793" max="11793" width="11" style="63" bestFit="1" customWidth="1"/>
    <col min="11794" max="11803" width="10" style="63" customWidth="1"/>
    <col min="11804" max="11804" width="44.5" style="63" customWidth="1"/>
    <col min="11805" max="11805" width="7.5" style="63" customWidth="1"/>
    <col min="11806" max="12045" width="21" style="63"/>
    <col min="12046" max="12046" width="2.5" style="63" customWidth="1"/>
    <col min="12047" max="12047" width="31" style="63" customWidth="1"/>
    <col min="12048" max="12048" width="11.1640625" style="63" customWidth="1"/>
    <col min="12049" max="12049" width="11" style="63" bestFit="1" customWidth="1"/>
    <col min="12050" max="12059" width="10" style="63" customWidth="1"/>
    <col min="12060" max="12060" width="44.5" style="63" customWidth="1"/>
    <col min="12061" max="12061" width="7.5" style="63" customWidth="1"/>
    <col min="12062" max="12301" width="21" style="63"/>
    <col min="12302" max="12302" width="2.5" style="63" customWidth="1"/>
    <col min="12303" max="12303" width="31" style="63" customWidth="1"/>
    <col min="12304" max="12304" width="11.1640625" style="63" customWidth="1"/>
    <col min="12305" max="12305" width="11" style="63" bestFit="1" customWidth="1"/>
    <col min="12306" max="12315" width="10" style="63" customWidth="1"/>
    <col min="12316" max="12316" width="44.5" style="63" customWidth="1"/>
    <col min="12317" max="12317" width="7.5" style="63" customWidth="1"/>
    <col min="12318" max="12557" width="21" style="63"/>
    <col min="12558" max="12558" width="2.5" style="63" customWidth="1"/>
    <col min="12559" max="12559" width="31" style="63" customWidth="1"/>
    <col min="12560" max="12560" width="11.1640625" style="63" customWidth="1"/>
    <col min="12561" max="12561" width="11" style="63" bestFit="1" customWidth="1"/>
    <col min="12562" max="12571" width="10" style="63" customWidth="1"/>
    <col min="12572" max="12572" width="44.5" style="63" customWidth="1"/>
    <col min="12573" max="12573" width="7.5" style="63" customWidth="1"/>
    <col min="12574" max="12813" width="21" style="63"/>
    <col min="12814" max="12814" width="2.5" style="63" customWidth="1"/>
    <col min="12815" max="12815" width="31" style="63" customWidth="1"/>
    <col min="12816" max="12816" width="11.1640625" style="63" customWidth="1"/>
    <col min="12817" max="12817" width="11" style="63" bestFit="1" customWidth="1"/>
    <col min="12818" max="12827" width="10" style="63" customWidth="1"/>
    <col min="12828" max="12828" width="44.5" style="63" customWidth="1"/>
    <col min="12829" max="12829" width="7.5" style="63" customWidth="1"/>
    <col min="12830" max="13069" width="21" style="63"/>
    <col min="13070" max="13070" width="2.5" style="63" customWidth="1"/>
    <col min="13071" max="13071" width="31" style="63" customWidth="1"/>
    <col min="13072" max="13072" width="11.1640625" style="63" customWidth="1"/>
    <col min="13073" max="13073" width="11" style="63" bestFit="1" customWidth="1"/>
    <col min="13074" max="13083" width="10" style="63" customWidth="1"/>
    <col min="13084" max="13084" width="44.5" style="63" customWidth="1"/>
    <col min="13085" max="13085" width="7.5" style="63" customWidth="1"/>
    <col min="13086" max="13325" width="21" style="63"/>
    <col min="13326" max="13326" width="2.5" style="63" customWidth="1"/>
    <col min="13327" max="13327" width="31" style="63" customWidth="1"/>
    <col min="13328" max="13328" width="11.1640625" style="63" customWidth="1"/>
    <col min="13329" max="13329" width="11" style="63" bestFit="1" customWidth="1"/>
    <col min="13330" max="13339" width="10" style="63" customWidth="1"/>
    <col min="13340" max="13340" width="44.5" style="63" customWidth="1"/>
    <col min="13341" max="13341" width="7.5" style="63" customWidth="1"/>
    <col min="13342" max="13581" width="21" style="63"/>
    <col min="13582" max="13582" width="2.5" style="63" customWidth="1"/>
    <col min="13583" max="13583" width="31" style="63" customWidth="1"/>
    <col min="13584" max="13584" width="11.1640625" style="63" customWidth="1"/>
    <col min="13585" max="13585" width="11" style="63" bestFit="1" customWidth="1"/>
    <col min="13586" max="13595" width="10" style="63" customWidth="1"/>
    <col min="13596" max="13596" width="44.5" style="63" customWidth="1"/>
    <col min="13597" max="13597" width="7.5" style="63" customWidth="1"/>
    <col min="13598" max="13837" width="21" style="63"/>
    <col min="13838" max="13838" width="2.5" style="63" customWidth="1"/>
    <col min="13839" max="13839" width="31" style="63" customWidth="1"/>
    <col min="13840" max="13840" width="11.1640625" style="63" customWidth="1"/>
    <col min="13841" max="13841" width="11" style="63" bestFit="1" customWidth="1"/>
    <col min="13842" max="13851" width="10" style="63" customWidth="1"/>
    <col min="13852" max="13852" width="44.5" style="63" customWidth="1"/>
    <col min="13853" max="13853" width="7.5" style="63" customWidth="1"/>
    <col min="13854" max="14093" width="21" style="63"/>
    <col min="14094" max="14094" width="2.5" style="63" customWidth="1"/>
    <col min="14095" max="14095" width="31" style="63" customWidth="1"/>
    <col min="14096" max="14096" width="11.1640625" style="63" customWidth="1"/>
    <col min="14097" max="14097" width="11" style="63" bestFit="1" customWidth="1"/>
    <col min="14098" max="14107" width="10" style="63" customWidth="1"/>
    <col min="14108" max="14108" width="44.5" style="63" customWidth="1"/>
    <col min="14109" max="14109" width="7.5" style="63" customWidth="1"/>
    <col min="14110" max="14349" width="21" style="63"/>
    <col min="14350" max="14350" width="2.5" style="63" customWidth="1"/>
    <col min="14351" max="14351" width="31" style="63" customWidth="1"/>
    <col min="14352" max="14352" width="11.1640625" style="63" customWidth="1"/>
    <col min="14353" max="14353" width="11" style="63" bestFit="1" customWidth="1"/>
    <col min="14354" max="14363" width="10" style="63" customWidth="1"/>
    <col min="14364" max="14364" width="44.5" style="63" customWidth="1"/>
    <col min="14365" max="14365" width="7.5" style="63" customWidth="1"/>
    <col min="14366" max="14605" width="21" style="63"/>
    <col min="14606" max="14606" width="2.5" style="63" customWidth="1"/>
    <col min="14607" max="14607" width="31" style="63" customWidth="1"/>
    <col min="14608" max="14608" width="11.1640625" style="63" customWidth="1"/>
    <col min="14609" max="14609" width="11" style="63" bestFit="1" customWidth="1"/>
    <col min="14610" max="14619" width="10" style="63" customWidth="1"/>
    <col min="14620" max="14620" width="44.5" style="63" customWidth="1"/>
    <col min="14621" max="14621" width="7.5" style="63" customWidth="1"/>
    <col min="14622" max="14861" width="21" style="63"/>
    <col min="14862" max="14862" width="2.5" style="63" customWidth="1"/>
    <col min="14863" max="14863" width="31" style="63" customWidth="1"/>
    <col min="14864" max="14864" width="11.1640625" style="63" customWidth="1"/>
    <col min="14865" max="14865" width="11" style="63" bestFit="1" customWidth="1"/>
    <col min="14866" max="14875" width="10" style="63" customWidth="1"/>
    <col min="14876" max="14876" width="44.5" style="63" customWidth="1"/>
    <col min="14877" max="14877" width="7.5" style="63" customWidth="1"/>
    <col min="14878" max="15117" width="21" style="63"/>
    <col min="15118" max="15118" width="2.5" style="63" customWidth="1"/>
    <col min="15119" max="15119" width="31" style="63" customWidth="1"/>
    <col min="15120" max="15120" width="11.1640625" style="63" customWidth="1"/>
    <col min="15121" max="15121" width="11" style="63" bestFit="1" customWidth="1"/>
    <col min="15122" max="15131" width="10" style="63" customWidth="1"/>
    <col min="15132" max="15132" width="44.5" style="63" customWidth="1"/>
    <col min="15133" max="15133" width="7.5" style="63" customWidth="1"/>
    <col min="15134" max="15373" width="21" style="63"/>
    <col min="15374" max="15374" width="2.5" style="63" customWidth="1"/>
    <col min="15375" max="15375" width="31" style="63" customWidth="1"/>
    <col min="15376" max="15376" width="11.1640625" style="63" customWidth="1"/>
    <col min="15377" max="15377" width="11" style="63" bestFit="1" customWidth="1"/>
    <col min="15378" max="15387" width="10" style="63" customWidth="1"/>
    <col min="15388" max="15388" width="44.5" style="63" customWidth="1"/>
    <col min="15389" max="15389" width="7.5" style="63" customWidth="1"/>
    <col min="15390" max="15629" width="21" style="63"/>
    <col min="15630" max="15630" width="2.5" style="63" customWidth="1"/>
    <col min="15631" max="15631" width="31" style="63" customWidth="1"/>
    <col min="15632" max="15632" width="11.1640625" style="63" customWidth="1"/>
    <col min="15633" max="15633" width="11" style="63" bestFit="1" customWidth="1"/>
    <col min="15634" max="15643" width="10" style="63" customWidth="1"/>
    <col min="15644" max="15644" width="44.5" style="63" customWidth="1"/>
    <col min="15645" max="15645" width="7.5" style="63" customWidth="1"/>
    <col min="15646" max="15885" width="21" style="63"/>
    <col min="15886" max="15886" width="2.5" style="63" customWidth="1"/>
    <col min="15887" max="15887" width="31" style="63" customWidth="1"/>
    <col min="15888" max="15888" width="11.1640625" style="63" customWidth="1"/>
    <col min="15889" max="15889" width="11" style="63" bestFit="1" customWidth="1"/>
    <col min="15890" max="15899" width="10" style="63" customWidth="1"/>
    <col min="15900" max="15900" width="44.5" style="63" customWidth="1"/>
    <col min="15901" max="15901" width="7.5" style="63" customWidth="1"/>
    <col min="15902" max="16141" width="21" style="63"/>
    <col min="16142" max="16142" width="2.5" style="63" customWidth="1"/>
    <col min="16143" max="16143" width="31" style="63" customWidth="1"/>
    <col min="16144" max="16144" width="11.1640625" style="63" customWidth="1"/>
    <col min="16145" max="16145" width="11" style="63" bestFit="1" customWidth="1"/>
    <col min="16146" max="16155" width="10" style="63" customWidth="1"/>
    <col min="16156" max="16156" width="44.5" style="63" customWidth="1"/>
    <col min="16157" max="16157" width="7.5" style="63" customWidth="1"/>
    <col min="16158" max="16384" width="21" style="63"/>
  </cols>
  <sheetData>
    <row r="1" spans="1:68" s="101" customFormat="1" ht="27" customHeight="1" thickBot="1">
      <c r="A1" s="66"/>
      <c r="B1" s="63"/>
      <c r="C1" s="68"/>
      <c r="D1" s="68"/>
      <c r="E1" s="68"/>
      <c r="F1" s="68"/>
      <c r="G1" s="68"/>
      <c r="H1" s="68"/>
      <c r="I1" s="68"/>
      <c r="J1" s="68"/>
      <c r="K1" s="68"/>
      <c r="L1" s="68"/>
      <c r="M1" s="68"/>
      <c r="N1" s="68"/>
      <c r="O1" s="68"/>
      <c r="P1" s="68"/>
      <c r="Q1" s="68"/>
      <c r="R1" s="68"/>
      <c r="S1" s="68"/>
      <c r="T1" s="68"/>
      <c r="U1" s="68"/>
      <c r="V1" s="68"/>
      <c r="W1" s="68"/>
      <c r="X1" s="68"/>
      <c r="Y1" s="68"/>
      <c r="Z1" s="68"/>
      <c r="AA1" s="68"/>
      <c r="AB1" s="68"/>
      <c r="AC1" s="341"/>
      <c r="AD1" s="341"/>
      <c r="AE1" s="1488"/>
      <c r="AF1" s="1488"/>
      <c r="AG1" s="1488"/>
      <c r="AH1" s="1488"/>
      <c r="AI1" s="1488"/>
      <c r="AJ1" s="1488"/>
      <c r="AK1" s="1488"/>
      <c r="AL1" s="1488"/>
      <c r="AM1" s="1488"/>
      <c r="AN1" s="1488"/>
      <c r="AO1" s="1488"/>
      <c r="AP1" s="1488"/>
      <c r="AQ1" s="1488"/>
      <c r="AR1" s="1488"/>
      <c r="AS1" s="1488"/>
      <c r="AT1" s="1488"/>
      <c r="AU1" s="1488"/>
      <c r="AV1" s="1488"/>
      <c r="AW1" s="1488"/>
      <c r="AX1" s="1488"/>
      <c r="AY1" s="1488"/>
      <c r="AZ1" s="1488"/>
      <c r="BA1" s="1488"/>
      <c r="BB1" s="1488"/>
      <c r="BC1" s="1488"/>
      <c r="BD1" s="1488"/>
      <c r="BE1" s="1488"/>
      <c r="BF1" s="1488"/>
      <c r="BG1" s="1488"/>
      <c r="BH1" s="1488"/>
      <c r="BI1" s="1488"/>
      <c r="BJ1" s="1488"/>
      <c r="BK1" s="1488"/>
      <c r="BL1" s="1488"/>
      <c r="BM1" s="1488"/>
      <c r="BN1" s="1488"/>
      <c r="BO1" s="1488"/>
      <c r="BP1" s="1488"/>
    </row>
    <row r="2" spans="1:68" s="76" customFormat="1" ht="39.75" customHeight="1">
      <c r="A2" s="2826" t="s">
        <v>474</v>
      </c>
      <c r="B2" s="2827"/>
      <c r="C2" s="914" t="s">
        <v>475</v>
      </c>
      <c r="D2" s="914" t="s">
        <v>475</v>
      </c>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row>
    <row r="3" spans="1:68" s="545" customFormat="1" ht="54.75" customHeight="1">
      <c r="A3" s="2831" t="s">
        <v>476</v>
      </c>
      <c r="B3" s="2832"/>
      <c r="C3" s="1489" t="s">
        <v>1559</v>
      </c>
      <c r="D3" s="1489" t="s">
        <v>1560</v>
      </c>
      <c r="E3" s="1490" t="s">
        <v>1561</v>
      </c>
      <c r="F3" s="1489" t="s">
        <v>477</v>
      </c>
      <c r="G3" s="1489" t="s">
        <v>477</v>
      </c>
      <c r="H3" s="1489" t="s">
        <v>477</v>
      </c>
      <c r="I3" s="1489" t="s">
        <v>477</v>
      </c>
      <c r="J3" s="1489" t="s">
        <v>477</v>
      </c>
      <c r="K3" s="1489" t="s">
        <v>477</v>
      </c>
      <c r="L3" s="1489" t="s">
        <v>477</v>
      </c>
      <c r="M3" s="1489" t="s">
        <v>477</v>
      </c>
      <c r="N3" s="1489" t="s">
        <v>477</v>
      </c>
      <c r="O3" s="1489" t="s">
        <v>477</v>
      </c>
      <c r="P3" s="1489" t="s">
        <v>477</v>
      </c>
      <c r="Q3" s="1489" t="s">
        <v>477</v>
      </c>
      <c r="R3" s="1489" t="s">
        <v>477</v>
      </c>
      <c r="S3" s="1489" t="s">
        <v>477</v>
      </c>
      <c r="T3" s="1489" t="s">
        <v>477</v>
      </c>
      <c r="U3" s="1489" t="s">
        <v>477</v>
      </c>
      <c r="V3" s="1489" t="s">
        <v>477</v>
      </c>
      <c r="W3" s="1489" t="s">
        <v>477</v>
      </c>
      <c r="X3" s="1489" t="s">
        <v>477</v>
      </c>
      <c r="Y3" s="1489" t="s">
        <v>477</v>
      </c>
      <c r="Z3" s="1489" t="s">
        <v>477</v>
      </c>
      <c r="AA3" s="1489" t="s">
        <v>477</v>
      </c>
      <c r="AB3" s="1489" t="s">
        <v>477</v>
      </c>
      <c r="AC3" s="1490" t="s">
        <v>478</v>
      </c>
      <c r="AD3" s="1490" t="s">
        <v>478</v>
      </c>
    </row>
    <row r="4" spans="1:68" ht="51" customHeight="1">
      <c r="A4" s="2804" t="s">
        <v>479</v>
      </c>
      <c r="B4" s="2805"/>
      <c r="C4" s="1491"/>
      <c r="D4" s="1491"/>
      <c r="E4" s="1492"/>
      <c r="F4" s="1493"/>
      <c r="G4" s="1493"/>
      <c r="H4" s="1493"/>
      <c r="I4" s="1493"/>
      <c r="J4" s="1494"/>
      <c r="K4" s="1495"/>
      <c r="L4" s="1493"/>
      <c r="M4" s="1493"/>
      <c r="N4" s="1493"/>
      <c r="O4" s="1493"/>
      <c r="P4" s="1493"/>
      <c r="Q4" s="1493"/>
      <c r="R4" s="1496"/>
      <c r="S4" s="1496"/>
      <c r="T4" s="1496"/>
      <c r="U4" s="1496"/>
      <c r="V4" s="1496"/>
      <c r="W4" s="1496" t="s">
        <v>480</v>
      </c>
      <c r="X4" s="1496" t="s">
        <v>483</v>
      </c>
      <c r="Y4" s="1496" t="s">
        <v>484</v>
      </c>
      <c r="Z4" s="1496"/>
      <c r="AA4" s="1496"/>
      <c r="AB4" s="1496"/>
      <c r="AC4" s="1496"/>
      <c r="AD4" s="1496"/>
      <c r="AE4" s="545" t="s">
        <v>485</v>
      </c>
      <c r="AG4" s="1497" t="s">
        <v>486</v>
      </c>
      <c r="AH4" s="1498" t="s">
        <v>487</v>
      </c>
      <c r="AI4" s="1498">
        <f>budgetår</f>
        <v>2025</v>
      </c>
    </row>
    <row r="5" spans="1:68" ht="24" customHeight="1">
      <c r="A5" s="2806" t="s">
        <v>488</v>
      </c>
      <c r="B5" s="2807"/>
      <c r="C5" s="1501"/>
      <c r="D5" s="1501"/>
      <c r="E5" s="1501"/>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496"/>
      <c r="AD5" s="1496"/>
      <c r="AE5" s="546">
        <v>353412</v>
      </c>
      <c r="AF5" s="343"/>
      <c r="AG5" s="1503" t="s">
        <v>489</v>
      </c>
      <c r="AH5" s="1504"/>
      <c r="AI5" s="1505">
        <f>C118+D118</f>
        <v>0</v>
      </c>
    </row>
    <row r="6" spans="1:68" ht="24" customHeight="1">
      <c r="A6" s="2806" t="str">
        <f>"Antal måneder ansat januar til og med marts"&amp; budgetår&amp;" (Hvis alle skriv 3)"</f>
        <v>Antal måneder ansat januar til og med marts2025 (Hvis alle skriv 3)</v>
      </c>
      <c r="B6" s="2807"/>
      <c r="C6" s="1506"/>
      <c r="D6" s="1507"/>
      <c r="E6" s="1506"/>
      <c r="F6" s="1506"/>
      <c r="G6" s="1506"/>
      <c r="H6" s="1506"/>
      <c r="I6" s="1506"/>
      <c r="J6" s="1506"/>
      <c r="K6" s="1506"/>
      <c r="L6" s="1506"/>
      <c r="M6" s="1506"/>
      <c r="N6" s="1506"/>
      <c r="O6" s="1506"/>
      <c r="P6" s="1506"/>
      <c r="Q6" s="1506"/>
      <c r="R6" s="1506"/>
      <c r="S6" s="1506"/>
      <c r="T6" s="1506"/>
      <c r="U6" s="1506"/>
      <c r="V6" s="1506"/>
      <c r="W6" s="1506"/>
      <c r="X6" s="1506"/>
      <c r="Y6" s="1506"/>
      <c r="Z6" s="1506"/>
      <c r="AA6" s="1506"/>
      <c r="AB6" s="1506"/>
      <c r="AC6" s="1506"/>
      <c r="AD6" s="1506"/>
      <c r="AE6" s="546">
        <v>396929</v>
      </c>
      <c r="AF6" s="343"/>
      <c r="AG6" s="1508" t="s">
        <v>490</v>
      </c>
      <c r="AH6" s="1504"/>
      <c r="AI6" s="1505">
        <f>E118</f>
        <v>0</v>
      </c>
    </row>
    <row r="7" spans="1:68" ht="24" customHeight="1">
      <c r="A7" s="1499" t="str">
        <f>"Antal måneder ansat april til og med juli "&amp;budgetår&amp;" (Hvis alle skriv 4)"</f>
        <v>Antal måneder ansat april til og med juli 2025 (Hvis alle skriv 4)</v>
      </c>
      <c r="B7" s="1500"/>
      <c r="C7" s="1507"/>
      <c r="D7" s="1506"/>
      <c r="E7" s="1506"/>
      <c r="F7" s="1506"/>
      <c r="G7" s="1506"/>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546"/>
      <c r="AF7" s="343"/>
      <c r="AG7" s="1508"/>
      <c r="AH7" s="1504"/>
      <c r="AI7" s="1505"/>
    </row>
    <row r="8" spans="1:68" ht="24" customHeight="1">
      <c r="A8" s="2806" t="str">
        <f>"Ansat antal måneder august til december "&amp;budgetår&amp;" (Hvis alle skriv 5)"</f>
        <v>Ansat antal måneder august til december 2025 (Hvis alle skriv 5)</v>
      </c>
      <c r="B8" s="2807"/>
      <c r="C8" s="1507"/>
      <c r="D8" s="1506"/>
      <c r="E8" s="1506"/>
      <c r="F8" s="1506"/>
      <c r="G8" s="1506"/>
      <c r="H8" s="1506"/>
      <c r="I8" s="1506"/>
      <c r="J8" s="1506"/>
      <c r="K8" s="1506"/>
      <c r="L8" s="1506"/>
      <c r="M8" s="1506"/>
      <c r="N8" s="1506"/>
      <c r="O8" s="1506"/>
      <c r="P8" s="1506"/>
      <c r="Q8" s="1506"/>
      <c r="R8" s="1506"/>
      <c r="S8" s="1506"/>
      <c r="T8" s="1506"/>
      <c r="U8" s="1506"/>
      <c r="V8" s="1506"/>
      <c r="W8" s="1506"/>
      <c r="X8" s="1506"/>
      <c r="Y8" s="1506"/>
      <c r="Z8" s="1506"/>
      <c r="AA8" s="1506"/>
      <c r="AB8" s="1506"/>
      <c r="AC8" s="1506"/>
      <c r="AD8" s="1506"/>
      <c r="AE8" s="545"/>
      <c r="AF8" s="343"/>
      <c r="AG8" s="1508" t="s">
        <v>491</v>
      </c>
      <c r="AH8" s="1504"/>
      <c r="AI8" s="1505">
        <f>C135+D135+E135</f>
        <v>0</v>
      </c>
    </row>
    <row r="9" spans="1:68" ht="25" customHeight="1">
      <c r="A9" s="2806" t="s">
        <v>492</v>
      </c>
      <c r="B9" s="2807"/>
      <c r="C9" s="1509">
        <f t="shared" ref="C9:AD9" si="0">+C8+C6+C7</f>
        <v>0</v>
      </c>
      <c r="D9" s="1509">
        <f t="shared" ref="D9" si="1">+D8+D6+D7</f>
        <v>0</v>
      </c>
      <c r="E9" s="1509">
        <f t="shared" si="0"/>
        <v>0</v>
      </c>
      <c r="F9" s="1509">
        <f t="shared" si="0"/>
        <v>0</v>
      </c>
      <c r="G9" s="1509">
        <f t="shared" si="0"/>
        <v>0</v>
      </c>
      <c r="H9" s="1509">
        <f>+H8+H6+H7</f>
        <v>0</v>
      </c>
      <c r="I9" s="1509">
        <f t="shared" si="0"/>
        <v>0</v>
      </c>
      <c r="J9" s="1509">
        <f t="shared" si="0"/>
        <v>0</v>
      </c>
      <c r="K9" s="1509">
        <f t="shared" si="0"/>
        <v>0</v>
      </c>
      <c r="L9" s="1509">
        <f t="shared" si="0"/>
        <v>0</v>
      </c>
      <c r="M9" s="1509">
        <f t="shared" si="0"/>
        <v>0</v>
      </c>
      <c r="N9" s="1509">
        <f t="shared" si="0"/>
        <v>0</v>
      </c>
      <c r="O9" s="1509">
        <f t="shared" si="0"/>
        <v>0</v>
      </c>
      <c r="P9" s="1509">
        <f t="shared" si="0"/>
        <v>0</v>
      </c>
      <c r="Q9" s="1509">
        <f t="shared" si="0"/>
        <v>0</v>
      </c>
      <c r="R9" s="1509">
        <f t="shared" si="0"/>
        <v>0</v>
      </c>
      <c r="S9" s="1509">
        <f t="shared" si="0"/>
        <v>0</v>
      </c>
      <c r="T9" s="1509">
        <f t="shared" si="0"/>
        <v>0</v>
      </c>
      <c r="U9" s="1509">
        <f t="shared" si="0"/>
        <v>0</v>
      </c>
      <c r="V9" s="1509">
        <f t="shared" si="0"/>
        <v>0</v>
      </c>
      <c r="W9" s="1509">
        <f t="shared" si="0"/>
        <v>0</v>
      </c>
      <c r="X9" s="1509">
        <f t="shared" si="0"/>
        <v>0</v>
      </c>
      <c r="Y9" s="1509">
        <f t="shared" si="0"/>
        <v>0</v>
      </c>
      <c r="Z9" s="1509">
        <f t="shared" si="0"/>
        <v>0</v>
      </c>
      <c r="AA9" s="1509">
        <f t="shared" si="0"/>
        <v>0</v>
      </c>
      <c r="AB9" s="1509">
        <f t="shared" si="0"/>
        <v>0</v>
      </c>
      <c r="AC9" s="1509">
        <f t="shared" si="0"/>
        <v>0</v>
      </c>
      <c r="AD9" s="1509">
        <f t="shared" si="0"/>
        <v>0</v>
      </c>
      <c r="AE9" s="545"/>
      <c r="AF9" s="343"/>
      <c r="AG9" s="1508" t="s">
        <v>493</v>
      </c>
      <c r="AH9" s="1504"/>
      <c r="AI9" s="1505">
        <f>C138+E138+D138</f>
        <v>0</v>
      </c>
    </row>
    <row r="10" spans="1:68" ht="25" customHeight="1">
      <c r="A10" s="2806" t="str">
        <f>"Antal måneder ansat i "&amp;budgetår+1&amp;""</f>
        <v>Antal måneder ansat i 2026</v>
      </c>
      <c r="B10" s="2807"/>
      <c r="C10" s="1510"/>
      <c r="D10" s="1492"/>
      <c r="E10" s="1492"/>
      <c r="F10" s="1492"/>
      <c r="G10" s="1492"/>
      <c r="H10" s="1492"/>
      <c r="I10" s="1492"/>
      <c r="J10" s="1492"/>
      <c r="K10" s="1492"/>
      <c r="L10" s="1492"/>
      <c r="M10" s="1492"/>
      <c r="N10" s="1492"/>
      <c r="O10" s="1492"/>
      <c r="P10" s="1492"/>
      <c r="Q10" s="1492"/>
      <c r="R10" s="1492"/>
      <c r="S10" s="1492"/>
      <c r="T10" s="1492"/>
      <c r="U10" s="1492"/>
      <c r="V10" s="1492"/>
      <c r="W10" s="1492"/>
      <c r="X10" s="1492"/>
      <c r="Y10" s="1492"/>
      <c r="Z10" s="1492"/>
      <c r="AA10" s="1492"/>
      <c r="AB10" s="1492"/>
      <c r="AC10" s="1492"/>
      <c r="AD10" s="1492"/>
      <c r="AE10" s="545"/>
      <c r="AF10" s="343" t="s">
        <v>494</v>
      </c>
      <c r="AG10" s="1508" t="s">
        <v>495</v>
      </c>
      <c r="AH10" s="1504"/>
      <c r="AI10" s="1505">
        <f>C146+E146+D146</f>
        <v>0</v>
      </c>
    </row>
    <row r="11" spans="1:68" ht="27" customHeight="1">
      <c r="A11" s="2804" t="s">
        <v>496</v>
      </c>
      <c r="B11" s="2805"/>
      <c r="C11" s="1496" t="s">
        <v>494</v>
      </c>
      <c r="D11" s="1496" t="s">
        <v>494</v>
      </c>
      <c r="E11" s="1496" t="s">
        <v>494</v>
      </c>
      <c r="F11" s="1496" t="s">
        <v>494</v>
      </c>
      <c r="G11" s="1496" t="s">
        <v>494</v>
      </c>
      <c r="H11" s="1496" t="s">
        <v>494</v>
      </c>
      <c r="I11" s="1496" t="s">
        <v>494</v>
      </c>
      <c r="J11" s="1496" t="s">
        <v>494</v>
      </c>
      <c r="K11" s="1496" t="s">
        <v>494</v>
      </c>
      <c r="L11" s="1496" t="s">
        <v>494</v>
      </c>
      <c r="M11" s="1496" t="s">
        <v>494</v>
      </c>
      <c r="N11" s="1496" t="s">
        <v>494</v>
      </c>
      <c r="O11" s="1496" t="s">
        <v>494</v>
      </c>
      <c r="P11" s="1496" t="s">
        <v>494</v>
      </c>
      <c r="Q11" s="1496" t="s">
        <v>494</v>
      </c>
      <c r="R11" s="1496" t="s">
        <v>494</v>
      </c>
      <c r="S11" s="1496" t="s">
        <v>494</v>
      </c>
      <c r="T11" s="1496" t="s">
        <v>494</v>
      </c>
      <c r="U11" s="1496" t="s">
        <v>494</v>
      </c>
      <c r="V11" s="1496" t="s">
        <v>494</v>
      </c>
      <c r="W11" s="1496" t="s">
        <v>494</v>
      </c>
      <c r="X11" s="1496" t="s">
        <v>494</v>
      </c>
      <c r="Y11" s="1496" t="s">
        <v>494</v>
      </c>
      <c r="Z11" s="1496" t="s">
        <v>494</v>
      </c>
      <c r="AA11" s="1496" t="s">
        <v>494</v>
      </c>
      <c r="AB11" s="1496" t="s">
        <v>494</v>
      </c>
      <c r="AC11" s="1496" t="s">
        <v>494</v>
      </c>
      <c r="AD11" s="1496" t="s">
        <v>494</v>
      </c>
      <c r="AE11" s="545"/>
      <c r="AF11" s="343" t="s">
        <v>497</v>
      </c>
      <c r="AG11" s="1508" t="s">
        <v>498</v>
      </c>
      <c r="AH11" s="1504"/>
      <c r="AI11" s="1505">
        <f>E141+C141+D141</f>
        <v>0</v>
      </c>
    </row>
    <row r="12" spans="1:68" ht="27" customHeight="1">
      <c r="A12" s="2804" t="s">
        <v>499</v>
      </c>
      <c r="B12" s="2805"/>
      <c r="C12" s="1511" t="s">
        <v>494</v>
      </c>
      <c r="D12" s="1511" t="s">
        <v>494</v>
      </c>
      <c r="E12" s="1511" t="s">
        <v>494</v>
      </c>
      <c r="F12" s="1511" t="s">
        <v>494</v>
      </c>
      <c r="G12" s="1511" t="s">
        <v>494</v>
      </c>
      <c r="H12" s="1511" t="s">
        <v>494</v>
      </c>
      <c r="I12" s="1511" t="s">
        <v>494</v>
      </c>
      <c r="J12" s="1511" t="s">
        <v>494</v>
      </c>
      <c r="K12" s="1511" t="s">
        <v>494</v>
      </c>
      <c r="L12" s="1511" t="s">
        <v>494</v>
      </c>
      <c r="M12" s="1511" t="s">
        <v>494</v>
      </c>
      <c r="N12" s="1511" t="s">
        <v>494</v>
      </c>
      <c r="O12" s="1511" t="s">
        <v>494</v>
      </c>
      <c r="P12" s="1511" t="s">
        <v>494</v>
      </c>
      <c r="Q12" s="1511" t="s">
        <v>494</v>
      </c>
      <c r="R12" s="1511" t="s">
        <v>494</v>
      </c>
      <c r="S12" s="1511" t="s">
        <v>494</v>
      </c>
      <c r="T12" s="1511" t="s">
        <v>494</v>
      </c>
      <c r="U12" s="1511" t="s">
        <v>494</v>
      </c>
      <c r="V12" s="1511" t="s">
        <v>494</v>
      </c>
      <c r="W12" s="1511" t="s">
        <v>494</v>
      </c>
      <c r="X12" s="1511" t="s">
        <v>494</v>
      </c>
      <c r="Y12" s="1511" t="s">
        <v>494</v>
      </c>
      <c r="Z12" s="1511" t="s">
        <v>494</v>
      </c>
      <c r="AA12" s="1511" t="s">
        <v>494</v>
      </c>
      <c r="AB12" s="1511" t="s">
        <v>494</v>
      </c>
      <c r="AC12" s="1496" t="s">
        <v>494</v>
      </c>
      <c r="AD12" s="1496" t="s">
        <v>494</v>
      </c>
      <c r="AE12" s="545"/>
      <c r="AF12" s="343"/>
      <c r="AG12" s="1508"/>
      <c r="AH12" s="1504"/>
      <c r="AI12" s="1505"/>
    </row>
    <row r="13" spans="1:68" ht="27" customHeight="1">
      <c r="A13" s="2806" t="str">
        <f>"SENIORBONUS. Er den ansatte eller fylder den ansatte 62 år i "&amp;budgetår&amp;" (Vælg: Ja) Seniorbonus beregnes automatisk"</f>
        <v>SENIORBONUS. Er den ansatte eller fylder den ansatte 62 år i 2025 (Vælg: Ja) Seniorbonus beregnes automatisk</v>
      </c>
      <c r="B13" s="2807"/>
      <c r="C13" s="1511" t="s">
        <v>494</v>
      </c>
      <c r="D13" s="1511" t="s">
        <v>494</v>
      </c>
      <c r="E13" s="1511" t="s">
        <v>494</v>
      </c>
      <c r="F13" s="1511" t="s">
        <v>494</v>
      </c>
      <c r="G13" s="1511" t="s">
        <v>494</v>
      </c>
      <c r="H13" s="1511" t="s">
        <v>494</v>
      </c>
      <c r="I13" s="1511" t="s">
        <v>494</v>
      </c>
      <c r="J13" s="1511" t="s">
        <v>494</v>
      </c>
      <c r="K13" s="1511" t="s">
        <v>494</v>
      </c>
      <c r="L13" s="1511" t="s">
        <v>494</v>
      </c>
      <c r="M13" s="1511" t="s">
        <v>494</v>
      </c>
      <c r="N13" s="1511" t="s">
        <v>494</v>
      </c>
      <c r="O13" s="1511" t="s">
        <v>494</v>
      </c>
      <c r="P13" s="1511" t="s">
        <v>494</v>
      </c>
      <c r="Q13" s="1511" t="s">
        <v>494</v>
      </c>
      <c r="R13" s="1511" t="s">
        <v>494</v>
      </c>
      <c r="S13" s="1511" t="s">
        <v>494</v>
      </c>
      <c r="T13" s="1511" t="s">
        <v>494</v>
      </c>
      <c r="U13" s="1511" t="s">
        <v>494</v>
      </c>
      <c r="V13" s="1511" t="s">
        <v>494</v>
      </c>
      <c r="W13" s="1511" t="s">
        <v>494</v>
      </c>
      <c r="X13" s="1511" t="s">
        <v>494</v>
      </c>
      <c r="Y13" s="1511" t="s">
        <v>494</v>
      </c>
      <c r="Z13" s="1511" t="s">
        <v>494</v>
      </c>
      <c r="AA13" s="1511" t="s">
        <v>494</v>
      </c>
      <c r="AB13" s="1511" t="s">
        <v>494</v>
      </c>
      <c r="AC13" s="1512"/>
      <c r="AD13" s="1512"/>
      <c r="AE13" s="545"/>
      <c r="AF13" s="343"/>
      <c r="AG13" s="1508"/>
      <c r="AH13" s="1504"/>
      <c r="AI13" s="1505"/>
    </row>
    <row r="14" spans="1:68" ht="27" customHeight="1">
      <c r="A14" s="2806" t="str">
        <f>"SENIORBONUS. Er den ansatte eller fylder den ansatte 62 år i "&amp;budgetår+1&amp;" (Vælg: Ja) Seniorbonus beregnes automatisk"</f>
        <v>SENIORBONUS. Er den ansatte eller fylder den ansatte 62 år i 2026 (Vælg: Ja) Seniorbonus beregnes automatisk</v>
      </c>
      <c r="B14" s="2807"/>
      <c r="C14" s="1511" t="s">
        <v>494</v>
      </c>
      <c r="D14" s="1511" t="s">
        <v>494</v>
      </c>
      <c r="E14" s="1511" t="s">
        <v>494</v>
      </c>
      <c r="F14" s="1511" t="s">
        <v>494</v>
      </c>
      <c r="G14" s="1511" t="s">
        <v>494</v>
      </c>
      <c r="H14" s="1511" t="s">
        <v>494</v>
      </c>
      <c r="I14" s="1511" t="s">
        <v>494</v>
      </c>
      <c r="J14" s="1511" t="s">
        <v>494</v>
      </c>
      <c r="K14" s="1511" t="s">
        <v>494</v>
      </c>
      <c r="L14" s="1511" t="s">
        <v>494</v>
      </c>
      <c r="M14" s="1511" t="s">
        <v>494</v>
      </c>
      <c r="N14" s="1511" t="s">
        <v>494</v>
      </c>
      <c r="O14" s="1511" t="s">
        <v>494</v>
      </c>
      <c r="P14" s="1511" t="s">
        <v>494</v>
      </c>
      <c r="Q14" s="1511" t="s">
        <v>494</v>
      </c>
      <c r="R14" s="1511" t="s">
        <v>494</v>
      </c>
      <c r="S14" s="1511" t="s">
        <v>494</v>
      </c>
      <c r="T14" s="1511" t="s">
        <v>494</v>
      </c>
      <c r="U14" s="1511" t="s">
        <v>494</v>
      </c>
      <c r="V14" s="1511" t="s">
        <v>494</v>
      </c>
      <c r="W14" s="1511" t="s">
        <v>494</v>
      </c>
      <c r="X14" s="1511" t="s">
        <v>494</v>
      </c>
      <c r="Y14" s="1511" t="s">
        <v>494</v>
      </c>
      <c r="Z14" s="1511" t="s">
        <v>494</v>
      </c>
      <c r="AA14" s="1511" t="s">
        <v>494</v>
      </c>
      <c r="AB14" s="1511" t="s">
        <v>494</v>
      </c>
      <c r="AC14" s="1513"/>
      <c r="AD14" s="1513"/>
      <c r="AE14" s="545"/>
      <c r="AF14" s="343"/>
      <c r="AG14" s="1508"/>
      <c r="AH14" s="1504"/>
      <c r="AI14" s="1505"/>
    </row>
    <row r="15" spans="1:68" ht="25" customHeight="1">
      <c r="A15" s="2806" t="s">
        <v>501</v>
      </c>
      <c r="B15" s="2807"/>
      <c r="C15" s="1514" t="s">
        <v>502</v>
      </c>
      <c r="D15" s="1514" t="s">
        <v>502</v>
      </c>
      <c r="E15" s="1514" t="s">
        <v>502</v>
      </c>
      <c r="F15" s="1496" t="s">
        <v>502</v>
      </c>
      <c r="G15" s="1496" t="s">
        <v>502</v>
      </c>
      <c r="H15" s="1496" t="s">
        <v>502</v>
      </c>
      <c r="I15" s="1496" t="s">
        <v>502</v>
      </c>
      <c r="J15" s="1496" t="s">
        <v>502</v>
      </c>
      <c r="K15" s="1496" t="s">
        <v>502</v>
      </c>
      <c r="L15" s="1496" t="s">
        <v>502</v>
      </c>
      <c r="M15" s="1496" t="s">
        <v>502</v>
      </c>
      <c r="N15" s="1496" t="s">
        <v>502</v>
      </c>
      <c r="O15" s="1496" t="s">
        <v>502</v>
      </c>
      <c r="P15" s="1496" t="s">
        <v>502</v>
      </c>
      <c r="Q15" s="1496" t="s">
        <v>502</v>
      </c>
      <c r="R15" s="1496" t="s">
        <v>502</v>
      </c>
      <c r="S15" s="1496" t="s">
        <v>502</v>
      </c>
      <c r="T15" s="1496" t="s">
        <v>502</v>
      </c>
      <c r="U15" s="1496" t="s">
        <v>502</v>
      </c>
      <c r="V15" s="1496" t="s">
        <v>502</v>
      </c>
      <c r="W15" s="1496" t="s">
        <v>502</v>
      </c>
      <c r="X15" s="1496" t="s">
        <v>502</v>
      </c>
      <c r="Y15" s="1496" t="s">
        <v>502</v>
      </c>
      <c r="Z15" s="1496" t="s">
        <v>502</v>
      </c>
      <c r="AA15" s="1496" t="s">
        <v>502</v>
      </c>
      <c r="AB15" s="1496" t="s">
        <v>502</v>
      </c>
      <c r="AC15" s="1496" t="s">
        <v>502</v>
      </c>
      <c r="AD15" s="1496" t="s">
        <v>502</v>
      </c>
      <c r="AE15" s="547" t="s">
        <v>504</v>
      </c>
      <c r="AF15" s="343" t="s">
        <v>505</v>
      </c>
      <c r="AG15" s="1515" t="s">
        <v>506</v>
      </c>
      <c r="AH15" s="1516" t="s">
        <v>487</v>
      </c>
      <c r="AI15" s="1516">
        <f>budgetår</f>
        <v>2025</v>
      </c>
      <c r="BP15" s="63" t="s">
        <v>507</v>
      </c>
    </row>
    <row r="16" spans="1:68" ht="25" customHeight="1">
      <c r="A16" s="2806" t="s">
        <v>508</v>
      </c>
      <c r="B16" s="2807"/>
      <c r="C16" s="1517">
        <f>PrcAar</f>
        <v>1.2405474765009001</v>
      </c>
      <c r="D16" s="1517">
        <f>PrcAar</f>
        <v>1.2405474765009001</v>
      </c>
      <c r="E16" s="1517">
        <f t="shared" ref="D16:G17" si="2">$C16</f>
        <v>1.2405474765009001</v>
      </c>
      <c r="F16" s="1517">
        <f t="shared" si="2"/>
        <v>1.2405474765009001</v>
      </c>
      <c r="G16" s="1517">
        <f t="shared" si="2"/>
        <v>1.2405474765009001</v>
      </c>
      <c r="H16" s="1517">
        <f t="shared" ref="H16:AD17" si="3">$C16</f>
        <v>1.2405474765009001</v>
      </c>
      <c r="I16" s="1517">
        <f t="shared" si="3"/>
        <v>1.2405474765009001</v>
      </c>
      <c r="J16" s="1517">
        <f t="shared" si="3"/>
        <v>1.2405474765009001</v>
      </c>
      <c r="K16" s="1517">
        <f t="shared" si="3"/>
        <v>1.2405474765009001</v>
      </c>
      <c r="L16" s="1517">
        <f t="shared" si="3"/>
        <v>1.2405474765009001</v>
      </c>
      <c r="M16" s="1517">
        <f t="shared" si="3"/>
        <v>1.2405474765009001</v>
      </c>
      <c r="N16" s="1517">
        <f t="shared" si="3"/>
        <v>1.2405474765009001</v>
      </c>
      <c r="O16" s="1517">
        <f>$C16</f>
        <v>1.2405474765009001</v>
      </c>
      <c r="P16" s="1517">
        <f t="shared" si="3"/>
        <v>1.2405474765009001</v>
      </c>
      <c r="Q16" s="1517">
        <f t="shared" si="3"/>
        <v>1.2405474765009001</v>
      </c>
      <c r="R16" s="1517">
        <f t="shared" si="3"/>
        <v>1.2405474765009001</v>
      </c>
      <c r="S16" s="1517">
        <f t="shared" si="3"/>
        <v>1.2405474765009001</v>
      </c>
      <c r="T16" s="1517">
        <f t="shared" si="3"/>
        <v>1.2405474765009001</v>
      </c>
      <c r="U16" s="1517">
        <f t="shared" si="3"/>
        <v>1.2405474765009001</v>
      </c>
      <c r="V16" s="1517">
        <f t="shared" si="3"/>
        <v>1.2405474765009001</v>
      </c>
      <c r="W16" s="1517">
        <f t="shared" si="3"/>
        <v>1.2405474765009001</v>
      </c>
      <c r="X16" s="1517">
        <f t="shared" si="3"/>
        <v>1.2405474765009001</v>
      </c>
      <c r="Y16" s="1517">
        <f t="shared" si="3"/>
        <v>1.2405474765009001</v>
      </c>
      <c r="Z16" s="1517">
        <f t="shared" si="3"/>
        <v>1.2405474765009001</v>
      </c>
      <c r="AA16" s="1517">
        <f t="shared" si="3"/>
        <v>1.2405474765009001</v>
      </c>
      <c r="AB16" s="1517">
        <f t="shared" si="3"/>
        <v>1.2405474765009001</v>
      </c>
      <c r="AC16" s="1517">
        <f t="shared" si="3"/>
        <v>1.2405474765009001</v>
      </c>
      <c r="AD16" s="1517">
        <f t="shared" si="3"/>
        <v>1.2405474765009001</v>
      </c>
      <c r="AE16" s="548"/>
      <c r="AF16" s="343" t="s">
        <v>494</v>
      </c>
      <c r="AG16" s="1518" t="s">
        <v>509</v>
      </c>
      <c r="AH16" s="1504"/>
      <c r="AI16" s="1518"/>
    </row>
    <row r="17" spans="1:35" ht="25" customHeight="1">
      <c r="A17" s="2806" t="s">
        <v>510</v>
      </c>
      <c r="B17" s="2807"/>
      <c r="C17" s="1510">
        <f>Forside!H12</f>
        <v>2</v>
      </c>
      <c r="D17" s="1510">
        <f t="shared" si="2"/>
        <v>2</v>
      </c>
      <c r="E17" s="1510">
        <f t="shared" si="2"/>
        <v>2</v>
      </c>
      <c r="F17" s="1510">
        <f>$C17</f>
        <v>2</v>
      </c>
      <c r="G17" s="1510">
        <f t="shared" si="2"/>
        <v>2</v>
      </c>
      <c r="H17" s="1510">
        <f t="shared" si="3"/>
        <v>2</v>
      </c>
      <c r="I17" s="1510">
        <f t="shared" si="3"/>
        <v>2</v>
      </c>
      <c r="J17" s="1510">
        <f t="shared" si="3"/>
        <v>2</v>
      </c>
      <c r="K17" s="1510">
        <f t="shared" si="3"/>
        <v>2</v>
      </c>
      <c r="L17" s="1510">
        <f t="shared" si="3"/>
        <v>2</v>
      </c>
      <c r="M17" s="1510">
        <f t="shared" si="3"/>
        <v>2</v>
      </c>
      <c r="N17" s="1510">
        <f t="shared" si="3"/>
        <v>2</v>
      </c>
      <c r="O17" s="1510">
        <f>$C17</f>
        <v>2</v>
      </c>
      <c r="P17" s="1510">
        <f t="shared" si="3"/>
        <v>2</v>
      </c>
      <c r="Q17" s="1510">
        <f t="shared" si="3"/>
        <v>2</v>
      </c>
      <c r="R17" s="1510">
        <f t="shared" si="3"/>
        <v>2</v>
      </c>
      <c r="S17" s="1510">
        <f t="shared" si="3"/>
        <v>2</v>
      </c>
      <c r="T17" s="1510">
        <f t="shared" si="3"/>
        <v>2</v>
      </c>
      <c r="U17" s="1510">
        <f t="shared" si="3"/>
        <v>2</v>
      </c>
      <c r="V17" s="1510">
        <f t="shared" si="3"/>
        <v>2</v>
      </c>
      <c r="W17" s="1510">
        <f t="shared" si="3"/>
        <v>2</v>
      </c>
      <c r="X17" s="1510">
        <f t="shared" si="3"/>
        <v>2</v>
      </c>
      <c r="Y17" s="1510">
        <f t="shared" si="3"/>
        <v>2</v>
      </c>
      <c r="Z17" s="1510">
        <f t="shared" si="3"/>
        <v>2</v>
      </c>
      <c r="AA17" s="1510">
        <f t="shared" si="3"/>
        <v>2</v>
      </c>
      <c r="AB17" s="1510">
        <f t="shared" si="3"/>
        <v>2</v>
      </c>
      <c r="AC17" s="1510">
        <f t="shared" si="3"/>
        <v>2</v>
      </c>
      <c r="AD17" s="1510">
        <f t="shared" si="3"/>
        <v>2</v>
      </c>
      <c r="AE17" s="545" t="s">
        <v>511</v>
      </c>
      <c r="AF17" s="343" t="s">
        <v>502</v>
      </c>
      <c r="AG17" s="1518" t="s">
        <v>512</v>
      </c>
      <c r="AH17" s="1504"/>
      <c r="AI17" s="1519">
        <f>SUM(F124:AB124)+SUM(F133:AB133)</f>
        <v>0</v>
      </c>
    </row>
    <row r="18" spans="1:35" ht="25" customHeight="1">
      <c r="A18" s="2806" t="s">
        <v>513</v>
      </c>
      <c r="B18" s="2807"/>
      <c r="C18" s="1514"/>
      <c r="D18" s="1514"/>
      <c r="E18" s="1514"/>
      <c r="F18" s="1520"/>
      <c r="G18" s="1520"/>
      <c r="H18" s="1520"/>
      <c r="I18" s="1520"/>
      <c r="J18" s="1520"/>
      <c r="K18" s="1520"/>
      <c r="L18" s="1520"/>
      <c r="M18" s="1520"/>
      <c r="N18" s="1520"/>
      <c r="O18" s="1520"/>
      <c r="P18" s="1520"/>
      <c r="Q18" s="1514"/>
      <c r="R18" s="1514"/>
      <c r="S18" s="1514"/>
      <c r="T18" s="1514"/>
      <c r="U18" s="1514"/>
      <c r="V18" s="1514"/>
      <c r="W18" s="1514"/>
      <c r="X18" s="1514"/>
      <c r="Y18" s="1514"/>
      <c r="Z18" s="1514"/>
      <c r="AA18" s="1514"/>
      <c r="AB18" s="1514"/>
      <c r="AC18" s="1521"/>
      <c r="AD18" s="1521"/>
      <c r="AE18" s="547" t="s">
        <v>514</v>
      </c>
      <c r="AG18" s="1518" t="s">
        <v>515</v>
      </c>
      <c r="AH18" s="1504"/>
      <c r="AI18" s="1519">
        <f>SUM(F121:AB121)</f>
        <v>0</v>
      </c>
    </row>
    <row r="19" spans="1:35" ht="25" customHeight="1">
      <c r="A19" s="2804" t="s">
        <v>516</v>
      </c>
      <c r="B19" s="2805"/>
      <c r="C19" s="1522"/>
      <c r="D19" s="1522"/>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1"/>
      <c r="AD19" s="1521"/>
      <c r="AE19" s="547"/>
      <c r="AG19" s="1518"/>
      <c r="AH19" s="1504"/>
      <c r="AI19" s="1519"/>
    </row>
    <row r="20" spans="1:35" ht="25" customHeight="1">
      <c r="A20" s="2804" t="s">
        <v>517</v>
      </c>
      <c r="B20" s="2805"/>
      <c r="C20" s="1523"/>
      <c r="D20" s="1523"/>
      <c r="E20" s="1523"/>
      <c r="F20" s="1524"/>
      <c r="G20" s="1524"/>
      <c r="H20" s="1524"/>
      <c r="I20" s="1524"/>
      <c r="J20" s="1525"/>
      <c r="K20" s="1525"/>
      <c r="L20" s="1525"/>
      <c r="M20" s="1525"/>
      <c r="N20" s="1525"/>
      <c r="O20" s="1524"/>
      <c r="P20" s="1524"/>
      <c r="Q20" s="1524"/>
      <c r="R20" s="1524"/>
      <c r="S20" s="1524"/>
      <c r="T20" s="1524"/>
      <c r="U20" s="1524"/>
      <c r="V20" s="1524"/>
      <c r="W20" s="1524"/>
      <c r="X20" s="1524"/>
      <c r="Y20" s="1524"/>
      <c r="Z20" s="1524"/>
      <c r="AA20" s="1524"/>
      <c r="AB20" s="1524"/>
      <c r="AC20" s="1526"/>
      <c r="AD20" s="1526"/>
      <c r="AE20" s="545" t="s">
        <v>518</v>
      </c>
      <c r="AG20" s="1518" t="s">
        <v>519</v>
      </c>
      <c r="AH20" s="1504"/>
      <c r="AI20" s="1519">
        <f>SUM(F118:AB118)</f>
        <v>0</v>
      </c>
    </row>
    <row r="21" spans="1:35" ht="24" customHeight="1">
      <c r="A21" s="2806" t="s">
        <v>520</v>
      </c>
      <c r="B21" s="2807"/>
      <c r="C21" s="1523"/>
      <c r="D21" s="1523"/>
      <c r="E21" s="1523"/>
      <c r="F21" s="1527">
        <f t="shared" ref="F21:AB21" si="4">IF(F18&gt;0,ROUND((ROUND(VLOOKUP(F4,basistabel,2,0)*F16,0))/12,2),0)</f>
        <v>0</v>
      </c>
      <c r="G21" s="1527">
        <f t="shared" si="4"/>
        <v>0</v>
      </c>
      <c r="H21" s="1527">
        <f t="shared" si="4"/>
        <v>0</v>
      </c>
      <c r="I21" s="1527">
        <f t="shared" si="4"/>
        <v>0</v>
      </c>
      <c r="J21" s="1527">
        <f t="shared" si="4"/>
        <v>0</v>
      </c>
      <c r="K21" s="1527">
        <f t="shared" si="4"/>
        <v>0</v>
      </c>
      <c r="L21" s="1527">
        <f t="shared" si="4"/>
        <v>0</v>
      </c>
      <c r="M21" s="1527">
        <f t="shared" si="4"/>
        <v>0</v>
      </c>
      <c r="N21" s="1527">
        <f t="shared" si="4"/>
        <v>0</v>
      </c>
      <c r="O21" s="1527">
        <f t="shared" si="4"/>
        <v>0</v>
      </c>
      <c r="P21" s="1527">
        <f t="shared" si="4"/>
        <v>0</v>
      </c>
      <c r="Q21" s="1527">
        <f t="shared" si="4"/>
        <v>0</v>
      </c>
      <c r="R21" s="1527">
        <f t="shared" si="4"/>
        <v>0</v>
      </c>
      <c r="S21" s="1527">
        <f t="shared" si="4"/>
        <v>0</v>
      </c>
      <c r="T21" s="1527">
        <f t="shared" si="4"/>
        <v>0</v>
      </c>
      <c r="U21" s="1527">
        <f t="shared" si="4"/>
        <v>0</v>
      </c>
      <c r="V21" s="1527">
        <f t="shared" si="4"/>
        <v>0</v>
      </c>
      <c r="W21" s="1527">
        <f t="shared" si="4"/>
        <v>0</v>
      </c>
      <c r="X21" s="1527">
        <f t="shared" si="4"/>
        <v>0</v>
      </c>
      <c r="Y21" s="1527">
        <f t="shared" si="4"/>
        <v>0</v>
      </c>
      <c r="Z21" s="1527">
        <f t="shared" si="4"/>
        <v>0</v>
      </c>
      <c r="AA21" s="1527">
        <f t="shared" si="4"/>
        <v>0</v>
      </c>
      <c r="AB21" s="1527">
        <f t="shared" si="4"/>
        <v>0</v>
      </c>
      <c r="AC21" s="1526"/>
      <c r="AD21" s="1526"/>
      <c r="AE21" s="545" t="s">
        <v>521</v>
      </c>
      <c r="AG21" s="1518" t="s">
        <v>522</v>
      </c>
      <c r="AH21" s="1504"/>
      <c r="AI21" s="1519">
        <f>SUM(F127:AB127)</f>
        <v>0</v>
      </c>
    </row>
    <row r="22" spans="1:35" ht="24" customHeight="1">
      <c r="A22" s="2806" t="s">
        <v>523</v>
      </c>
      <c r="B22" s="2807"/>
      <c r="C22" s="1528"/>
      <c r="D22" s="1528"/>
      <c r="E22" s="1528"/>
      <c r="F22" s="1529">
        <f t="shared" ref="F22:AB22" si="5">IF(AND(F4="Bh1",(F7+F8)&gt;0),900/12*F16*(F7+F8)/F9,0)+IF(AND(F4="Bh2",(F7+F8)&gt;0),900/12*F16*(F7+F8)/F9,0)+IF(AND(F4="Bh3",(F7+F8)&gt;0),900/12*F16*(F7+F8)/F9,0)+IF(AND(F4="Bh4",(F7+F8)&gt;0),900/12*F16*(F7+F8)/F9,0)</f>
        <v>0</v>
      </c>
      <c r="G22" s="1529">
        <f t="shared" si="5"/>
        <v>0</v>
      </c>
      <c r="H22" s="1529">
        <f t="shared" si="5"/>
        <v>0</v>
      </c>
      <c r="I22" s="1529">
        <f t="shared" si="5"/>
        <v>0</v>
      </c>
      <c r="J22" s="1529">
        <f t="shared" si="5"/>
        <v>0</v>
      </c>
      <c r="K22" s="1529">
        <f t="shared" si="5"/>
        <v>0</v>
      </c>
      <c r="L22" s="1529">
        <f t="shared" si="5"/>
        <v>0</v>
      </c>
      <c r="M22" s="1529">
        <f t="shared" si="5"/>
        <v>0</v>
      </c>
      <c r="N22" s="1529">
        <f t="shared" si="5"/>
        <v>0</v>
      </c>
      <c r="O22" s="1529">
        <f t="shared" si="5"/>
        <v>0</v>
      </c>
      <c r="P22" s="1529">
        <f t="shared" si="5"/>
        <v>0</v>
      </c>
      <c r="Q22" s="1529">
        <f t="shared" si="5"/>
        <v>0</v>
      </c>
      <c r="R22" s="1529">
        <f t="shared" si="5"/>
        <v>0</v>
      </c>
      <c r="S22" s="1529">
        <f t="shared" si="5"/>
        <v>0</v>
      </c>
      <c r="T22" s="1529">
        <f t="shared" si="5"/>
        <v>0</v>
      </c>
      <c r="U22" s="1529">
        <f t="shared" si="5"/>
        <v>0</v>
      </c>
      <c r="V22" s="1529">
        <f t="shared" si="5"/>
        <v>0</v>
      </c>
      <c r="W22" s="1529">
        <f t="shared" si="5"/>
        <v>0</v>
      </c>
      <c r="X22" s="1529">
        <f t="shared" si="5"/>
        <v>0</v>
      </c>
      <c r="Y22" s="1529">
        <f t="shared" si="5"/>
        <v>0</v>
      </c>
      <c r="Z22" s="1529">
        <f t="shared" si="5"/>
        <v>0</v>
      </c>
      <c r="AA22" s="1529">
        <f t="shared" si="5"/>
        <v>0</v>
      </c>
      <c r="AB22" s="1529">
        <f t="shared" si="5"/>
        <v>0</v>
      </c>
      <c r="AC22" s="1526"/>
      <c r="AD22" s="1526"/>
      <c r="AE22" s="545"/>
      <c r="AG22" s="1518"/>
      <c r="AH22" s="1504"/>
      <c r="AI22" s="1519"/>
    </row>
    <row r="23" spans="1:35" ht="24" customHeight="1">
      <c r="A23" s="2806" t="s">
        <v>524</v>
      </c>
      <c r="B23" s="2807"/>
      <c r="C23" s="1530"/>
      <c r="D23" s="1530"/>
      <c r="E23" s="1530"/>
      <c r="F23" s="1529">
        <f t="shared" ref="F23:AB23" si="6">IF(F18&gt;0,ROUND((VLOOKUP(F4,omraadetabel,F17,0))/12,2),0)</f>
        <v>0</v>
      </c>
      <c r="G23" s="1529">
        <f t="shared" si="6"/>
        <v>0</v>
      </c>
      <c r="H23" s="1529">
        <f t="shared" si="6"/>
        <v>0</v>
      </c>
      <c r="I23" s="1529">
        <f t="shared" si="6"/>
        <v>0</v>
      </c>
      <c r="J23" s="1529">
        <f t="shared" si="6"/>
        <v>0</v>
      </c>
      <c r="K23" s="1529">
        <f t="shared" si="6"/>
        <v>0</v>
      </c>
      <c r="L23" s="1529">
        <f t="shared" si="6"/>
        <v>0</v>
      </c>
      <c r="M23" s="1529">
        <f t="shared" si="6"/>
        <v>0</v>
      </c>
      <c r="N23" s="1529">
        <f t="shared" si="6"/>
        <v>0</v>
      </c>
      <c r="O23" s="1529">
        <f t="shared" si="6"/>
        <v>0</v>
      </c>
      <c r="P23" s="1529">
        <f t="shared" si="6"/>
        <v>0</v>
      </c>
      <c r="Q23" s="1529">
        <f t="shared" si="6"/>
        <v>0</v>
      </c>
      <c r="R23" s="1529">
        <f t="shared" si="6"/>
        <v>0</v>
      </c>
      <c r="S23" s="1529">
        <f t="shared" si="6"/>
        <v>0</v>
      </c>
      <c r="T23" s="1529">
        <f t="shared" si="6"/>
        <v>0</v>
      </c>
      <c r="U23" s="1529">
        <f t="shared" si="6"/>
        <v>0</v>
      </c>
      <c r="V23" s="1529">
        <f t="shared" si="6"/>
        <v>0</v>
      </c>
      <c r="W23" s="1529">
        <f t="shared" si="6"/>
        <v>0</v>
      </c>
      <c r="X23" s="1529">
        <f t="shared" si="6"/>
        <v>0</v>
      </c>
      <c r="Y23" s="1529">
        <f t="shared" si="6"/>
        <v>0</v>
      </c>
      <c r="Z23" s="1529">
        <f t="shared" si="6"/>
        <v>0</v>
      </c>
      <c r="AA23" s="1529">
        <f t="shared" si="6"/>
        <v>0</v>
      </c>
      <c r="AB23" s="1529">
        <f t="shared" si="6"/>
        <v>0</v>
      </c>
      <c r="AC23" s="1526"/>
      <c r="AD23" s="1526"/>
      <c r="AE23" s="545" t="s">
        <v>521</v>
      </c>
      <c r="AG23" s="1518" t="s">
        <v>525</v>
      </c>
      <c r="AH23" s="1504"/>
      <c r="AI23" s="1519">
        <f>SUM(F129:AB129)</f>
        <v>0</v>
      </c>
    </row>
    <row r="24" spans="1:35" ht="24" customHeight="1">
      <c r="A24" s="2806" t="s">
        <v>526</v>
      </c>
      <c r="B24" s="2807"/>
      <c r="C24" s="1527">
        <f>IF(C4&gt;0,C4/12*C16*C$18,0)</f>
        <v>0</v>
      </c>
      <c r="D24" s="1527">
        <f>IF(D4&gt;0,D4/12*D16*D$18,0)</f>
        <v>0</v>
      </c>
      <c r="E24" s="1527">
        <f>IF(E4&gt;0,E4/12*E16*E$18,0)</f>
        <v>0</v>
      </c>
      <c r="F24" s="1527">
        <f>ROUND((F$21+F$23+F22)*F$18,2)</f>
        <v>0</v>
      </c>
      <c r="G24" s="1527">
        <f t="shared" ref="G24:I24" si="7">ROUND((G$21+G$23+G22)*G$18,2)</f>
        <v>0</v>
      </c>
      <c r="H24" s="1527">
        <f t="shared" si="7"/>
        <v>0</v>
      </c>
      <c r="I24" s="1527">
        <f t="shared" si="7"/>
        <v>0</v>
      </c>
      <c r="J24" s="1527">
        <f>ROUND((J$21+J$23+J22)*J$18,2)</f>
        <v>0</v>
      </c>
      <c r="K24" s="1527">
        <f t="shared" ref="K24:AB24" si="8">ROUND((K$21+K$23+K22)*K$18,2)</f>
        <v>0</v>
      </c>
      <c r="L24" s="1527">
        <f t="shared" si="8"/>
        <v>0</v>
      </c>
      <c r="M24" s="1527">
        <f>ROUND((M$21+M$23+M22)*M$18,2)</f>
        <v>0</v>
      </c>
      <c r="N24" s="1527">
        <f t="shared" si="8"/>
        <v>0</v>
      </c>
      <c r="O24" s="1527">
        <f t="shared" si="8"/>
        <v>0</v>
      </c>
      <c r="P24" s="1527">
        <f t="shared" si="8"/>
        <v>0</v>
      </c>
      <c r="Q24" s="1527">
        <f t="shared" si="8"/>
        <v>0</v>
      </c>
      <c r="R24" s="1527">
        <f t="shared" si="8"/>
        <v>0</v>
      </c>
      <c r="S24" s="1527">
        <f t="shared" si="8"/>
        <v>0</v>
      </c>
      <c r="T24" s="1527">
        <f t="shared" si="8"/>
        <v>0</v>
      </c>
      <c r="U24" s="1527">
        <f t="shared" si="8"/>
        <v>0</v>
      </c>
      <c r="V24" s="1527">
        <f t="shared" si="8"/>
        <v>0</v>
      </c>
      <c r="W24" s="1527">
        <f t="shared" si="8"/>
        <v>0</v>
      </c>
      <c r="X24" s="1527">
        <f t="shared" si="8"/>
        <v>0</v>
      </c>
      <c r="Y24" s="1527">
        <f t="shared" si="8"/>
        <v>0</v>
      </c>
      <c r="Z24" s="1527">
        <f t="shared" si="8"/>
        <v>0</v>
      </c>
      <c r="AA24" s="1527">
        <f t="shared" si="8"/>
        <v>0</v>
      </c>
      <c r="AB24" s="1527">
        <f t="shared" si="8"/>
        <v>0</v>
      </c>
      <c r="AC24" s="1527">
        <f>(AC4*AC16)*AC5</f>
        <v>0</v>
      </c>
      <c r="AD24" s="1527">
        <f>(AD4*AD16)*AD5</f>
        <v>0</v>
      </c>
      <c r="AE24" s="545"/>
      <c r="AG24" s="1518" t="s">
        <v>527</v>
      </c>
      <c r="AH24" s="1504"/>
      <c r="AI24" s="1519">
        <f>SUM(F131:AB131)</f>
        <v>0</v>
      </c>
    </row>
    <row r="25" spans="1:35" ht="24" customHeight="1">
      <c r="A25" s="2806" t="s">
        <v>519</v>
      </c>
      <c r="B25" s="2807"/>
      <c r="C25" s="1530"/>
      <c r="D25" s="1530"/>
      <c r="E25" s="1530"/>
      <c r="F25" s="1531">
        <f>ROUND(SUM(F111:F114),2)</f>
        <v>0</v>
      </c>
      <c r="G25" s="1531">
        <f>ROUND(SUM(G111:G114),2)</f>
        <v>0</v>
      </c>
      <c r="H25" s="1531">
        <f t="shared" ref="H25:AB25" si="9">ROUND(SUM(H111:H114),2)</f>
        <v>0</v>
      </c>
      <c r="I25" s="1531">
        <f t="shared" si="9"/>
        <v>0</v>
      </c>
      <c r="J25" s="1531">
        <f t="shared" si="9"/>
        <v>0</v>
      </c>
      <c r="K25" s="1531">
        <f t="shared" ref="K25" si="10">ROUND(SUM(K111:K114),2)</f>
        <v>0</v>
      </c>
      <c r="L25" s="1531">
        <f t="shared" si="9"/>
        <v>0</v>
      </c>
      <c r="M25" s="1531">
        <f t="shared" si="9"/>
        <v>0</v>
      </c>
      <c r="N25" s="1531">
        <f t="shared" si="9"/>
        <v>0</v>
      </c>
      <c r="O25" s="1531">
        <f t="shared" si="9"/>
        <v>0</v>
      </c>
      <c r="P25" s="1531">
        <f t="shared" si="9"/>
        <v>0</v>
      </c>
      <c r="Q25" s="1531">
        <f t="shared" si="9"/>
        <v>0</v>
      </c>
      <c r="R25" s="1531">
        <f t="shared" si="9"/>
        <v>0</v>
      </c>
      <c r="S25" s="1531">
        <f t="shared" si="9"/>
        <v>0</v>
      </c>
      <c r="T25" s="1531">
        <f t="shared" si="9"/>
        <v>0</v>
      </c>
      <c r="U25" s="1531">
        <f t="shared" si="9"/>
        <v>0</v>
      </c>
      <c r="V25" s="1531">
        <f t="shared" ref="V25" si="11">ROUND(SUM(V111:V114),2)</f>
        <v>0</v>
      </c>
      <c r="W25" s="1531">
        <f t="shared" ref="W25:Y25" si="12">ROUND(SUM(W111:W114),2)</f>
        <v>0</v>
      </c>
      <c r="X25" s="1531">
        <f t="shared" si="12"/>
        <v>0</v>
      </c>
      <c r="Y25" s="1531">
        <f t="shared" si="12"/>
        <v>0</v>
      </c>
      <c r="Z25" s="1531">
        <f t="shared" ref="Z25:AA25" si="13">ROUND(SUM(Z111:Z114),2)</f>
        <v>0</v>
      </c>
      <c r="AA25" s="1531">
        <f t="shared" si="13"/>
        <v>0</v>
      </c>
      <c r="AB25" s="1531">
        <f t="shared" si="9"/>
        <v>0</v>
      </c>
      <c r="AC25" s="1526"/>
      <c r="AD25" s="1526"/>
      <c r="AE25" s="549" t="s">
        <v>528</v>
      </c>
      <c r="AG25" s="1518" t="s">
        <v>529</v>
      </c>
      <c r="AH25" s="1504"/>
      <c r="AI25" s="1519">
        <f>SUM(F135:AD135)</f>
        <v>0</v>
      </c>
    </row>
    <row r="26" spans="1:35" ht="30" customHeight="1">
      <c r="A26" s="2804" t="s">
        <v>530</v>
      </c>
      <c r="B26" s="2805"/>
      <c r="C26" s="1530"/>
      <c r="D26" s="1530"/>
      <c r="E26" s="1530"/>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26"/>
      <c r="AD26" s="1526"/>
      <c r="AE26" s="549" t="s">
        <v>531</v>
      </c>
      <c r="AG26" s="1518" t="s">
        <v>532</v>
      </c>
      <c r="AH26" s="1504"/>
      <c r="AI26" s="1519">
        <f>SUM(F138:AD138)</f>
        <v>0</v>
      </c>
    </row>
    <row r="27" spans="1:35" ht="30" customHeight="1">
      <c r="A27" s="2804" t="s">
        <v>533</v>
      </c>
      <c r="B27" s="2805"/>
      <c r="C27" s="550"/>
      <c r="D27" s="550"/>
      <c r="E27" s="551"/>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551"/>
      <c r="AD27" s="551"/>
      <c r="AE27" s="545" t="s">
        <v>534</v>
      </c>
      <c r="AG27" s="1518" t="s">
        <v>535</v>
      </c>
      <c r="AH27" s="1504"/>
      <c r="AI27" s="1519">
        <f>SUM(F146:AD146)</f>
        <v>0</v>
      </c>
    </row>
    <row r="28" spans="1:35" ht="30" customHeight="1">
      <c r="A28" s="2804" t="s">
        <v>533</v>
      </c>
      <c r="B28" s="2805"/>
      <c r="C28" s="552"/>
      <c r="D28" s="552"/>
      <c r="E28" s="553"/>
      <c r="F28" s="1532"/>
      <c r="G28" s="1532"/>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3"/>
      <c r="AD28" s="1533"/>
      <c r="AE28" s="545" t="s">
        <v>534</v>
      </c>
      <c r="AG28" s="1518" t="s">
        <v>536</v>
      </c>
      <c r="AH28" s="1504"/>
      <c r="AI28" s="1519">
        <f>SUM(F144:AD144)</f>
        <v>0</v>
      </c>
    </row>
    <row r="29" spans="1:35" ht="30" customHeight="1">
      <c r="A29" s="2804" t="s">
        <v>537</v>
      </c>
      <c r="B29" s="2805"/>
      <c r="C29" s="1534"/>
      <c r="D29" s="1534"/>
      <c r="E29" s="1535"/>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5"/>
      <c r="AD29" s="1535"/>
      <c r="AE29" s="545" t="s">
        <v>538</v>
      </c>
      <c r="AG29" s="1518" t="s">
        <v>539</v>
      </c>
      <c r="AH29" s="1504"/>
      <c r="AI29" s="1519">
        <f>SUM(F141:AD141)</f>
        <v>0</v>
      </c>
    </row>
    <row r="30" spans="1:35" ht="30" customHeight="1">
      <c r="A30" s="2804" t="s">
        <v>540</v>
      </c>
      <c r="B30" s="2805"/>
      <c r="C30" s="1530"/>
      <c r="D30" s="1530"/>
      <c r="E30" s="1536"/>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6"/>
      <c r="AD30" s="1536"/>
      <c r="AE30" s="545" t="s">
        <v>538</v>
      </c>
      <c r="AG30" s="1537" t="s">
        <v>541</v>
      </c>
      <c r="AH30" s="1516" t="s">
        <v>487</v>
      </c>
      <c r="AI30" s="1516">
        <f>budgetår</f>
        <v>2025</v>
      </c>
    </row>
    <row r="31" spans="1:35" ht="30" customHeight="1">
      <c r="A31" s="2804" t="s">
        <v>540</v>
      </c>
      <c r="B31" s="2805"/>
      <c r="C31" s="554"/>
      <c r="D31" s="554"/>
      <c r="E31" s="551"/>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551"/>
      <c r="AD31" s="551"/>
      <c r="AE31" s="545" t="s">
        <v>538</v>
      </c>
      <c r="AG31" s="1538" t="s">
        <v>542</v>
      </c>
      <c r="AH31" s="1504"/>
      <c r="AI31" s="1539">
        <f>SUM(C148:AD148)</f>
        <v>0</v>
      </c>
    </row>
    <row r="32" spans="1:35" ht="24" customHeight="1">
      <c r="A32" s="2804" t="s">
        <v>1569</v>
      </c>
      <c r="B32" s="2805"/>
      <c r="C32" s="555"/>
      <c r="D32" s="555"/>
      <c r="E32" s="555"/>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555"/>
      <c r="AD32" s="555"/>
      <c r="AE32" s="545"/>
      <c r="AG32" s="1538" t="s">
        <v>543</v>
      </c>
      <c r="AH32" s="1504"/>
      <c r="AI32" s="1539">
        <f>SUM(C153:AD153)</f>
        <v>0</v>
      </c>
    </row>
    <row r="33" spans="1:35" ht="41" customHeight="1">
      <c r="A33" s="2804" t="s">
        <v>544</v>
      </c>
      <c r="B33" s="2805"/>
      <c r="C33" s="552"/>
      <c r="D33" s="552"/>
      <c r="E33" s="553"/>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553"/>
      <c r="AD33" s="553"/>
      <c r="AE33" s="545" t="s">
        <v>538</v>
      </c>
      <c r="AG33" s="1538" t="s">
        <v>103</v>
      </c>
      <c r="AH33" s="1504"/>
      <c r="AI33" s="1539">
        <f>SUM(C156:AD156)</f>
        <v>0</v>
      </c>
    </row>
    <row r="34" spans="1:35" ht="29" customHeight="1">
      <c r="A34" s="2804" t="s">
        <v>545</v>
      </c>
      <c r="B34" s="2805"/>
      <c r="C34" s="1540"/>
      <c r="D34" s="1540"/>
      <c r="E34" s="1540"/>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26"/>
      <c r="AD34" s="1526"/>
      <c r="AE34" s="545" t="s">
        <v>528</v>
      </c>
      <c r="AG34" s="1538" t="s">
        <v>546</v>
      </c>
      <c r="AH34" s="1504"/>
      <c r="AI34" s="1539">
        <f>SUM(C164:AD164)</f>
        <v>0</v>
      </c>
    </row>
    <row r="35" spans="1:35" ht="24" customHeight="1">
      <c r="A35" s="2804" t="s">
        <v>547</v>
      </c>
      <c r="B35" s="2805"/>
      <c r="C35" s="556"/>
      <c r="D35" s="556"/>
      <c r="E35" s="556"/>
      <c r="F35" s="557">
        <f t="shared" ref="F35:AB35" si="14">MAX(ROUND((IF(RIGHT(F4)="1",5200)+IF(OR(RIGHT(F4)="2",RIGHT(F4)="3"),7900))*F16/12*F18,2),0)</f>
        <v>0</v>
      </c>
      <c r="G35" s="557">
        <f t="shared" si="14"/>
        <v>0</v>
      </c>
      <c r="H35" s="557">
        <f t="shared" si="14"/>
        <v>0</v>
      </c>
      <c r="I35" s="557">
        <f t="shared" si="14"/>
        <v>0</v>
      </c>
      <c r="J35" s="557">
        <f t="shared" si="14"/>
        <v>0</v>
      </c>
      <c r="K35" s="557">
        <f t="shared" si="14"/>
        <v>0</v>
      </c>
      <c r="L35" s="557">
        <f t="shared" si="14"/>
        <v>0</v>
      </c>
      <c r="M35" s="557">
        <f t="shared" si="14"/>
        <v>0</v>
      </c>
      <c r="N35" s="557">
        <f t="shared" si="14"/>
        <v>0</v>
      </c>
      <c r="O35" s="557">
        <f t="shared" si="14"/>
        <v>0</v>
      </c>
      <c r="P35" s="557">
        <f t="shared" si="14"/>
        <v>0</v>
      </c>
      <c r="Q35" s="557">
        <f t="shared" si="14"/>
        <v>0</v>
      </c>
      <c r="R35" s="557">
        <f t="shared" si="14"/>
        <v>0</v>
      </c>
      <c r="S35" s="557">
        <f t="shared" si="14"/>
        <v>0</v>
      </c>
      <c r="T35" s="557">
        <f t="shared" si="14"/>
        <v>0</v>
      </c>
      <c r="U35" s="557">
        <f t="shared" si="14"/>
        <v>0</v>
      </c>
      <c r="V35" s="557">
        <f t="shared" si="14"/>
        <v>0</v>
      </c>
      <c r="W35" s="557">
        <f t="shared" si="14"/>
        <v>0</v>
      </c>
      <c r="X35" s="557">
        <f t="shared" si="14"/>
        <v>0</v>
      </c>
      <c r="Y35" s="557">
        <f t="shared" si="14"/>
        <v>0</v>
      </c>
      <c r="Z35" s="557">
        <f t="shared" si="14"/>
        <v>0</v>
      </c>
      <c r="AA35" s="557">
        <f t="shared" si="14"/>
        <v>0</v>
      </c>
      <c r="AB35" s="557">
        <f t="shared" si="14"/>
        <v>0</v>
      </c>
      <c r="AC35" s="1526"/>
      <c r="AD35" s="1526"/>
      <c r="AE35" s="545"/>
      <c r="AG35" s="1538" t="s">
        <v>548</v>
      </c>
      <c r="AH35" s="1504"/>
      <c r="AI35" s="1539">
        <f>SUM(C166:AD166)</f>
        <v>0</v>
      </c>
    </row>
    <row r="36" spans="1:35" ht="24" customHeight="1">
      <c r="A36" s="2804" t="s">
        <v>549</v>
      </c>
      <c r="B36" s="2805"/>
      <c r="C36" s="556"/>
      <c r="D36" s="556"/>
      <c r="E36" s="556"/>
      <c r="F36" s="557">
        <f t="shared" ref="F36:AB36" si="15">ROUND(IF(F$4&lt;&gt;"",2800,0)*F$18/12*F$16,2)</f>
        <v>0</v>
      </c>
      <c r="G36" s="557">
        <f t="shared" si="15"/>
        <v>0</v>
      </c>
      <c r="H36" s="557">
        <f t="shared" si="15"/>
        <v>0</v>
      </c>
      <c r="I36" s="557">
        <f t="shared" si="15"/>
        <v>0</v>
      </c>
      <c r="J36" s="557">
        <f t="shared" si="15"/>
        <v>0</v>
      </c>
      <c r="K36" s="557">
        <f t="shared" si="15"/>
        <v>0</v>
      </c>
      <c r="L36" s="557">
        <f t="shared" si="15"/>
        <v>0</v>
      </c>
      <c r="M36" s="557">
        <f t="shared" si="15"/>
        <v>0</v>
      </c>
      <c r="N36" s="557">
        <f t="shared" si="15"/>
        <v>0</v>
      </c>
      <c r="O36" s="557">
        <f t="shared" si="15"/>
        <v>0</v>
      </c>
      <c r="P36" s="557">
        <f t="shared" si="15"/>
        <v>0</v>
      </c>
      <c r="Q36" s="557">
        <f t="shared" si="15"/>
        <v>0</v>
      </c>
      <c r="R36" s="557">
        <f t="shared" si="15"/>
        <v>0</v>
      </c>
      <c r="S36" s="557">
        <f t="shared" si="15"/>
        <v>0</v>
      </c>
      <c r="T36" s="557">
        <f t="shared" si="15"/>
        <v>0</v>
      </c>
      <c r="U36" s="557">
        <f t="shared" si="15"/>
        <v>0</v>
      </c>
      <c r="V36" s="557">
        <f t="shared" si="15"/>
        <v>0</v>
      </c>
      <c r="W36" s="557">
        <f t="shared" si="15"/>
        <v>0</v>
      </c>
      <c r="X36" s="557">
        <f t="shared" si="15"/>
        <v>0</v>
      </c>
      <c r="Y36" s="557">
        <f t="shared" si="15"/>
        <v>0</v>
      </c>
      <c r="Z36" s="557">
        <f t="shared" si="15"/>
        <v>0</v>
      </c>
      <c r="AA36" s="557">
        <f t="shared" si="15"/>
        <v>0</v>
      </c>
      <c r="AB36" s="557">
        <f t="shared" si="15"/>
        <v>0</v>
      </c>
      <c r="AC36" s="1526"/>
      <c r="AD36" s="1526"/>
      <c r="AE36" s="547"/>
      <c r="AG36" s="1538" t="s">
        <v>550</v>
      </c>
      <c r="AH36" s="1504"/>
      <c r="AI36" s="1539">
        <f>SUM(C168:AD168)</f>
        <v>0</v>
      </c>
    </row>
    <row r="37" spans="1:35" ht="24" customHeight="1">
      <c r="A37" s="2804" t="s">
        <v>551</v>
      </c>
      <c r="B37" s="2805"/>
      <c r="C37" s="1534"/>
      <c r="D37" s="1534"/>
      <c r="E37" s="1534"/>
      <c r="F37" s="557">
        <f>F187</f>
        <v>0</v>
      </c>
      <c r="G37" s="557">
        <f t="shared" ref="G37:AB37" si="16">G187</f>
        <v>0</v>
      </c>
      <c r="H37" s="557">
        <f t="shared" si="16"/>
        <v>0</v>
      </c>
      <c r="I37" s="557">
        <f t="shared" si="16"/>
        <v>0</v>
      </c>
      <c r="J37" s="557">
        <f t="shared" si="16"/>
        <v>0</v>
      </c>
      <c r="K37" s="557">
        <f t="shared" si="16"/>
        <v>0</v>
      </c>
      <c r="L37" s="557">
        <f t="shared" si="16"/>
        <v>0</v>
      </c>
      <c r="M37" s="557">
        <f t="shared" si="16"/>
        <v>0</v>
      </c>
      <c r="N37" s="557">
        <f t="shared" si="16"/>
        <v>0</v>
      </c>
      <c r="O37" s="557">
        <f t="shared" si="16"/>
        <v>0</v>
      </c>
      <c r="P37" s="557">
        <f t="shared" si="16"/>
        <v>0</v>
      </c>
      <c r="Q37" s="557">
        <f t="shared" si="16"/>
        <v>0</v>
      </c>
      <c r="R37" s="557">
        <f t="shared" si="16"/>
        <v>0</v>
      </c>
      <c r="S37" s="557">
        <f t="shared" si="16"/>
        <v>0</v>
      </c>
      <c r="T37" s="557">
        <f t="shared" si="16"/>
        <v>0</v>
      </c>
      <c r="U37" s="557">
        <f t="shared" si="16"/>
        <v>0</v>
      </c>
      <c r="V37" s="557">
        <f t="shared" si="16"/>
        <v>0</v>
      </c>
      <c r="W37" s="557">
        <f t="shared" si="16"/>
        <v>0</v>
      </c>
      <c r="X37" s="557">
        <f t="shared" si="16"/>
        <v>0</v>
      </c>
      <c r="Y37" s="557">
        <f t="shared" si="16"/>
        <v>0</v>
      </c>
      <c r="Z37" s="557">
        <f t="shared" si="16"/>
        <v>0</v>
      </c>
      <c r="AA37" s="557">
        <f t="shared" si="16"/>
        <v>0</v>
      </c>
      <c r="AB37" s="557">
        <f t="shared" si="16"/>
        <v>0</v>
      </c>
      <c r="AC37" s="1526"/>
      <c r="AD37" s="1526"/>
      <c r="AE37" s="547"/>
      <c r="AG37" s="1538" t="s">
        <v>552</v>
      </c>
      <c r="AH37" s="1504"/>
      <c r="AI37" s="1539">
        <f>SUM(C151:AB151)</f>
        <v>0</v>
      </c>
    </row>
    <row r="38" spans="1:35" ht="28" customHeight="1">
      <c r="A38" s="2804" t="s">
        <v>1568</v>
      </c>
      <c r="B38" s="2805"/>
      <c r="C38" s="1527">
        <f>ROUND((SUM(C26:C29)+SUM(C30:C34)*C18)/12*C16,2)+SUM(C35:C37)</f>
        <v>0</v>
      </c>
      <c r="D38" s="1527">
        <f>ROUND((SUM(D26:D29)+SUM(D30:D34)*D18)/12*D16,2)+SUM(D35:D37)</f>
        <v>0</v>
      </c>
      <c r="E38" s="1527">
        <f t="shared" ref="E38:AB38" si="17">((E27+E28+E26+E29+E32)*E16/12)+((E30+E31+E33+E34)*E16*E18/12)+E35+E36+E37+E25</f>
        <v>0</v>
      </c>
      <c r="F38" s="1527">
        <f t="shared" si="17"/>
        <v>0</v>
      </c>
      <c r="G38" s="1527">
        <f t="shared" si="17"/>
        <v>0</v>
      </c>
      <c r="H38" s="1527">
        <f t="shared" si="17"/>
        <v>0</v>
      </c>
      <c r="I38" s="1527">
        <f t="shared" si="17"/>
        <v>0</v>
      </c>
      <c r="J38" s="1527">
        <f t="shared" si="17"/>
        <v>0</v>
      </c>
      <c r="K38" s="1527">
        <f t="shared" si="17"/>
        <v>0</v>
      </c>
      <c r="L38" s="1527">
        <f t="shared" si="17"/>
        <v>0</v>
      </c>
      <c r="M38" s="1527">
        <f t="shared" si="17"/>
        <v>0</v>
      </c>
      <c r="N38" s="1527">
        <f t="shared" si="17"/>
        <v>0</v>
      </c>
      <c r="O38" s="1527">
        <f t="shared" si="17"/>
        <v>0</v>
      </c>
      <c r="P38" s="1527">
        <f t="shared" si="17"/>
        <v>0</v>
      </c>
      <c r="Q38" s="1527">
        <f t="shared" si="17"/>
        <v>0</v>
      </c>
      <c r="R38" s="1527">
        <f t="shared" si="17"/>
        <v>0</v>
      </c>
      <c r="S38" s="1527">
        <f t="shared" si="17"/>
        <v>0</v>
      </c>
      <c r="T38" s="1527">
        <f t="shared" si="17"/>
        <v>0</v>
      </c>
      <c r="U38" s="1527">
        <f t="shared" si="17"/>
        <v>0</v>
      </c>
      <c r="V38" s="1527">
        <f t="shared" si="17"/>
        <v>0</v>
      </c>
      <c r="W38" s="1527">
        <f t="shared" si="17"/>
        <v>0</v>
      </c>
      <c r="X38" s="1527">
        <f t="shared" si="17"/>
        <v>0</v>
      </c>
      <c r="Y38" s="1527">
        <f t="shared" si="17"/>
        <v>0</v>
      </c>
      <c r="Z38" s="1527">
        <f t="shared" si="17"/>
        <v>0</v>
      </c>
      <c r="AA38" s="1527">
        <f t="shared" si="17"/>
        <v>0</v>
      </c>
      <c r="AB38" s="1527">
        <f t="shared" si="17"/>
        <v>0</v>
      </c>
      <c r="AC38" s="1526"/>
      <c r="AD38" s="1526"/>
      <c r="AE38" s="545"/>
      <c r="AG38" s="1538" t="s">
        <v>553</v>
      </c>
      <c r="AH38" s="1504"/>
      <c r="AI38" s="1539"/>
    </row>
    <row r="39" spans="1:35" ht="24" customHeight="1">
      <c r="A39" s="2806" t="s">
        <v>554</v>
      </c>
      <c r="B39" s="2807"/>
      <c r="C39" s="1541"/>
      <c r="D39" s="1541"/>
      <c r="E39" s="1511"/>
      <c r="F39" s="1511"/>
      <c r="G39" s="1511"/>
      <c r="H39" s="1511"/>
      <c r="I39" s="1511"/>
      <c r="J39" s="1511"/>
      <c r="K39" s="1511"/>
      <c r="L39" s="1511"/>
      <c r="M39" s="1511"/>
      <c r="N39" s="1511"/>
      <c r="O39" s="1511"/>
      <c r="P39" s="1511"/>
      <c r="Q39" s="1511"/>
      <c r="R39" s="1511"/>
      <c r="S39" s="1511"/>
      <c r="T39" s="1511"/>
      <c r="U39" s="1511"/>
      <c r="V39" s="1511"/>
      <c r="W39" s="1511"/>
      <c r="X39" s="1511"/>
      <c r="Y39" s="1511"/>
      <c r="Z39" s="1511"/>
      <c r="AA39" s="1511"/>
      <c r="AB39" s="1511"/>
      <c r="AC39" s="1526"/>
      <c r="AD39" s="1526"/>
      <c r="AE39" s="547" t="s">
        <v>555</v>
      </c>
      <c r="AG39" s="1538" t="s">
        <v>556</v>
      </c>
      <c r="AH39" s="1504"/>
      <c r="AI39" s="1539">
        <f>SUM(C162:AD162)</f>
        <v>0</v>
      </c>
    </row>
    <row r="40" spans="1:35" ht="24" customHeight="1">
      <c r="A40" s="2806" t="s">
        <v>557</v>
      </c>
      <c r="B40" s="2807"/>
      <c r="C40" s="1542"/>
      <c r="D40" s="1542"/>
      <c r="E40" s="1543"/>
      <c r="F40" s="1511"/>
      <c r="G40" s="1511"/>
      <c r="H40" s="1511"/>
      <c r="I40" s="1511"/>
      <c r="J40" s="1511"/>
      <c r="K40" s="1511"/>
      <c r="L40" s="1511"/>
      <c r="M40" s="1511"/>
      <c r="N40" s="1511"/>
      <c r="O40" s="1511"/>
      <c r="P40" s="1511"/>
      <c r="Q40" s="1511"/>
      <c r="R40" s="1511"/>
      <c r="S40" s="1511"/>
      <c r="T40" s="1511"/>
      <c r="U40" s="1511"/>
      <c r="V40" s="1511"/>
      <c r="W40" s="1511"/>
      <c r="X40" s="1511"/>
      <c r="Y40" s="1511"/>
      <c r="Z40" s="1511"/>
      <c r="AA40" s="1511"/>
      <c r="AB40" s="1511"/>
      <c r="AC40" s="1526"/>
      <c r="AD40" s="1526"/>
      <c r="AE40" s="547"/>
      <c r="AG40" s="1538" t="s">
        <v>558</v>
      </c>
      <c r="AH40" s="1504"/>
      <c r="AI40" s="1539">
        <f>SUM(C159:AD159)</f>
        <v>0</v>
      </c>
    </row>
    <row r="41" spans="1:35" ht="24" customHeight="1">
      <c r="A41" s="2806" t="s">
        <v>559</v>
      </c>
      <c r="B41" s="2807"/>
      <c r="C41" s="1544"/>
      <c r="D41" s="1544"/>
      <c r="E41" s="1543"/>
      <c r="F41" s="1511"/>
      <c r="G41" s="1511"/>
      <c r="H41" s="1511"/>
      <c r="I41" s="1511"/>
      <c r="J41" s="1511"/>
      <c r="K41" s="1511"/>
      <c r="L41" s="1511"/>
      <c r="M41" s="1511"/>
      <c r="N41" s="1511"/>
      <c r="O41" s="1511"/>
      <c r="P41" s="1511"/>
      <c r="Q41" s="1511"/>
      <c r="R41" s="1511"/>
      <c r="S41" s="1511"/>
      <c r="T41" s="1511"/>
      <c r="U41" s="1511"/>
      <c r="V41" s="1511"/>
      <c r="W41" s="1511"/>
      <c r="X41" s="1511"/>
      <c r="Y41" s="1511"/>
      <c r="Z41" s="1511"/>
      <c r="AA41" s="1511"/>
      <c r="AB41" s="1511"/>
      <c r="AC41" s="1526"/>
      <c r="AD41" s="1526"/>
      <c r="AE41" s="547"/>
      <c r="AG41" s="1538" t="s">
        <v>560</v>
      </c>
      <c r="AH41" s="1504"/>
      <c r="AI41" s="1539">
        <f>SUM(C161:AD161)</f>
        <v>0</v>
      </c>
    </row>
    <row r="42" spans="1:35" ht="24" customHeight="1">
      <c r="A42" s="1499" t="s">
        <v>561</v>
      </c>
      <c r="B42" s="1500"/>
      <c r="C42" s="1544"/>
      <c r="D42" s="1544"/>
      <c r="E42" s="1543"/>
      <c r="F42" s="1511"/>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26"/>
      <c r="AD42" s="1526"/>
      <c r="AE42" s="547"/>
      <c r="AG42" s="1545" t="s">
        <v>562</v>
      </c>
      <c r="AH42" s="1516" t="s">
        <v>487</v>
      </c>
      <c r="AI42" s="1516">
        <f>budgetår</f>
        <v>2025</v>
      </c>
    </row>
    <row r="43" spans="1:35" ht="29" customHeight="1">
      <c r="A43" s="2804" t="s">
        <v>563</v>
      </c>
      <c r="B43" s="2805"/>
      <c r="C43" s="1540"/>
      <c r="D43" s="1540"/>
      <c r="E43" s="1540"/>
      <c r="F43" s="1532"/>
      <c r="G43" s="1532"/>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545" t="s">
        <v>564</v>
      </c>
      <c r="AG43" s="1546" t="s">
        <v>565</v>
      </c>
      <c r="AH43" s="1504"/>
      <c r="AI43" s="1547">
        <f>SUM(AC124:AD124)</f>
        <v>0</v>
      </c>
    </row>
    <row r="44" spans="1:35" ht="24" customHeight="1">
      <c r="A44" s="2806" t="s">
        <v>542</v>
      </c>
      <c r="B44" s="2807"/>
      <c r="C44" s="1548">
        <f t="shared" ref="C44:AB44" si="18">IF(C18&gt;0,Gr.liv,0)</f>
        <v>0</v>
      </c>
      <c r="D44" s="1548">
        <f t="shared" si="18"/>
        <v>0</v>
      </c>
      <c r="E44" s="1548">
        <f t="shared" si="18"/>
        <v>0</v>
      </c>
      <c r="F44" s="1548">
        <f t="shared" si="18"/>
        <v>0</v>
      </c>
      <c r="G44" s="1548">
        <f t="shared" si="18"/>
        <v>0</v>
      </c>
      <c r="H44" s="1548">
        <f t="shared" si="18"/>
        <v>0</v>
      </c>
      <c r="I44" s="1548">
        <f t="shared" si="18"/>
        <v>0</v>
      </c>
      <c r="J44" s="1548">
        <f t="shared" si="18"/>
        <v>0</v>
      </c>
      <c r="K44" s="1548">
        <f t="shared" si="18"/>
        <v>0</v>
      </c>
      <c r="L44" s="1548">
        <f t="shared" si="18"/>
        <v>0</v>
      </c>
      <c r="M44" s="1548">
        <f t="shared" si="18"/>
        <v>0</v>
      </c>
      <c r="N44" s="1548">
        <f t="shared" si="18"/>
        <v>0</v>
      </c>
      <c r="O44" s="1548">
        <f t="shared" si="18"/>
        <v>0</v>
      </c>
      <c r="P44" s="1548">
        <f t="shared" si="18"/>
        <v>0</v>
      </c>
      <c r="Q44" s="1548">
        <f t="shared" si="18"/>
        <v>0</v>
      </c>
      <c r="R44" s="1548">
        <f t="shared" si="18"/>
        <v>0</v>
      </c>
      <c r="S44" s="1548">
        <f t="shared" si="18"/>
        <v>0</v>
      </c>
      <c r="T44" s="1548">
        <f t="shared" si="18"/>
        <v>0</v>
      </c>
      <c r="U44" s="1548">
        <f t="shared" si="18"/>
        <v>0</v>
      </c>
      <c r="V44" s="1548">
        <f t="shared" si="18"/>
        <v>0</v>
      </c>
      <c r="W44" s="1548">
        <f t="shared" si="18"/>
        <v>0</v>
      </c>
      <c r="X44" s="1548">
        <f t="shared" si="18"/>
        <v>0</v>
      </c>
      <c r="Y44" s="1548">
        <f t="shared" si="18"/>
        <v>0</v>
      </c>
      <c r="Z44" s="1548">
        <f t="shared" si="18"/>
        <v>0</v>
      </c>
      <c r="AA44" s="1548">
        <f t="shared" si="18"/>
        <v>0</v>
      </c>
      <c r="AB44" s="1548">
        <f t="shared" si="18"/>
        <v>0</v>
      </c>
      <c r="AC44" s="1526"/>
      <c r="AD44" s="1526"/>
      <c r="AE44" s="545"/>
      <c r="AG44" s="1549" t="s">
        <v>566</v>
      </c>
      <c r="AH44" s="1550"/>
      <c r="AI44" s="1551">
        <f>AG94</f>
        <v>0</v>
      </c>
    </row>
    <row r="45" spans="1:35" ht="24" customHeight="1">
      <c r="A45" s="2806" t="s">
        <v>567</v>
      </c>
      <c r="B45" s="2807"/>
      <c r="C45" s="1548">
        <f t="shared" ref="C45:AB45" si="19">C24+C38+C43+C44+(C42*40/12*19*C16)+IF(C13="JA",(C24+C38)*0.8%)</f>
        <v>0</v>
      </c>
      <c r="D45" s="1548">
        <f t="shared" si="19"/>
        <v>0</v>
      </c>
      <c r="E45" s="1548">
        <f t="shared" si="19"/>
        <v>0</v>
      </c>
      <c r="F45" s="1548">
        <f t="shared" si="19"/>
        <v>0</v>
      </c>
      <c r="G45" s="1548">
        <f t="shared" si="19"/>
        <v>0</v>
      </c>
      <c r="H45" s="1548">
        <f t="shared" si="19"/>
        <v>0</v>
      </c>
      <c r="I45" s="1548">
        <f t="shared" si="19"/>
        <v>0</v>
      </c>
      <c r="J45" s="1548">
        <f t="shared" si="19"/>
        <v>0</v>
      </c>
      <c r="K45" s="1548">
        <f t="shared" si="19"/>
        <v>0</v>
      </c>
      <c r="L45" s="1548">
        <f t="shared" si="19"/>
        <v>0</v>
      </c>
      <c r="M45" s="1548">
        <f t="shared" si="19"/>
        <v>0</v>
      </c>
      <c r="N45" s="1548">
        <f t="shared" si="19"/>
        <v>0</v>
      </c>
      <c r="O45" s="1548">
        <f t="shared" si="19"/>
        <v>0</v>
      </c>
      <c r="P45" s="1548">
        <f t="shared" si="19"/>
        <v>0</v>
      </c>
      <c r="Q45" s="1548">
        <f t="shared" si="19"/>
        <v>0</v>
      </c>
      <c r="R45" s="1548">
        <f t="shared" si="19"/>
        <v>0</v>
      </c>
      <c r="S45" s="1548">
        <f t="shared" si="19"/>
        <v>0</v>
      </c>
      <c r="T45" s="1548">
        <f t="shared" si="19"/>
        <v>0</v>
      </c>
      <c r="U45" s="1548">
        <f t="shared" si="19"/>
        <v>0</v>
      </c>
      <c r="V45" s="1548">
        <f t="shared" si="19"/>
        <v>0</v>
      </c>
      <c r="W45" s="1548">
        <f t="shared" si="19"/>
        <v>0</v>
      </c>
      <c r="X45" s="1548">
        <f t="shared" si="19"/>
        <v>0</v>
      </c>
      <c r="Y45" s="1548">
        <f t="shared" si="19"/>
        <v>0</v>
      </c>
      <c r="Z45" s="1548">
        <f t="shared" si="19"/>
        <v>0</v>
      </c>
      <c r="AA45" s="1548">
        <f t="shared" si="19"/>
        <v>0</v>
      </c>
      <c r="AB45" s="1548">
        <f t="shared" si="19"/>
        <v>0</v>
      </c>
      <c r="AC45" s="1548">
        <f>AC24+AC38+AC43+AC44+AC42</f>
        <v>0</v>
      </c>
      <c r="AD45" s="1548">
        <f>AD24+AD38+AD43+AD44+AD42</f>
        <v>0</v>
      </c>
      <c r="AE45" s="545"/>
      <c r="AG45" s="2815" t="s">
        <v>568</v>
      </c>
      <c r="AH45" s="2816"/>
      <c r="AI45" s="1552">
        <f>SUM(AI5:AI11)+SUM(AI16:AI29)+SUM(AI31:AI41)+AI43+AI44</f>
        <v>0</v>
      </c>
    </row>
    <row r="46" spans="1:35" ht="24" customHeight="1">
      <c r="A46" s="2806" t="s">
        <v>569</v>
      </c>
      <c r="B46" s="2807"/>
      <c r="C46" s="1548">
        <f>C24+((C27+C26+C28+C29)*C16/12)+((C30+C31+C32+C33+C34)*C16*C18/12)+C25+C36+C37+IF(C13="JA",(C24+C38)*0.8%)</f>
        <v>0</v>
      </c>
      <c r="D46" s="1548">
        <f>D24+((D27+D26+D28+D29)*D16/12)+((D30+D31+D32+D33+D34)*D16*D18/12)+D25+D36+D37+IF(D13="JA",(D24+D38)*0.8%)</f>
        <v>0</v>
      </c>
      <c r="E46" s="1548">
        <f>E24+((E27+E26+E28+E29)*E16/12)+((E30+E31+E32+E33+E34)*E16*E18/12)+E25+E36+E37+IF(E13="JA",(E24+E38)*0.8%)</f>
        <v>0</v>
      </c>
      <c r="F46" s="1548">
        <f t="shared" ref="F46:AB46" si="20">F24-(F23*F18)+((F27+F26+F28+F29)*F16/12)+((F30+F31+F34)*F16*F18/12)+IF(F40="JA",F32*F16/12)+IF(F41="JA",F33*F16*F18/12)+F25+F36+F37+IF(F13="Ja",(F24+F38)*0.8%)</f>
        <v>0</v>
      </c>
      <c r="G46" s="1548">
        <f t="shared" si="20"/>
        <v>0</v>
      </c>
      <c r="H46" s="1548">
        <f t="shared" si="20"/>
        <v>0</v>
      </c>
      <c r="I46" s="1548">
        <f t="shared" si="20"/>
        <v>0</v>
      </c>
      <c r="J46" s="1548">
        <f t="shared" si="20"/>
        <v>0</v>
      </c>
      <c r="K46" s="1548">
        <f t="shared" si="20"/>
        <v>0</v>
      </c>
      <c r="L46" s="1548">
        <f t="shared" si="20"/>
        <v>0</v>
      </c>
      <c r="M46" s="1548">
        <f t="shared" si="20"/>
        <v>0</v>
      </c>
      <c r="N46" s="1548">
        <f t="shared" si="20"/>
        <v>0</v>
      </c>
      <c r="O46" s="1548">
        <f t="shared" si="20"/>
        <v>0</v>
      </c>
      <c r="P46" s="1548">
        <f t="shared" si="20"/>
        <v>0</v>
      </c>
      <c r="Q46" s="1548">
        <f t="shared" si="20"/>
        <v>0</v>
      </c>
      <c r="R46" s="1548">
        <f t="shared" si="20"/>
        <v>0</v>
      </c>
      <c r="S46" s="1548">
        <f t="shared" si="20"/>
        <v>0</v>
      </c>
      <c r="T46" s="1548">
        <f t="shared" si="20"/>
        <v>0</v>
      </c>
      <c r="U46" s="1548">
        <f t="shared" si="20"/>
        <v>0</v>
      </c>
      <c r="V46" s="1548">
        <f t="shared" si="20"/>
        <v>0</v>
      </c>
      <c r="W46" s="1548">
        <f t="shared" si="20"/>
        <v>0</v>
      </c>
      <c r="X46" s="1548">
        <f t="shared" si="20"/>
        <v>0</v>
      </c>
      <c r="Y46" s="1548">
        <f t="shared" si="20"/>
        <v>0</v>
      </c>
      <c r="Z46" s="1548">
        <f t="shared" si="20"/>
        <v>0</v>
      </c>
      <c r="AA46" s="1548">
        <f t="shared" si="20"/>
        <v>0</v>
      </c>
      <c r="AB46" s="1548">
        <f t="shared" si="20"/>
        <v>0</v>
      </c>
      <c r="AC46" s="1548">
        <f>(AC27+AC28+AC29+AC30+AC31+AC33+AC43)*AC16/1924*AC5+AC24</f>
        <v>0</v>
      </c>
      <c r="AD46" s="1548">
        <f>(AD27+AD28+AD29+AD30+AD31+AD33+AD43)*AD16/1924*AD5+AD24</f>
        <v>0</v>
      </c>
      <c r="AE46" s="545"/>
      <c r="AG46" s="2815" t="s">
        <v>570</v>
      </c>
      <c r="AH46" s="2816"/>
      <c r="AI46" s="1553">
        <f>AE67-AI45+AI44</f>
        <v>0</v>
      </c>
    </row>
    <row r="47" spans="1:35" ht="24" customHeight="1">
      <c r="A47" s="2806" t="s">
        <v>571</v>
      </c>
      <c r="B47" s="2807"/>
      <c r="C47" s="1527" t="str">
        <f>IF(C12="Ja",C24/C18*C19+((C27+C28+C29+C32)*C16/12)+((C30+C33+C31)*C16*C19/12),"0,00")</f>
        <v>0,00</v>
      </c>
      <c r="D47" s="1527" t="str">
        <f>IF(D12="Ja",D24/D18*D19+((D27+D28+D29+D32)*D16/12)+((D30+D33+D31)*D16*D19/12),"0,00")</f>
        <v>0,00</v>
      </c>
      <c r="E47" s="1527" t="str">
        <f>IF(E12="Ja",E24/E18*E19+((E27+E28+E29+E32)*E16/12)+((E30+E33+E31)*E16*E19/12),"0,00")</f>
        <v>0,00</v>
      </c>
      <c r="F47" s="1527" t="str">
        <f t="shared" ref="F47:AB47" si="21">IF(F12="Ja",F21*F19+((F27+F26+F28+F29)*F16/12)+((F30+F31+F34)*F16*F19/12)+IF(F40="JA",F32*F16/12)+IF(F41="JA",F33*F16*F19/12)+(F25+F36+F37)/F18*F19,"0,00")</f>
        <v>0,00</v>
      </c>
      <c r="G47" s="1527" t="str">
        <f t="shared" si="21"/>
        <v>0,00</v>
      </c>
      <c r="H47" s="1527" t="str">
        <f t="shared" si="21"/>
        <v>0,00</v>
      </c>
      <c r="I47" s="1527" t="str">
        <f t="shared" si="21"/>
        <v>0,00</v>
      </c>
      <c r="J47" s="1527" t="str">
        <f t="shared" si="21"/>
        <v>0,00</v>
      </c>
      <c r="K47" s="1527" t="str">
        <f t="shared" si="21"/>
        <v>0,00</v>
      </c>
      <c r="L47" s="1527" t="str">
        <f t="shared" si="21"/>
        <v>0,00</v>
      </c>
      <c r="M47" s="1527" t="str">
        <f t="shared" si="21"/>
        <v>0,00</v>
      </c>
      <c r="N47" s="1527" t="str">
        <f t="shared" si="21"/>
        <v>0,00</v>
      </c>
      <c r="O47" s="1527" t="str">
        <f t="shared" si="21"/>
        <v>0,00</v>
      </c>
      <c r="P47" s="1527" t="str">
        <f t="shared" si="21"/>
        <v>0,00</v>
      </c>
      <c r="Q47" s="1527" t="str">
        <f t="shared" si="21"/>
        <v>0,00</v>
      </c>
      <c r="R47" s="1527" t="str">
        <f t="shared" si="21"/>
        <v>0,00</v>
      </c>
      <c r="S47" s="1527" t="str">
        <f t="shared" si="21"/>
        <v>0,00</v>
      </c>
      <c r="T47" s="1527" t="str">
        <f t="shared" si="21"/>
        <v>0,00</v>
      </c>
      <c r="U47" s="1527" t="str">
        <f t="shared" si="21"/>
        <v>0,00</v>
      </c>
      <c r="V47" s="1527" t="str">
        <f t="shared" si="21"/>
        <v>0,00</v>
      </c>
      <c r="W47" s="1527" t="str">
        <f t="shared" si="21"/>
        <v>0,00</v>
      </c>
      <c r="X47" s="1527" t="str">
        <f t="shared" si="21"/>
        <v>0,00</v>
      </c>
      <c r="Y47" s="1527" t="str">
        <f t="shared" si="21"/>
        <v>0,00</v>
      </c>
      <c r="Z47" s="1527" t="str">
        <f t="shared" si="21"/>
        <v>0,00</v>
      </c>
      <c r="AA47" s="1527" t="str">
        <f t="shared" si="21"/>
        <v>0,00</v>
      </c>
      <c r="AB47" s="1527" t="str">
        <f t="shared" si="21"/>
        <v>0,00</v>
      </c>
      <c r="AC47" s="1548"/>
      <c r="AD47" s="1548"/>
      <c r="AE47" s="545"/>
    </row>
    <row r="48" spans="1:35" ht="24" customHeight="1">
      <c r="A48" s="2806" t="s">
        <v>572</v>
      </c>
      <c r="B48" s="2807"/>
      <c r="C48" s="1548">
        <f>IF(C24&gt;0,IF(LEFT(C15)="L",C46*17.3%/3,(C46-VLOOKUP(RIGHT(C15,2)*1,skalalontabel,7,FALSE)/12*C16*C18)*18%/3),0)</f>
        <v>0</v>
      </c>
      <c r="D48" s="1548">
        <f>IF(D24&gt;0,IF(LEFT(D15)="L",D46*17.3%/3,(D46-VLOOKUP(RIGHT(D15,2)*1,skalalontabel,7,FALSE)/12*D16*D18)*18%/3),0)</f>
        <v>0</v>
      </c>
      <c r="E48" s="1548">
        <f>IF(E24&gt;0,IF(LEFT(E15)="L",E46*17.3%/3,(E46-VLOOKUP(RIGHT(E15,2)*1,skalalontabel,7,FALSE)/12*E16*E18)*18%/3),0)</f>
        <v>0</v>
      </c>
      <c r="F48" s="1548">
        <f t="shared" ref="F48:AB48" si="22">IF(F24&gt;0,IF(LEFT(F15)="L",F46*17.3%/3,(F46-(F21*F18)-(F25/F18))*18%/3),0)</f>
        <v>0</v>
      </c>
      <c r="G48" s="1548">
        <f t="shared" si="22"/>
        <v>0</v>
      </c>
      <c r="H48" s="1548">
        <f t="shared" si="22"/>
        <v>0</v>
      </c>
      <c r="I48" s="1548">
        <f t="shared" si="22"/>
        <v>0</v>
      </c>
      <c r="J48" s="1548">
        <f t="shared" si="22"/>
        <v>0</v>
      </c>
      <c r="K48" s="1548">
        <f t="shared" si="22"/>
        <v>0</v>
      </c>
      <c r="L48" s="1548">
        <f t="shared" si="22"/>
        <v>0</v>
      </c>
      <c r="M48" s="1548">
        <f t="shared" si="22"/>
        <v>0</v>
      </c>
      <c r="N48" s="1548">
        <f t="shared" si="22"/>
        <v>0</v>
      </c>
      <c r="O48" s="1548">
        <f t="shared" si="22"/>
        <v>0</v>
      </c>
      <c r="P48" s="1548">
        <f t="shared" si="22"/>
        <v>0</v>
      </c>
      <c r="Q48" s="1548">
        <f t="shared" si="22"/>
        <v>0</v>
      </c>
      <c r="R48" s="1548">
        <f t="shared" si="22"/>
        <v>0</v>
      </c>
      <c r="S48" s="1548">
        <f t="shared" si="22"/>
        <v>0</v>
      </c>
      <c r="T48" s="1548">
        <f t="shared" si="22"/>
        <v>0</v>
      </c>
      <c r="U48" s="1548">
        <f t="shared" si="22"/>
        <v>0</v>
      </c>
      <c r="V48" s="1548">
        <f t="shared" si="22"/>
        <v>0</v>
      </c>
      <c r="W48" s="1548">
        <f t="shared" si="22"/>
        <v>0</v>
      </c>
      <c r="X48" s="1548">
        <f t="shared" si="22"/>
        <v>0</v>
      </c>
      <c r="Y48" s="1548">
        <f t="shared" si="22"/>
        <v>0</v>
      </c>
      <c r="Z48" s="1548">
        <f t="shared" si="22"/>
        <v>0</v>
      </c>
      <c r="AA48" s="1548">
        <f t="shared" si="22"/>
        <v>0</v>
      </c>
      <c r="AB48" s="1548">
        <f t="shared" si="22"/>
        <v>0</v>
      </c>
      <c r="AC48" s="1548">
        <f>IF(AC$15="L",AC$46*17.3%/3,0)</f>
        <v>0</v>
      </c>
      <c r="AD48" s="1548">
        <f>IF(AD$15="L",AD$46*17.3%/3,0)</f>
        <v>0</v>
      </c>
      <c r="AE48" s="545" t="s">
        <v>573</v>
      </c>
    </row>
    <row r="49" spans="1:35" ht="24" customHeight="1">
      <c r="A49" s="2806" t="s">
        <v>574</v>
      </c>
      <c r="B49" s="2807"/>
      <c r="C49" s="1548">
        <f>IF(C19&gt;0,IF(LEFT(C15)="L",C47*17.3%/3-C48,(C47-VLOOKUP(RIGHT(C15,2)*1,skalalontabel,7,FALSE)/12*C16)*18%/3-C48),0)</f>
        <v>0</v>
      </c>
      <c r="D49" s="1548">
        <f>IF(D19&gt;0,IF(LEFT(D15)="L",D47*17.3%/3-D48,(D47-VLOOKUP(RIGHT(D15,2)*1,skalalontabel,7,FALSE)/12*D16)*18%/3-D48),0)</f>
        <v>0</v>
      </c>
      <c r="E49" s="1548">
        <f>IF(E19&gt;0,IF(LEFT(E15)="L",E47*17.3%/3-E48,(E47-VLOOKUP(RIGHT(E15,2)*1,skalalontabel,7,FALSE)/12*E16)*18%/3-E48),0)</f>
        <v>0</v>
      </c>
      <c r="F49" s="1548">
        <f t="shared" ref="F49:AB49" si="23">IF(F12="Ja",IF(LEFT(F15)="L",F47*17.3%/3-F48,(F47-(F21*F19)-(F25/F18))*18%/3-F48),0)</f>
        <v>0</v>
      </c>
      <c r="G49" s="1548">
        <f t="shared" si="23"/>
        <v>0</v>
      </c>
      <c r="H49" s="1548">
        <f t="shared" si="23"/>
        <v>0</v>
      </c>
      <c r="I49" s="1548">
        <f t="shared" si="23"/>
        <v>0</v>
      </c>
      <c r="J49" s="1548">
        <f t="shared" si="23"/>
        <v>0</v>
      </c>
      <c r="K49" s="1548">
        <f t="shared" si="23"/>
        <v>0</v>
      </c>
      <c r="L49" s="1548">
        <f t="shared" si="23"/>
        <v>0</v>
      </c>
      <c r="M49" s="1548">
        <f t="shared" si="23"/>
        <v>0</v>
      </c>
      <c r="N49" s="1548">
        <f t="shared" si="23"/>
        <v>0</v>
      </c>
      <c r="O49" s="1548">
        <f t="shared" si="23"/>
        <v>0</v>
      </c>
      <c r="P49" s="1548">
        <f t="shared" si="23"/>
        <v>0</v>
      </c>
      <c r="Q49" s="1548">
        <f t="shared" si="23"/>
        <v>0</v>
      </c>
      <c r="R49" s="1548">
        <f t="shared" si="23"/>
        <v>0</v>
      </c>
      <c r="S49" s="1548">
        <f t="shared" si="23"/>
        <v>0</v>
      </c>
      <c r="T49" s="1548">
        <f t="shared" si="23"/>
        <v>0</v>
      </c>
      <c r="U49" s="1548">
        <f t="shared" si="23"/>
        <v>0</v>
      </c>
      <c r="V49" s="1548">
        <f t="shared" si="23"/>
        <v>0</v>
      </c>
      <c r="W49" s="1548">
        <f t="shared" si="23"/>
        <v>0</v>
      </c>
      <c r="X49" s="1548">
        <f t="shared" si="23"/>
        <v>0</v>
      </c>
      <c r="Y49" s="1548">
        <f t="shared" si="23"/>
        <v>0</v>
      </c>
      <c r="Z49" s="1548">
        <f t="shared" si="23"/>
        <v>0</v>
      </c>
      <c r="AA49" s="1548">
        <f t="shared" si="23"/>
        <v>0</v>
      </c>
      <c r="AB49" s="1548">
        <f t="shared" si="23"/>
        <v>0</v>
      </c>
      <c r="AC49" s="1548"/>
      <c r="AD49" s="1548"/>
      <c r="AE49" s="545"/>
    </row>
    <row r="50" spans="1:35" ht="24" customHeight="1">
      <c r="A50" s="2806" t="s">
        <v>575</v>
      </c>
      <c r="B50" s="2807"/>
      <c r="C50" s="1548">
        <f>SUM(C45,C48+C49)</f>
        <v>0</v>
      </c>
      <c r="D50" s="1548">
        <f>SUM(D45,D48+D49)</f>
        <v>0</v>
      </c>
      <c r="E50" s="1548">
        <f>SUM(E45,E48+E49)</f>
        <v>0</v>
      </c>
      <c r="F50" s="1548">
        <f t="shared" ref="F50" si="24">SUM(F45,F48+F49)</f>
        <v>0</v>
      </c>
      <c r="G50" s="1548">
        <f t="shared" ref="G50:H50" si="25">SUM(G45,G48+G49)</f>
        <v>0</v>
      </c>
      <c r="H50" s="1548">
        <f t="shared" si="25"/>
        <v>0</v>
      </c>
      <c r="I50" s="1548">
        <f t="shared" ref="I50:J50" si="26">SUM(I45,I48+I49)</f>
        <v>0</v>
      </c>
      <c r="J50" s="1548">
        <f t="shared" si="26"/>
        <v>0</v>
      </c>
      <c r="K50" s="1548">
        <f t="shared" ref="K50:AB50" si="27">SUM(K45,K48+K49)</f>
        <v>0</v>
      </c>
      <c r="L50" s="1548">
        <f t="shared" si="27"/>
        <v>0</v>
      </c>
      <c r="M50" s="1548">
        <f t="shared" ref="M50:P50" si="28">SUM(M45,M48+M49)</f>
        <v>0</v>
      </c>
      <c r="N50" s="1548">
        <f t="shared" si="28"/>
        <v>0</v>
      </c>
      <c r="O50" s="1548">
        <f t="shared" si="28"/>
        <v>0</v>
      </c>
      <c r="P50" s="1548">
        <f t="shared" si="28"/>
        <v>0</v>
      </c>
      <c r="Q50" s="1548">
        <f t="shared" si="27"/>
        <v>0</v>
      </c>
      <c r="R50" s="1548">
        <f t="shared" si="27"/>
        <v>0</v>
      </c>
      <c r="S50" s="1548">
        <f t="shared" si="27"/>
        <v>0</v>
      </c>
      <c r="T50" s="1548">
        <f t="shared" ref="T50:V50" si="29">SUM(T45,T48+T49)</f>
        <v>0</v>
      </c>
      <c r="U50" s="1548">
        <f t="shared" si="29"/>
        <v>0</v>
      </c>
      <c r="V50" s="1548">
        <f t="shared" si="29"/>
        <v>0</v>
      </c>
      <c r="W50" s="1548">
        <f t="shared" si="27"/>
        <v>0</v>
      </c>
      <c r="X50" s="1548">
        <f t="shared" si="27"/>
        <v>0</v>
      </c>
      <c r="Y50" s="1548">
        <f t="shared" si="27"/>
        <v>0</v>
      </c>
      <c r="Z50" s="1548">
        <f t="shared" ref="Z50:AA50" si="30">SUM(Z45,Z48+Z49)</f>
        <v>0</v>
      </c>
      <c r="AA50" s="1548">
        <f t="shared" si="30"/>
        <v>0</v>
      </c>
      <c r="AB50" s="1548">
        <f t="shared" si="27"/>
        <v>0</v>
      </c>
      <c r="AC50" s="1548">
        <f t="shared" ref="AC50" si="31">SUM(AC45,AC48)</f>
        <v>0</v>
      </c>
      <c r="AD50" s="1548">
        <f>SUM(AD45,AD48)</f>
        <v>0</v>
      </c>
      <c r="AE50" s="545"/>
    </row>
    <row r="51" spans="1:35" ht="24" customHeight="1">
      <c r="A51" s="2806" t="s">
        <v>576</v>
      </c>
      <c r="B51" s="2807"/>
      <c r="C51" s="1548">
        <f t="shared" ref="C51:AD51" si="32">IF(OR(LEFT(C15)="P",LEFT(C15)="E"),VLOOKUP(VALUE(MID(C15,2,2)),skalalontabel,7,0)*C16/12*15%*MIN(1,C18),0)</f>
        <v>0</v>
      </c>
      <c r="D51" s="1548">
        <f t="shared" si="32"/>
        <v>0</v>
      </c>
      <c r="E51" s="1548">
        <f t="shared" si="32"/>
        <v>0</v>
      </c>
      <c r="F51" s="1548">
        <f t="shared" si="32"/>
        <v>0</v>
      </c>
      <c r="G51" s="1548">
        <f t="shared" si="32"/>
        <v>0</v>
      </c>
      <c r="H51" s="1548">
        <f t="shared" si="32"/>
        <v>0</v>
      </c>
      <c r="I51" s="1548">
        <f t="shared" si="32"/>
        <v>0</v>
      </c>
      <c r="J51" s="1548">
        <f t="shared" si="32"/>
        <v>0</v>
      </c>
      <c r="K51" s="1548">
        <f t="shared" si="32"/>
        <v>0</v>
      </c>
      <c r="L51" s="1548">
        <f t="shared" si="32"/>
        <v>0</v>
      </c>
      <c r="M51" s="1548">
        <f t="shared" si="32"/>
        <v>0</v>
      </c>
      <c r="N51" s="1548">
        <f t="shared" si="32"/>
        <v>0</v>
      </c>
      <c r="O51" s="1548">
        <f t="shared" si="32"/>
        <v>0</v>
      </c>
      <c r="P51" s="1548">
        <f t="shared" si="32"/>
        <v>0</v>
      </c>
      <c r="Q51" s="1548">
        <f t="shared" si="32"/>
        <v>0</v>
      </c>
      <c r="R51" s="1548">
        <f t="shared" si="32"/>
        <v>0</v>
      </c>
      <c r="S51" s="1548">
        <f t="shared" si="32"/>
        <v>0</v>
      </c>
      <c r="T51" s="1548">
        <f t="shared" si="32"/>
        <v>0</v>
      </c>
      <c r="U51" s="1548">
        <f t="shared" si="32"/>
        <v>0</v>
      </c>
      <c r="V51" s="1548">
        <f t="shared" si="32"/>
        <v>0</v>
      </c>
      <c r="W51" s="1548">
        <f t="shared" si="32"/>
        <v>0</v>
      </c>
      <c r="X51" s="1548">
        <f t="shared" si="32"/>
        <v>0</v>
      </c>
      <c r="Y51" s="1548">
        <f t="shared" si="32"/>
        <v>0</v>
      </c>
      <c r="Z51" s="1548">
        <f t="shared" si="32"/>
        <v>0</v>
      </c>
      <c r="AA51" s="1548">
        <f t="shared" si="32"/>
        <v>0</v>
      </c>
      <c r="AB51" s="1548">
        <f t="shared" si="32"/>
        <v>0</v>
      </c>
      <c r="AC51" s="1548">
        <f t="shared" si="32"/>
        <v>0</v>
      </c>
      <c r="AD51" s="1548">
        <f t="shared" si="32"/>
        <v>0</v>
      </c>
      <c r="AE51" s="545" t="s">
        <v>577</v>
      </c>
    </row>
    <row r="52" spans="1:35" ht="24" customHeight="1">
      <c r="A52" s="2806" t="s">
        <v>578</v>
      </c>
      <c r="B52" s="2807"/>
      <c r="C52" s="1527" t="str">
        <f t="shared" ref="C52:AD52" si="33">IF(C12="Ja",C51/C18*C19-C51,"0,00")</f>
        <v>0,00</v>
      </c>
      <c r="D52" s="1527" t="str">
        <f t="shared" si="33"/>
        <v>0,00</v>
      </c>
      <c r="E52" s="1527" t="str">
        <f t="shared" si="33"/>
        <v>0,00</v>
      </c>
      <c r="F52" s="1527" t="str">
        <f t="shared" si="33"/>
        <v>0,00</v>
      </c>
      <c r="G52" s="1527" t="str">
        <f t="shared" si="33"/>
        <v>0,00</v>
      </c>
      <c r="H52" s="1527" t="str">
        <f t="shared" si="33"/>
        <v>0,00</v>
      </c>
      <c r="I52" s="1527" t="str">
        <f t="shared" si="33"/>
        <v>0,00</v>
      </c>
      <c r="J52" s="1527" t="str">
        <f t="shared" si="33"/>
        <v>0,00</v>
      </c>
      <c r="K52" s="1527" t="str">
        <f t="shared" si="33"/>
        <v>0,00</v>
      </c>
      <c r="L52" s="1527" t="str">
        <f t="shared" si="33"/>
        <v>0,00</v>
      </c>
      <c r="M52" s="1527" t="str">
        <f t="shared" si="33"/>
        <v>0,00</v>
      </c>
      <c r="N52" s="1527" t="str">
        <f t="shared" si="33"/>
        <v>0,00</v>
      </c>
      <c r="O52" s="1527" t="str">
        <f t="shared" si="33"/>
        <v>0,00</v>
      </c>
      <c r="P52" s="1527" t="str">
        <f t="shared" si="33"/>
        <v>0,00</v>
      </c>
      <c r="Q52" s="1527" t="str">
        <f t="shared" si="33"/>
        <v>0,00</v>
      </c>
      <c r="R52" s="1527" t="str">
        <f t="shared" si="33"/>
        <v>0,00</v>
      </c>
      <c r="S52" s="1527" t="str">
        <f t="shared" si="33"/>
        <v>0,00</v>
      </c>
      <c r="T52" s="1527" t="str">
        <f t="shared" si="33"/>
        <v>0,00</v>
      </c>
      <c r="U52" s="1527" t="str">
        <f t="shared" si="33"/>
        <v>0,00</v>
      </c>
      <c r="V52" s="1527" t="str">
        <f t="shared" si="33"/>
        <v>0,00</v>
      </c>
      <c r="W52" s="1527" t="str">
        <f t="shared" si="33"/>
        <v>0,00</v>
      </c>
      <c r="X52" s="1527" t="str">
        <f t="shared" si="33"/>
        <v>0,00</v>
      </c>
      <c r="Y52" s="1527" t="str">
        <f t="shared" si="33"/>
        <v>0,00</v>
      </c>
      <c r="Z52" s="1527" t="str">
        <f t="shared" si="33"/>
        <v>0,00</v>
      </c>
      <c r="AA52" s="1527" t="str">
        <f t="shared" si="33"/>
        <v>0,00</v>
      </c>
      <c r="AB52" s="1527" t="str">
        <f t="shared" si="33"/>
        <v>0,00</v>
      </c>
      <c r="AC52" s="1527" t="str">
        <f t="shared" si="33"/>
        <v>0,00</v>
      </c>
      <c r="AD52" s="1527" t="str">
        <f t="shared" si="33"/>
        <v>0,00</v>
      </c>
      <c r="AE52" s="545"/>
    </row>
    <row r="53" spans="1:35" ht="24" customHeight="1">
      <c r="A53" s="2806" t="s">
        <v>579</v>
      </c>
      <c r="B53" s="2807"/>
      <c r="C53" s="1548">
        <f>(C48+C49)*3</f>
        <v>0</v>
      </c>
      <c r="D53" s="1548">
        <f>(D48+D49)*3</f>
        <v>0</v>
      </c>
      <c r="E53" s="1548">
        <f>(E48+E49)*3</f>
        <v>0</v>
      </c>
      <c r="F53" s="1548">
        <f t="shared" ref="F53" si="34">(F48+F49)*3</f>
        <v>0</v>
      </c>
      <c r="G53" s="1548">
        <f t="shared" ref="G53:H53" si="35">(G48+G49)*3</f>
        <v>0</v>
      </c>
      <c r="H53" s="1548">
        <f t="shared" si="35"/>
        <v>0</v>
      </c>
      <c r="I53" s="1548">
        <f t="shared" ref="I53:J53" si="36">(I48+I49)*3</f>
        <v>0</v>
      </c>
      <c r="J53" s="1548">
        <f t="shared" si="36"/>
        <v>0</v>
      </c>
      <c r="K53" s="1548">
        <f t="shared" ref="K53:AB53" si="37">(K48+K49)*3</f>
        <v>0</v>
      </c>
      <c r="L53" s="1548">
        <f t="shared" si="37"/>
        <v>0</v>
      </c>
      <c r="M53" s="1548">
        <f t="shared" ref="M53:P53" si="38">(M48+M49)*3</f>
        <v>0</v>
      </c>
      <c r="N53" s="1548">
        <f t="shared" si="38"/>
        <v>0</v>
      </c>
      <c r="O53" s="1548">
        <f t="shared" si="38"/>
        <v>0</v>
      </c>
      <c r="P53" s="1548">
        <f t="shared" si="38"/>
        <v>0</v>
      </c>
      <c r="Q53" s="1548">
        <f t="shared" si="37"/>
        <v>0</v>
      </c>
      <c r="R53" s="1548">
        <f t="shared" si="37"/>
        <v>0</v>
      </c>
      <c r="S53" s="1548">
        <f t="shared" si="37"/>
        <v>0</v>
      </c>
      <c r="T53" s="1548">
        <f t="shared" ref="T53:V53" si="39">(T48+T49)*3</f>
        <v>0</v>
      </c>
      <c r="U53" s="1548">
        <f t="shared" si="39"/>
        <v>0</v>
      </c>
      <c r="V53" s="1548">
        <f t="shared" si="39"/>
        <v>0</v>
      </c>
      <c r="W53" s="1548">
        <f t="shared" si="37"/>
        <v>0</v>
      </c>
      <c r="X53" s="1548">
        <f t="shared" si="37"/>
        <v>0</v>
      </c>
      <c r="Y53" s="1548">
        <f t="shared" si="37"/>
        <v>0</v>
      </c>
      <c r="Z53" s="1548">
        <f t="shared" ref="Z53:AA53" si="40">(Z48+Z49)*3</f>
        <v>0</v>
      </c>
      <c r="AA53" s="1548">
        <f t="shared" si="40"/>
        <v>0</v>
      </c>
      <c r="AB53" s="1548">
        <f t="shared" si="37"/>
        <v>0</v>
      </c>
      <c r="AC53" s="1548">
        <f>AC48*3</f>
        <v>0</v>
      </c>
      <c r="AD53" s="1548">
        <f>AD48*3</f>
        <v>0</v>
      </c>
      <c r="AE53" s="545"/>
    </row>
    <row r="54" spans="1:35" ht="24" customHeight="1" thickBot="1">
      <c r="A54" s="2806" t="s">
        <v>580</v>
      </c>
      <c r="B54" s="2807"/>
      <c r="C54" s="1554">
        <f t="shared" ref="C54:AB54" si="41">ATP/3*((C18&gt;=9/37)+(C18&gt;=18/37)+(C18&gt;=27/37))</f>
        <v>0</v>
      </c>
      <c r="D54" s="1554">
        <f t="shared" si="41"/>
        <v>0</v>
      </c>
      <c r="E54" s="1554">
        <f t="shared" si="41"/>
        <v>0</v>
      </c>
      <c r="F54" s="1554">
        <f t="shared" si="41"/>
        <v>0</v>
      </c>
      <c r="G54" s="1554">
        <f t="shared" si="41"/>
        <v>0</v>
      </c>
      <c r="H54" s="1554">
        <f t="shared" si="41"/>
        <v>0</v>
      </c>
      <c r="I54" s="1554">
        <f t="shared" si="41"/>
        <v>0</v>
      </c>
      <c r="J54" s="1554">
        <f t="shared" si="41"/>
        <v>0</v>
      </c>
      <c r="K54" s="1554">
        <f t="shared" si="41"/>
        <v>0</v>
      </c>
      <c r="L54" s="1554">
        <f t="shared" si="41"/>
        <v>0</v>
      </c>
      <c r="M54" s="1554">
        <f t="shared" si="41"/>
        <v>0</v>
      </c>
      <c r="N54" s="1554">
        <f t="shared" si="41"/>
        <v>0</v>
      </c>
      <c r="O54" s="1554">
        <f t="shared" si="41"/>
        <v>0</v>
      </c>
      <c r="P54" s="1554">
        <f t="shared" si="41"/>
        <v>0</v>
      </c>
      <c r="Q54" s="1554">
        <f t="shared" si="41"/>
        <v>0</v>
      </c>
      <c r="R54" s="1554">
        <f t="shared" si="41"/>
        <v>0</v>
      </c>
      <c r="S54" s="1554">
        <f t="shared" si="41"/>
        <v>0</v>
      </c>
      <c r="T54" s="1554">
        <f t="shared" si="41"/>
        <v>0</v>
      </c>
      <c r="U54" s="1554">
        <f t="shared" si="41"/>
        <v>0</v>
      </c>
      <c r="V54" s="1554">
        <f t="shared" si="41"/>
        <v>0</v>
      </c>
      <c r="W54" s="1554">
        <f t="shared" si="41"/>
        <v>0</v>
      </c>
      <c r="X54" s="1554">
        <f t="shared" si="41"/>
        <v>0</v>
      </c>
      <c r="Y54" s="1554">
        <f t="shared" si="41"/>
        <v>0</v>
      </c>
      <c r="Z54" s="1554">
        <f t="shared" si="41"/>
        <v>0</v>
      </c>
      <c r="AA54" s="1554">
        <f t="shared" si="41"/>
        <v>0</v>
      </c>
      <c r="AB54" s="1554">
        <f t="shared" si="41"/>
        <v>0</v>
      </c>
      <c r="AC54" s="1554">
        <f>SatsBilag!B14*'lon undervisning'!AC5</f>
        <v>0</v>
      </c>
      <c r="AD54" s="1554">
        <f>SatsBilag!C14*'lon undervisning'!AD5</f>
        <v>0</v>
      </c>
      <c r="AE54" s="545" t="s">
        <v>581</v>
      </c>
    </row>
    <row r="55" spans="1:35" ht="24" customHeight="1" thickBot="1">
      <c r="A55" s="2806" t="s">
        <v>582</v>
      </c>
      <c r="B55" s="2807"/>
      <c r="C55" s="1555">
        <f>SUM(C45+C53+C51+C52)+C54*2/3</f>
        <v>0</v>
      </c>
      <c r="D55" s="1555">
        <f>SUM(D45+D53+D51+D52)+D54*2/3</f>
        <v>0</v>
      </c>
      <c r="E55" s="1555">
        <f>SUM(E45+E53+E51+E52)+E54*2/3</f>
        <v>0</v>
      </c>
      <c r="F55" s="1555">
        <f>SUM(F50:F53)-F48-F49+F54*2/3</f>
        <v>0</v>
      </c>
      <c r="G55" s="1555">
        <f t="shared" ref="G55:AD55" si="42">SUM(G50:G53)-G48-G49+G54*2/3</f>
        <v>0</v>
      </c>
      <c r="H55" s="1555">
        <f t="shared" si="42"/>
        <v>0</v>
      </c>
      <c r="I55" s="1555">
        <f t="shared" si="42"/>
        <v>0</v>
      </c>
      <c r="J55" s="1555">
        <f t="shared" si="42"/>
        <v>0</v>
      </c>
      <c r="K55" s="1555">
        <f t="shared" si="42"/>
        <v>0</v>
      </c>
      <c r="L55" s="1555">
        <f t="shared" si="42"/>
        <v>0</v>
      </c>
      <c r="M55" s="1555">
        <f t="shared" si="42"/>
        <v>0</v>
      </c>
      <c r="N55" s="1555">
        <f t="shared" si="42"/>
        <v>0</v>
      </c>
      <c r="O55" s="1555">
        <f t="shared" si="42"/>
        <v>0</v>
      </c>
      <c r="P55" s="1555">
        <f t="shared" si="42"/>
        <v>0</v>
      </c>
      <c r="Q55" s="1555">
        <f t="shared" si="42"/>
        <v>0</v>
      </c>
      <c r="R55" s="1555">
        <f t="shared" si="42"/>
        <v>0</v>
      </c>
      <c r="S55" s="1555">
        <f t="shared" si="42"/>
        <v>0</v>
      </c>
      <c r="T55" s="1555">
        <f t="shared" si="42"/>
        <v>0</v>
      </c>
      <c r="U55" s="1555">
        <f t="shared" si="42"/>
        <v>0</v>
      </c>
      <c r="V55" s="1555">
        <f t="shared" si="42"/>
        <v>0</v>
      </c>
      <c r="W55" s="1555">
        <f t="shared" si="42"/>
        <v>0</v>
      </c>
      <c r="X55" s="1555">
        <f t="shared" si="42"/>
        <v>0</v>
      </c>
      <c r="Y55" s="1555">
        <f t="shared" si="42"/>
        <v>0</v>
      </c>
      <c r="Z55" s="1555">
        <f t="shared" si="42"/>
        <v>0</v>
      </c>
      <c r="AA55" s="1555">
        <f t="shared" si="42"/>
        <v>0</v>
      </c>
      <c r="AB55" s="1555">
        <f t="shared" si="42"/>
        <v>0</v>
      </c>
      <c r="AC55" s="1555">
        <f t="shared" si="42"/>
        <v>0</v>
      </c>
      <c r="AD55" s="1555">
        <f t="shared" si="42"/>
        <v>0</v>
      </c>
      <c r="AE55" s="916">
        <f>SUM(C55:AD55)</f>
        <v>0</v>
      </c>
    </row>
    <row r="56" spans="1:35" ht="30" customHeight="1">
      <c r="A56" s="2822" t="s">
        <v>583</v>
      </c>
      <c r="B56" s="2823"/>
      <c r="C56" s="1556"/>
      <c r="D56" s="1556"/>
      <c r="E56" s="1556"/>
      <c r="F56" s="1557"/>
      <c r="G56" s="1557"/>
      <c r="H56" s="1557"/>
      <c r="I56" s="1557"/>
      <c r="J56" s="1557"/>
      <c r="K56" s="1557"/>
      <c r="L56" s="1557"/>
      <c r="M56" s="1557"/>
      <c r="N56" s="1557"/>
      <c r="O56" s="1557"/>
      <c r="P56" s="1557"/>
      <c r="Q56" s="1557"/>
      <c r="R56" s="1557"/>
      <c r="S56" s="1557"/>
      <c r="T56" s="1557"/>
      <c r="U56" s="1557"/>
      <c r="V56" s="1557"/>
      <c r="W56" s="1557"/>
      <c r="X56" s="1557"/>
      <c r="Y56" s="1557"/>
      <c r="Z56" s="1557"/>
      <c r="AA56" s="1557"/>
      <c r="AB56" s="1557"/>
      <c r="AC56" s="1557"/>
      <c r="AD56" s="1558"/>
      <c r="AE56" s="558"/>
    </row>
    <row r="57" spans="1:35" ht="42" customHeight="1">
      <c r="A57" s="2812" t="s">
        <v>584</v>
      </c>
      <c r="B57" s="2813"/>
      <c r="C57" s="1559"/>
      <c r="D57" s="1559"/>
      <c r="E57" s="1559"/>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1"/>
      <c r="AE57" s="558"/>
    </row>
    <row r="58" spans="1:35" ht="41" customHeight="1">
      <c r="A58" s="2812" t="s">
        <v>585</v>
      </c>
      <c r="B58" s="2813"/>
      <c r="C58" s="1562"/>
      <c r="D58" s="1562"/>
      <c r="E58" s="1562"/>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26"/>
      <c r="AD58" s="1563"/>
      <c r="AE58" s="558"/>
    </row>
    <row r="59" spans="1:35" ht="26" customHeight="1">
      <c r="A59" s="2812" t="s">
        <v>586</v>
      </c>
      <c r="B59" s="2813"/>
      <c r="C59" s="1564"/>
      <c r="D59" s="1564"/>
      <c r="E59" s="1564"/>
      <c r="F59" s="1560"/>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5"/>
      <c r="AD59" s="1566"/>
      <c r="AE59" s="558"/>
    </row>
    <row r="60" spans="1:35" ht="27" customHeight="1" thickBot="1">
      <c r="A60" s="2812" t="s">
        <v>587</v>
      </c>
      <c r="B60" s="2813"/>
      <c r="C60" s="1556"/>
      <c r="D60" s="1556"/>
      <c r="E60" s="1556"/>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5"/>
      <c r="AD60" s="1566"/>
      <c r="AE60" s="558"/>
    </row>
    <row r="61" spans="1:35" ht="21" customHeight="1">
      <c r="A61" s="2824" t="s">
        <v>588</v>
      </c>
      <c r="B61" s="2825"/>
      <c r="C61" s="1556"/>
      <c r="D61" s="1556"/>
      <c r="E61" s="1556"/>
      <c r="F61" s="1567">
        <f t="shared" ref="F61:AB61" si="43">IF(F18&gt;0,(((SUM(F30:F34))*F16*F18/12)+((F26+F27+F28+F29)*F16/12)+F24+F35+F25+F36+F37+F43)/F18*12/1924*SUM(F56/4+F57*0.5+F58)+(F59*163.64*F16)+(F60*372.2*F16),0)</f>
        <v>0</v>
      </c>
      <c r="G61" s="1567">
        <f t="shared" si="43"/>
        <v>0</v>
      </c>
      <c r="H61" s="1567">
        <f t="shared" si="43"/>
        <v>0</v>
      </c>
      <c r="I61" s="1567">
        <f t="shared" si="43"/>
        <v>0</v>
      </c>
      <c r="J61" s="1567">
        <f t="shared" si="43"/>
        <v>0</v>
      </c>
      <c r="K61" s="1567">
        <f t="shared" si="43"/>
        <v>0</v>
      </c>
      <c r="L61" s="1567">
        <f t="shared" si="43"/>
        <v>0</v>
      </c>
      <c r="M61" s="1567">
        <f t="shared" si="43"/>
        <v>0</v>
      </c>
      <c r="N61" s="1567">
        <f t="shared" si="43"/>
        <v>0</v>
      </c>
      <c r="O61" s="1567">
        <f t="shared" si="43"/>
        <v>0</v>
      </c>
      <c r="P61" s="1567">
        <f t="shared" si="43"/>
        <v>0</v>
      </c>
      <c r="Q61" s="1567">
        <f t="shared" si="43"/>
        <v>0</v>
      </c>
      <c r="R61" s="1567">
        <f t="shared" si="43"/>
        <v>0</v>
      </c>
      <c r="S61" s="1567">
        <f t="shared" si="43"/>
        <v>0</v>
      </c>
      <c r="T61" s="1567">
        <f t="shared" si="43"/>
        <v>0</v>
      </c>
      <c r="U61" s="1567">
        <f t="shared" si="43"/>
        <v>0</v>
      </c>
      <c r="V61" s="1567">
        <f t="shared" si="43"/>
        <v>0</v>
      </c>
      <c r="W61" s="1567">
        <f t="shared" si="43"/>
        <v>0</v>
      </c>
      <c r="X61" s="1567">
        <f t="shared" si="43"/>
        <v>0</v>
      </c>
      <c r="Y61" s="1567">
        <f t="shared" si="43"/>
        <v>0</v>
      </c>
      <c r="Z61" s="1567">
        <f t="shared" si="43"/>
        <v>0</v>
      </c>
      <c r="AA61" s="1567">
        <f t="shared" si="43"/>
        <v>0</v>
      </c>
      <c r="AB61" s="1567">
        <f t="shared" si="43"/>
        <v>0</v>
      </c>
      <c r="AC61" s="1568">
        <f>IF(AC18&gt;0,(((SUM(AC30:AC34))*AC16*AC18/12)+((AC26+AC27+AC28+AC29)*AC16/12)+AC24+AC35+AC25+AC36+AC37+#REF!+AC43)/AC18*12/1924*SUM(AC56/4+AC57*0.5+AC58),0)</f>
        <v>0</v>
      </c>
      <c r="AD61" s="1568">
        <f>IF(AD18&gt;0,(((SUM(AD30:AD34))*AD16*AD18/12)+((AD26+AD27+AD28+AD29)*AD16/12)+AD24+AD35+AD25+AD36+AD37+#REF!+AD43)/AD18*12/1924*SUM(AD56/4+AD57*0.5+AD58),0)</f>
        <v>0</v>
      </c>
      <c r="AE61" s="558"/>
    </row>
    <row r="62" spans="1:35" ht="24" customHeight="1">
      <c r="A62" s="2806" t="s">
        <v>589</v>
      </c>
      <c r="B62" s="2807"/>
      <c r="C62" s="860"/>
      <c r="D62" s="860"/>
      <c r="E62" s="1569"/>
      <c r="F62" s="1569"/>
      <c r="G62" s="1569"/>
      <c r="H62" s="1569"/>
      <c r="I62" s="1569"/>
      <c r="J62" s="1569"/>
      <c r="K62" s="1569"/>
      <c r="L62" s="1569"/>
      <c r="M62" s="1569"/>
      <c r="N62" s="1569"/>
      <c r="O62" s="1569"/>
      <c r="P62" s="1569"/>
      <c r="Q62" s="1569"/>
      <c r="R62" s="1569"/>
      <c r="S62" s="1569"/>
      <c r="T62" s="1569"/>
      <c r="U62" s="1569"/>
      <c r="V62" s="1569"/>
      <c r="W62" s="1569"/>
      <c r="X62" s="1569"/>
      <c r="Y62" s="1569"/>
      <c r="Z62" s="1569"/>
      <c r="AA62" s="1569"/>
      <c r="AB62" s="1569"/>
      <c r="AC62" s="1526"/>
      <c r="AD62" s="1563"/>
      <c r="AE62" s="547"/>
    </row>
    <row r="63" spans="1:35" ht="48" customHeight="1">
      <c r="A63" s="2812" t="str">
        <f>"Vedr. beregning af det særlige ferietillæg der udbetales maj og august "&amp;budgetår&amp;" oplyses her antal ansættelsesmåneder i perioden september "&amp;budgetår-1&amp;" - august "&amp;budgetår&amp;". Hvis alle måneder - skriv 12. Hvis den ansatte har mere end en kolonne, oplyses tallet i den kolonne/ansættelse der går videre til "&amp;budgetår+1&amp;"."</f>
        <v>Vedr. beregning af det særlige ferietillæg der udbetales maj og august 2025 oplyses her antal ansættelsesmåneder i perioden september 2024 - august 2025. Hvis alle måneder - skriv 12. Hvis den ansatte har mere end en kolonne, oplyses tallet i den kolonne/ansættelse der går videre til 2026.</v>
      </c>
      <c r="B63" s="2813"/>
      <c r="C63" s="1557"/>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26"/>
      <c r="AD63" s="1563"/>
      <c r="AE63" s="558"/>
    </row>
    <row r="64" spans="1:35" ht="22" customHeight="1">
      <c r="A64" s="2810" t="str">
        <f>"Særlig ferietillæg - 2,02% af den ferieberettiget løn optjent september "&amp;budgetår-1&amp;" - august "&amp;budgetår&amp;""</f>
        <v>Særlig ferietillæg - 2,02% af den ferieberettiget løn optjent september 2024 - august 2025</v>
      </c>
      <c r="B64" s="2811"/>
      <c r="C64" s="1570">
        <f t="shared" ref="C64:AB64" si="44">IF(C9&gt;0,(C45+C56+C57+C58)*2.02%*C63,0)</f>
        <v>0</v>
      </c>
      <c r="D64" s="1570">
        <f t="shared" si="44"/>
        <v>0</v>
      </c>
      <c r="E64" s="1570">
        <f t="shared" si="44"/>
        <v>0</v>
      </c>
      <c r="F64" s="1570">
        <f t="shared" si="44"/>
        <v>0</v>
      </c>
      <c r="G64" s="1570">
        <f t="shared" si="44"/>
        <v>0</v>
      </c>
      <c r="H64" s="1570">
        <f t="shared" si="44"/>
        <v>0</v>
      </c>
      <c r="I64" s="1570">
        <f t="shared" si="44"/>
        <v>0</v>
      </c>
      <c r="J64" s="1570">
        <f t="shared" si="44"/>
        <v>0</v>
      </c>
      <c r="K64" s="1570">
        <f t="shared" si="44"/>
        <v>0</v>
      </c>
      <c r="L64" s="1570">
        <f t="shared" si="44"/>
        <v>0</v>
      </c>
      <c r="M64" s="1570">
        <f t="shared" si="44"/>
        <v>0</v>
      </c>
      <c r="N64" s="1570">
        <f t="shared" si="44"/>
        <v>0</v>
      </c>
      <c r="O64" s="1570">
        <f t="shared" si="44"/>
        <v>0</v>
      </c>
      <c r="P64" s="1570">
        <f t="shared" si="44"/>
        <v>0</v>
      </c>
      <c r="Q64" s="1570">
        <f t="shared" si="44"/>
        <v>0</v>
      </c>
      <c r="R64" s="1570">
        <f t="shared" si="44"/>
        <v>0</v>
      </c>
      <c r="S64" s="1570">
        <f t="shared" si="44"/>
        <v>0</v>
      </c>
      <c r="T64" s="1570">
        <f t="shared" si="44"/>
        <v>0</v>
      </c>
      <c r="U64" s="1570">
        <f t="shared" si="44"/>
        <v>0</v>
      </c>
      <c r="V64" s="1570">
        <f t="shared" si="44"/>
        <v>0</v>
      </c>
      <c r="W64" s="1570">
        <f t="shared" si="44"/>
        <v>0</v>
      </c>
      <c r="X64" s="1570">
        <f t="shared" si="44"/>
        <v>0</v>
      </c>
      <c r="Y64" s="1570">
        <f t="shared" si="44"/>
        <v>0</v>
      </c>
      <c r="Z64" s="1570">
        <f t="shared" si="44"/>
        <v>0</v>
      </c>
      <c r="AA64" s="1570">
        <f t="shared" si="44"/>
        <v>0</v>
      </c>
      <c r="AB64" s="1570">
        <f t="shared" si="44"/>
        <v>0</v>
      </c>
      <c r="AC64" s="1526"/>
      <c r="AD64" s="1563"/>
      <c r="AE64" s="558"/>
      <c r="AG64" s="708"/>
      <c r="AH64" s="708"/>
      <c r="AI64" s="709"/>
    </row>
    <row r="65" spans="1:35" ht="60" customHeight="1">
      <c r="A65" s="2812" t="str">
        <f>"Antal særlige feriedage optjent "&amp;budgetår-2&amp;" som ikke er afholdt i perioden 1. maj "&amp;budgetår-1&amp;" - 30. april "&amp;budgetår&amp;" og som udbetales 30. april "&amp;budgetår&amp;". Hvis den ansatte har mere end en kolonne, oplyses antal skyldige særlige feriedage i den kolonne der videreføres til "&amp;budgetår&amp;". Ved en ansat der fratræder oplyses her antal feriedage og særlige feriedage der afregnes med."</f>
        <v>Antal særlige feriedage optjent 2023 som ikke er afholdt i perioden 1. maj 2024 - 30. april 2025 og som udbetales 30. april 2025. Hvis den ansatte har mere end en kolonne, oplyses antal skyldige særlige feriedage i den kolonne der videreføres til 2025. Ved en ansat der fratræder oplyses her antal feriedage og særlige feriedage der afregnes med.</v>
      </c>
      <c r="B65" s="2813"/>
      <c r="C65" s="1560"/>
      <c r="D65" s="1560"/>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26"/>
      <c r="AD65" s="1563"/>
      <c r="AE65" s="558"/>
      <c r="AG65" s="708"/>
      <c r="AH65" s="708"/>
      <c r="AI65" s="709"/>
    </row>
    <row r="66" spans="1:35" ht="31" customHeight="1">
      <c r="A66" s="2810" t="str">
        <f>"Særlige feriedage optjent "&amp;budgetår-2&amp;" - udbetalt april "&amp;budgetår&amp;" (0,5% pr. skyldig dag) ELLER hvis afregne - skriv antal dage der afregnes med"</f>
        <v>Særlige feriedage optjent 2023 - udbetalt april 2025 (0,5% pr. skyldig dag) ELLER hvis afregne - skriv antal dage der afregnes med</v>
      </c>
      <c r="B66" s="2811"/>
      <c r="C66" s="1570">
        <f>((C45+C48)*12/C16*SatsBilag!$B$8-((C45+C48)/C16*SatsBilag!$B$8*12/52/5*25))*0.5%*C65</f>
        <v>0</v>
      </c>
      <c r="D66" s="1570">
        <f>((D45+D48)*12/D16*SatsBilag!$B$8-((D45+D48)/D16*SatsBilag!$B$8*12/52/5*25))*0.5%*D65</f>
        <v>0</v>
      </c>
      <c r="E66" s="1570">
        <f>((E45+E48)*12/E16*SatsBilag!$B$8-((E45+E48)/E16*SatsBilag!$B$8*12/52/5*25))*0.5%*E65</f>
        <v>0</v>
      </c>
      <c r="F66" s="1570">
        <f>((F45+F48)*12/F16*SatsBilag!$B$8-((F45+F48)/F16*SatsBilag!$B$8*12/52/5*25))*0.5%*F65</f>
        <v>0</v>
      </c>
      <c r="G66" s="1570">
        <f>((G45+G48)*12/G16*SatsBilag!$B$8-((G45+G48)/G16*SatsBilag!$B$8*12/52/5*25))*0.5%*G65</f>
        <v>0</v>
      </c>
      <c r="H66" s="1570">
        <f>((H45+H48)*12/H16*SatsBilag!$B$8-((H45+H48)/H16*SatsBilag!$B$8*12/52/5*25))*0.5%*H65</f>
        <v>0</v>
      </c>
      <c r="I66" s="1570">
        <f>((I45+I48)*12/I16*SatsBilag!$B$8-((I45+I48)/I16*SatsBilag!$B$8*12/52/5*25))*0.5%*I65</f>
        <v>0</v>
      </c>
      <c r="J66" s="1570">
        <f>((J45+J48)*12/J16*SatsBilag!$B$8-((J45+J48)/J16*SatsBilag!$B$8*12/52/5*25))*0.5%*J65</f>
        <v>0</v>
      </c>
      <c r="K66" s="1570">
        <f>((K45+K48)*12/K16*SatsBilag!$B$8-((K45+K48)/K16*SatsBilag!$B$8*12/52/5*25))*0.5%*K65</f>
        <v>0</v>
      </c>
      <c r="L66" s="1570">
        <f>((L45+L48)*12/L16*SatsBilag!$B$8-((L45+L48)/L16*SatsBilag!$B$8*12/52/5*25))*0.5%*L65</f>
        <v>0</v>
      </c>
      <c r="M66" s="1570">
        <f>((M45+M48)*12/M16*SatsBilag!$B$8-((M45+M48)/M16*SatsBilag!$B$8*12/52/5*25))*0.5%*M65</f>
        <v>0</v>
      </c>
      <c r="N66" s="1570">
        <f>((N45+N48)*12/N16*SatsBilag!$B$8-((N45+N48)/N16*SatsBilag!$B$8*12/52/5*25))*0.5%*N65</f>
        <v>0</v>
      </c>
      <c r="O66" s="1570">
        <f>((O45+O48)*12/O16*SatsBilag!$B$8-((O45+O48)/O16*SatsBilag!$B$8*12/52/5*25))*0.5%*O65</f>
        <v>0</v>
      </c>
      <c r="P66" s="1570">
        <f>((P45+P48)*12/P16*SatsBilag!$B$8-((P45+P48)/P16*SatsBilag!$B$8*12/52/5*25))*0.5%*P65</f>
        <v>0</v>
      </c>
      <c r="Q66" s="1570">
        <f>((Q45+Q48)*12/Q16*SatsBilag!$B$8-((Q45+Q48)/Q16*SatsBilag!$B$8*12/52/5*25))*0.5%*Q65</f>
        <v>0</v>
      </c>
      <c r="R66" s="1570">
        <f>((R45+R48)*12/R16*SatsBilag!$B$8-((R45+R48)/R16*SatsBilag!$B$8*12/52/5*25))*0.5%*R65</f>
        <v>0</v>
      </c>
      <c r="S66" s="1570">
        <f>((S45+S48)*12/S16*SatsBilag!$B$8-((S45+S48)/S16*SatsBilag!$B$8*12/52/5*25))*0.5%*S65</f>
        <v>0</v>
      </c>
      <c r="T66" s="1570">
        <f>((T45+T48)*12/T16*SatsBilag!$B$8-((T45+T48)/T16*SatsBilag!$B$8*12/52/5*25))*0.5%*T65</f>
        <v>0</v>
      </c>
      <c r="U66" s="1570">
        <f>((U45+U48)*12/U16*SatsBilag!$B$8-((U45+U48)/U16*SatsBilag!$B$8*12/52/5*25))*0.5%*U65</f>
        <v>0</v>
      </c>
      <c r="V66" s="1570">
        <f>((V45+V48)*12/V16*SatsBilag!$B$8-((V45+V48)/V16*SatsBilag!$B$8*12/52/5*25))*0.5%*V65</f>
        <v>0</v>
      </c>
      <c r="W66" s="1570">
        <f>((W45+W48)*12/W16*SatsBilag!$B$8-((W45+W48)/W16*SatsBilag!$B$8*12/52/5*25))*0.5%*W65</f>
        <v>0</v>
      </c>
      <c r="X66" s="1570">
        <f>((X45+X48)*12/X16*SatsBilag!$B$8-((X45+X48)/X16*SatsBilag!$B$8*12/52/5*25))*0.5%*X65</f>
        <v>0</v>
      </c>
      <c r="Y66" s="1570">
        <f>((Y45+Y48)*12/Y16*SatsBilag!$B$8-((Y45+Y48)/Y16*SatsBilag!$B$8*12/52/5*25))*0.5%*Y65</f>
        <v>0</v>
      </c>
      <c r="Z66" s="1570">
        <f>((Z45+Z48)*12/Z16*SatsBilag!$B$8-((Z45+Z48)/Z16*SatsBilag!$B$8*12/52/5*25))*0.5%*Z65</f>
        <v>0</v>
      </c>
      <c r="AA66" s="1570">
        <f>((AA45+AA48)*12/AA16*SatsBilag!$B$8-((AA45+AA48)/AA16*SatsBilag!$B$8*12/52/5*25))*0.5%*AA65</f>
        <v>0</v>
      </c>
      <c r="AB66" s="1570">
        <f>((AB45+AB48)*12/AB16*SatsBilag!$B$8-((AB45+AB48)/AB16*SatsBilag!$B$8*12/52/5*25))*0.5%*AB65</f>
        <v>0</v>
      </c>
      <c r="AC66" s="1526"/>
      <c r="AD66" s="1563"/>
      <c r="AE66" s="566"/>
    </row>
    <row r="67" spans="1:35" ht="24" customHeight="1" thickBot="1">
      <c r="A67" s="2820" t="str">
        <f>"Lærerløns udgift for  "&amp;budgetår</f>
        <v>Lærerløns udgift for  2025</v>
      </c>
      <c r="B67" s="2821"/>
      <c r="C67" s="1571">
        <f t="shared" ref="C67:D67" si="45">IF(C11="orlov",(C53+C52+C51)*C9+C64+C62+C66,C55*C9+C61+C64+C66+C62)</f>
        <v>0</v>
      </c>
      <c r="D67" s="1571">
        <f t="shared" si="45"/>
        <v>0</v>
      </c>
      <c r="E67" s="1571">
        <f>IF(E11="orlov",(E53+E52+E51)*E9+E64+E62+E66,E55*E9+E61+E64+E66+E62)</f>
        <v>0</v>
      </c>
      <c r="F67" s="1571">
        <f t="shared" ref="F67" si="46">IF(F11="orlov",(F53+F52+F51)*F9+F64+F62+F66,F55*F9+F61+F64+F66+F62)</f>
        <v>0</v>
      </c>
      <c r="G67" s="1571">
        <f t="shared" ref="G67" si="47">IF(G11="orlov",(G53+G52+G51)*G9+G64+G62+G66,G55*G9+G61+G64+G66+G62)</f>
        <v>0</v>
      </c>
      <c r="H67" s="1571">
        <f t="shared" ref="H67" si="48">IF(H11="orlov",(H53+H52+H51)*H9+H64+H62+H66,H55*H9+H61+H64+H66+H62)</f>
        <v>0</v>
      </c>
      <c r="I67" s="1571">
        <f t="shared" ref="I67" si="49">IF(I11="orlov",(I53+I52+I51)*I9+I64+I62+I66,I55*I9+I61+I64+I66+I62)</f>
        <v>0</v>
      </c>
      <c r="J67" s="1571">
        <f t="shared" ref="J67:K67" si="50">IF(J11="orlov",(J53+J52+J51)*J9+J64+J62+J66,J55*J9+J61+J64+J66+J62)</f>
        <v>0</v>
      </c>
      <c r="K67" s="1571">
        <f t="shared" si="50"/>
        <v>0</v>
      </c>
      <c r="L67" s="1571">
        <f>IF(L11="orlov",(L53+L52+L51)*L9+L64+L62+L66,L55*L9+L61+L64+L66+L62)</f>
        <v>0</v>
      </c>
      <c r="M67" s="1571">
        <f t="shared" ref="M67:AB67" si="51">IF(M11="orlov",(M53+M52+M51)*M9+M64+M62+M66,M55*M9+M61+M64+M66+M62)</f>
        <v>0</v>
      </c>
      <c r="N67" s="1571">
        <f t="shared" si="51"/>
        <v>0</v>
      </c>
      <c r="O67" s="1571">
        <f t="shared" si="51"/>
        <v>0</v>
      </c>
      <c r="P67" s="1571">
        <f t="shared" si="51"/>
        <v>0</v>
      </c>
      <c r="Q67" s="1571">
        <f t="shared" si="51"/>
        <v>0</v>
      </c>
      <c r="R67" s="1571">
        <f t="shared" si="51"/>
        <v>0</v>
      </c>
      <c r="S67" s="1571">
        <f t="shared" si="51"/>
        <v>0</v>
      </c>
      <c r="T67" s="1571">
        <f t="shared" si="51"/>
        <v>0</v>
      </c>
      <c r="U67" s="1571">
        <f t="shared" si="51"/>
        <v>0</v>
      </c>
      <c r="V67" s="1571">
        <f t="shared" si="51"/>
        <v>0</v>
      </c>
      <c r="W67" s="1571">
        <f t="shared" si="51"/>
        <v>0</v>
      </c>
      <c r="X67" s="1571">
        <f t="shared" si="51"/>
        <v>0</v>
      </c>
      <c r="Y67" s="1571">
        <f t="shared" si="51"/>
        <v>0</v>
      </c>
      <c r="Z67" s="1571">
        <f t="shared" si="51"/>
        <v>0</v>
      </c>
      <c r="AA67" s="1571">
        <f t="shared" si="51"/>
        <v>0</v>
      </c>
      <c r="AB67" s="1571">
        <f t="shared" si="51"/>
        <v>0</v>
      </c>
      <c r="AC67" s="1571">
        <f>IF(AC11="orlov",AC53*AC9,AC55*AC9+AC61+AC64+AC66)</f>
        <v>0</v>
      </c>
      <c r="AD67" s="1571">
        <f>IF(AD11="orlov",AD53*AD9,AD55*AD9+AD61+AD64+AD66)</f>
        <v>0</v>
      </c>
      <c r="AE67" s="1572">
        <f>SUM(C67:AD67)</f>
        <v>0</v>
      </c>
    </row>
    <row r="68" spans="1:35" ht="24" customHeight="1" thickBot="1">
      <c r="A68" s="2818" t="str">
        <f>"Anslået udgift for  "&amp;budgetår+1</f>
        <v>Anslået udgift for  2026</v>
      </c>
      <c r="B68" s="2819"/>
      <c r="C68" s="1573">
        <f t="shared" ref="C68:AB68" si="52">IF(AND(C10&gt;0,C11="Orlov"),((((((C51+C52+C53)*C10)+C64+C62+C66))*(Lønfremskivning+1))),(((C55)*C10+IF(C10&gt;0,+C61+C64+C66+C69+C191+C62))*(Lønfremskivning+1)))</f>
        <v>0</v>
      </c>
      <c r="D68" s="1573">
        <f t="shared" si="52"/>
        <v>0</v>
      </c>
      <c r="E68" s="1573">
        <f t="shared" si="52"/>
        <v>0</v>
      </c>
      <c r="F68" s="1573">
        <f t="shared" si="52"/>
        <v>0</v>
      </c>
      <c r="G68" s="1573">
        <f t="shared" si="52"/>
        <v>0</v>
      </c>
      <c r="H68" s="1573">
        <f t="shared" si="52"/>
        <v>0</v>
      </c>
      <c r="I68" s="1573">
        <f t="shared" si="52"/>
        <v>0</v>
      </c>
      <c r="J68" s="1573">
        <f t="shared" si="52"/>
        <v>0</v>
      </c>
      <c r="K68" s="1573">
        <f t="shared" si="52"/>
        <v>0</v>
      </c>
      <c r="L68" s="1573">
        <f t="shared" si="52"/>
        <v>0</v>
      </c>
      <c r="M68" s="1573">
        <f t="shared" si="52"/>
        <v>0</v>
      </c>
      <c r="N68" s="1573">
        <f t="shared" si="52"/>
        <v>0</v>
      </c>
      <c r="O68" s="1573">
        <f t="shared" si="52"/>
        <v>0</v>
      </c>
      <c r="P68" s="1573">
        <f t="shared" si="52"/>
        <v>0</v>
      </c>
      <c r="Q68" s="1573">
        <f t="shared" si="52"/>
        <v>0</v>
      </c>
      <c r="R68" s="1573">
        <f t="shared" si="52"/>
        <v>0</v>
      </c>
      <c r="S68" s="1573">
        <f t="shared" si="52"/>
        <v>0</v>
      </c>
      <c r="T68" s="1573">
        <f t="shared" si="52"/>
        <v>0</v>
      </c>
      <c r="U68" s="1573">
        <f t="shared" si="52"/>
        <v>0</v>
      </c>
      <c r="V68" s="1573">
        <f t="shared" si="52"/>
        <v>0</v>
      </c>
      <c r="W68" s="1573">
        <f t="shared" si="52"/>
        <v>0</v>
      </c>
      <c r="X68" s="1573">
        <f t="shared" si="52"/>
        <v>0</v>
      </c>
      <c r="Y68" s="1573">
        <f t="shared" si="52"/>
        <v>0</v>
      </c>
      <c r="Z68" s="1573">
        <f t="shared" si="52"/>
        <v>0</v>
      </c>
      <c r="AA68" s="1573">
        <f t="shared" si="52"/>
        <v>0</v>
      </c>
      <c r="AB68" s="1573">
        <f t="shared" si="52"/>
        <v>0</v>
      </c>
      <c r="AC68" s="1573">
        <f>IF(AC10&gt;0,(AC55*AC10+AC61+AC64+AC66)*(Lønfremskivning+1),0)</f>
        <v>0</v>
      </c>
      <c r="AD68" s="1573">
        <f>IF(AD10&gt;0,(AD55*AD10+AD61+AD64+AD66)*(Lønfremskivning+1),0)</f>
        <v>0</v>
      </c>
      <c r="AE68" s="1574">
        <f>SUM(C68:AD68)</f>
        <v>0</v>
      </c>
    </row>
    <row r="69" spans="1:35" s="707" customFormat="1" ht="24" hidden="1" customHeight="1">
      <c r="A69" s="704" t="s">
        <v>590</v>
      </c>
      <c r="B69" s="704"/>
      <c r="C69" s="705">
        <f>IF(AND(C13="Nej",C14="Ja"),(C24+C38)*1.17*0.8%*C10,0)</f>
        <v>0</v>
      </c>
      <c r="D69" s="705">
        <f>IF(AND(D13="Nej",D14="Ja"),(D24+D38)*1.17*0.8%*D10,0)</f>
        <v>0</v>
      </c>
      <c r="E69" s="705">
        <f>IF(AND(E13="Nej",E14="Ja"),(E24+E38)*1.17*0.8%*E10,0)</f>
        <v>0</v>
      </c>
      <c r="F69" s="705">
        <f>IF(AND(F13="Nej",F14="Ja"),(F24+F38)*1.173*0.8%*F10,0)</f>
        <v>0</v>
      </c>
      <c r="G69" s="705">
        <f t="shared" ref="G69:AB69" si="53">IF(AND(G13="Nej",G14="Ja"),(G24+G38)*1.17*0.8%*G10,0)</f>
        <v>0</v>
      </c>
      <c r="H69" s="705">
        <f t="shared" si="53"/>
        <v>0</v>
      </c>
      <c r="I69" s="705">
        <f t="shared" si="53"/>
        <v>0</v>
      </c>
      <c r="J69" s="705">
        <f t="shared" si="53"/>
        <v>0</v>
      </c>
      <c r="K69" s="705">
        <f t="shared" si="53"/>
        <v>0</v>
      </c>
      <c r="L69" s="705">
        <f t="shared" si="53"/>
        <v>0</v>
      </c>
      <c r="M69" s="705">
        <f t="shared" si="53"/>
        <v>0</v>
      </c>
      <c r="N69" s="705">
        <f t="shared" si="53"/>
        <v>0</v>
      </c>
      <c r="O69" s="705">
        <f t="shared" si="53"/>
        <v>0</v>
      </c>
      <c r="P69" s="705">
        <f t="shared" si="53"/>
        <v>0</v>
      </c>
      <c r="Q69" s="705">
        <f t="shared" si="53"/>
        <v>0</v>
      </c>
      <c r="R69" s="705">
        <f t="shared" si="53"/>
        <v>0</v>
      </c>
      <c r="S69" s="705">
        <f t="shared" si="53"/>
        <v>0</v>
      </c>
      <c r="T69" s="705">
        <f t="shared" si="53"/>
        <v>0</v>
      </c>
      <c r="U69" s="705">
        <f t="shared" si="53"/>
        <v>0</v>
      </c>
      <c r="V69" s="705">
        <f t="shared" si="53"/>
        <v>0</v>
      </c>
      <c r="W69" s="705">
        <f t="shared" si="53"/>
        <v>0</v>
      </c>
      <c r="X69" s="705">
        <f t="shared" si="53"/>
        <v>0</v>
      </c>
      <c r="Y69" s="705">
        <f t="shared" si="53"/>
        <v>0</v>
      </c>
      <c r="Z69" s="705">
        <f t="shared" si="53"/>
        <v>0</v>
      </c>
      <c r="AA69" s="705">
        <f t="shared" si="53"/>
        <v>0</v>
      </c>
      <c r="AB69" s="705">
        <f t="shared" si="53"/>
        <v>0</v>
      </c>
      <c r="AC69" s="705"/>
      <c r="AD69" s="705"/>
      <c r="AE69" s="706"/>
      <c r="AG69" s="63"/>
      <c r="AH69" s="63"/>
      <c r="AI69" s="63"/>
    </row>
    <row r="70" spans="1:35" s="707" customFormat="1" ht="24" hidden="1" customHeight="1">
      <c r="A70" s="2814" t="s">
        <v>591</v>
      </c>
      <c r="B70" s="2814"/>
      <c r="C70" s="705"/>
      <c r="D70" s="705"/>
      <c r="E70" s="705"/>
      <c r="F70" s="705"/>
      <c r="G70" s="705"/>
      <c r="H70" s="705"/>
      <c r="I70" s="705"/>
      <c r="J70" s="705"/>
      <c r="K70" s="705"/>
      <c r="L70" s="705"/>
      <c r="M70" s="705"/>
      <c r="N70" s="705"/>
      <c r="O70" s="705"/>
      <c r="P70" s="705"/>
      <c r="Q70" s="705"/>
      <c r="R70" s="705"/>
      <c r="S70" s="705"/>
      <c r="T70" s="705"/>
      <c r="U70" s="705"/>
      <c r="V70" s="705"/>
      <c r="W70" s="705"/>
      <c r="X70" s="705"/>
      <c r="Y70" s="705"/>
      <c r="Z70" s="705"/>
      <c r="AA70" s="705"/>
      <c r="AB70" s="705"/>
      <c r="AC70" s="705"/>
      <c r="AD70" s="705"/>
      <c r="AE70" s="706"/>
      <c r="AG70" s="63"/>
      <c r="AH70" s="63"/>
      <c r="AI70" s="63"/>
    </row>
    <row r="71" spans="1:35" ht="24" hidden="1" customHeight="1">
      <c r="A71" s="545"/>
      <c r="B71" s="545"/>
      <c r="C71" s="545"/>
      <c r="D71" s="545"/>
      <c r="E71" s="545"/>
      <c r="F71" s="789"/>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67"/>
      <c r="AG71" s="707"/>
      <c r="AH71" s="707"/>
      <c r="AI71" s="707"/>
    </row>
    <row r="72" spans="1:35" ht="37" customHeight="1">
      <c r="A72" s="2828" t="s">
        <v>592</v>
      </c>
      <c r="B72" s="2829"/>
      <c r="C72" s="2829"/>
      <c r="D72" s="2829"/>
      <c r="E72" s="2829"/>
      <c r="F72" s="2829"/>
      <c r="G72" s="2829"/>
      <c r="H72" s="2829"/>
      <c r="I72" s="2829"/>
      <c r="J72" s="2829"/>
      <c r="K72" s="2829"/>
      <c r="L72" s="2829"/>
      <c r="M72" s="2829"/>
      <c r="N72" s="2829"/>
      <c r="O72" s="2829"/>
      <c r="P72" s="2829"/>
      <c r="Q72" s="2829"/>
      <c r="R72" s="2829"/>
      <c r="S72" s="2829"/>
      <c r="T72" s="2829"/>
      <c r="U72" s="2829"/>
      <c r="V72" s="2829"/>
      <c r="W72" s="2829"/>
      <c r="X72" s="2829"/>
      <c r="Y72" s="2829"/>
      <c r="Z72" s="2829"/>
      <c r="AA72" s="2829"/>
      <c r="AB72" s="2829"/>
      <c r="AC72" s="2829"/>
      <c r="AD72" s="2830"/>
      <c r="AE72" s="567"/>
    </row>
    <row r="73" spans="1:35" ht="27" customHeight="1">
      <c r="A73" s="2808" t="s">
        <v>593</v>
      </c>
      <c r="B73" s="2809"/>
      <c r="C73" s="1575" t="str">
        <f t="shared" ref="C73:AD73" si="54">C3</f>
        <v>Øverst leder
(1. januar - 31. marts 2025)</v>
      </c>
      <c r="D73" s="1575" t="str">
        <f t="shared" si="54"/>
        <v>Øverst leder
(1. april - 31. december 2025)</v>
      </c>
      <c r="E73" s="1576" t="str">
        <f t="shared" si="54"/>
        <v>Øvrig leder</v>
      </c>
      <c r="F73" s="1576" t="str">
        <f t="shared" si="54"/>
        <v>Lærer</v>
      </c>
      <c r="G73" s="1576" t="str">
        <f t="shared" si="54"/>
        <v>Lærer</v>
      </c>
      <c r="H73" s="1576" t="str">
        <f t="shared" si="54"/>
        <v>Lærer</v>
      </c>
      <c r="I73" s="1576" t="str">
        <f t="shared" si="54"/>
        <v>Lærer</v>
      </c>
      <c r="J73" s="1576" t="str">
        <f t="shared" si="54"/>
        <v>Lærer</v>
      </c>
      <c r="K73" s="1576" t="str">
        <f t="shared" si="54"/>
        <v>Lærer</v>
      </c>
      <c r="L73" s="1576" t="str">
        <f t="shared" si="54"/>
        <v>Lærer</v>
      </c>
      <c r="M73" s="1576" t="str">
        <f t="shared" si="54"/>
        <v>Lærer</v>
      </c>
      <c r="N73" s="1576" t="str">
        <f t="shared" si="54"/>
        <v>Lærer</v>
      </c>
      <c r="O73" s="1576" t="str">
        <f t="shared" si="54"/>
        <v>Lærer</v>
      </c>
      <c r="P73" s="1576" t="str">
        <f t="shared" si="54"/>
        <v>Lærer</v>
      </c>
      <c r="Q73" s="1576" t="str">
        <f t="shared" si="54"/>
        <v>Lærer</v>
      </c>
      <c r="R73" s="1576" t="str">
        <f t="shared" si="54"/>
        <v>Lærer</v>
      </c>
      <c r="S73" s="1576" t="str">
        <f t="shared" si="54"/>
        <v>Lærer</v>
      </c>
      <c r="T73" s="1576" t="str">
        <f t="shared" si="54"/>
        <v>Lærer</v>
      </c>
      <c r="U73" s="1576" t="str">
        <f t="shared" si="54"/>
        <v>Lærer</v>
      </c>
      <c r="V73" s="1576" t="str">
        <f t="shared" si="54"/>
        <v>Lærer</v>
      </c>
      <c r="W73" s="1576" t="str">
        <f t="shared" si="54"/>
        <v>Lærer</v>
      </c>
      <c r="X73" s="1576" t="str">
        <f t="shared" si="54"/>
        <v>Lærer</v>
      </c>
      <c r="Y73" s="1576" t="str">
        <f t="shared" si="54"/>
        <v>Lærer</v>
      </c>
      <c r="Z73" s="1576" t="str">
        <f t="shared" si="54"/>
        <v>Lærer</v>
      </c>
      <c r="AA73" s="1576" t="str">
        <f t="shared" si="54"/>
        <v>Lærer</v>
      </c>
      <c r="AB73" s="1576" t="str">
        <f t="shared" si="54"/>
        <v>Lærer</v>
      </c>
      <c r="AC73" s="1576" t="str">
        <f t="shared" si="54"/>
        <v>Timelønnet</v>
      </c>
      <c r="AD73" s="1576" t="str">
        <f t="shared" si="54"/>
        <v>Timelønnet</v>
      </c>
      <c r="AE73" s="559"/>
    </row>
    <row r="74" spans="1:35" ht="18" customHeight="1">
      <c r="A74" s="2835" t="s">
        <v>594</v>
      </c>
      <c r="B74" s="2836"/>
      <c r="C74" s="560"/>
      <c r="D74" s="560"/>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45"/>
    </row>
    <row r="75" spans="1:35" ht="18" customHeight="1">
      <c r="A75" s="2835" t="s">
        <v>595</v>
      </c>
      <c r="B75" s="2836"/>
      <c r="C75" s="560"/>
      <c r="D75" s="560"/>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45"/>
    </row>
    <row r="76" spans="1:35" ht="18" customHeight="1">
      <c r="A76" s="2835" t="s">
        <v>596</v>
      </c>
      <c r="B76" s="2836"/>
      <c r="C76" s="560"/>
      <c r="D76" s="560"/>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2"/>
    </row>
    <row r="77" spans="1:35" ht="18" hidden="1" customHeight="1">
      <c r="A77" s="917"/>
      <c r="B77" s="1577"/>
      <c r="C77" s="560"/>
      <c r="D77" s="560"/>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2"/>
    </row>
    <row r="78" spans="1:35" ht="18" customHeight="1">
      <c r="A78" s="2835" t="s">
        <v>597</v>
      </c>
      <c r="B78" s="2836"/>
      <c r="C78" s="560"/>
      <c r="D78" s="560"/>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2"/>
    </row>
    <row r="79" spans="1:35" ht="18" customHeight="1">
      <c r="A79" s="2835" t="s">
        <v>598</v>
      </c>
      <c r="B79" s="2836"/>
      <c r="C79" s="560"/>
      <c r="D79" s="560"/>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45"/>
    </row>
    <row r="80" spans="1:35" ht="18" customHeight="1">
      <c r="A80" s="2835" t="s">
        <v>599</v>
      </c>
      <c r="B80" s="2836"/>
      <c r="C80" s="560"/>
      <c r="D80" s="560"/>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45"/>
    </row>
    <row r="81" spans="1:33" ht="18" customHeight="1" thickBot="1">
      <c r="A81" s="2835" t="s">
        <v>600</v>
      </c>
      <c r="B81" s="2836"/>
      <c r="C81" s="560"/>
      <c r="D81" s="560"/>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45"/>
    </row>
    <row r="82" spans="1:33" ht="14" thickBot="1">
      <c r="A82" s="1578" t="str">
        <f>"Samlet refusion for  "&amp;budgetår</f>
        <v>Samlet refusion for  2025</v>
      </c>
      <c r="B82" s="918"/>
      <c r="C82" s="1579">
        <f t="shared" ref="C82:AD82" si="55">SUM(C74:C81)</f>
        <v>0</v>
      </c>
      <c r="D82" s="1579">
        <f t="shared" ref="D82" si="56">SUM(D74:D81)</f>
        <v>0</v>
      </c>
      <c r="E82" s="1579">
        <f t="shared" si="55"/>
        <v>0</v>
      </c>
      <c r="F82" s="1579">
        <f t="shared" si="55"/>
        <v>0</v>
      </c>
      <c r="G82" s="1579">
        <f t="shared" si="55"/>
        <v>0</v>
      </c>
      <c r="H82" s="1579">
        <f t="shared" si="55"/>
        <v>0</v>
      </c>
      <c r="I82" s="1579">
        <f t="shared" si="55"/>
        <v>0</v>
      </c>
      <c r="J82" s="1579">
        <f t="shared" si="55"/>
        <v>0</v>
      </c>
      <c r="K82" s="1579">
        <f t="shared" si="55"/>
        <v>0</v>
      </c>
      <c r="L82" s="1579">
        <f t="shared" si="55"/>
        <v>0</v>
      </c>
      <c r="M82" s="1579">
        <f t="shared" si="55"/>
        <v>0</v>
      </c>
      <c r="N82" s="1579">
        <f t="shared" si="55"/>
        <v>0</v>
      </c>
      <c r="O82" s="1579">
        <f t="shared" si="55"/>
        <v>0</v>
      </c>
      <c r="P82" s="1579">
        <f t="shared" si="55"/>
        <v>0</v>
      </c>
      <c r="Q82" s="1579">
        <f t="shared" si="55"/>
        <v>0</v>
      </c>
      <c r="R82" s="1579">
        <f t="shared" si="55"/>
        <v>0</v>
      </c>
      <c r="S82" s="1579">
        <f t="shared" si="55"/>
        <v>0</v>
      </c>
      <c r="T82" s="1579">
        <f t="shared" si="55"/>
        <v>0</v>
      </c>
      <c r="U82" s="1579">
        <f t="shared" si="55"/>
        <v>0</v>
      </c>
      <c r="V82" s="1579">
        <f t="shared" ref="V82" si="57">SUM(V74:V81)</f>
        <v>0</v>
      </c>
      <c r="W82" s="1579">
        <f t="shared" ref="W82:Y82" si="58">SUM(W74:W81)</f>
        <v>0</v>
      </c>
      <c r="X82" s="1579">
        <f t="shared" si="58"/>
        <v>0</v>
      </c>
      <c r="Y82" s="1579">
        <f t="shared" si="58"/>
        <v>0</v>
      </c>
      <c r="Z82" s="1579">
        <f t="shared" ref="Z82" si="59">SUM(Z74:Z81)</f>
        <v>0</v>
      </c>
      <c r="AA82" s="1579"/>
      <c r="AB82" s="1579">
        <f t="shared" si="55"/>
        <v>0</v>
      </c>
      <c r="AC82" s="1579">
        <f t="shared" si="55"/>
        <v>0</v>
      </c>
      <c r="AD82" s="1579">
        <f t="shared" si="55"/>
        <v>0</v>
      </c>
      <c r="AE82" s="568">
        <f>SUM(C82:AD82)</f>
        <v>0</v>
      </c>
    </row>
    <row r="83" spans="1:33" ht="19" customHeight="1" thickBot="1">
      <c r="A83" s="1580" t="str">
        <f>"Indtast forventet refusion for  "&amp;budgetår+1</f>
        <v>Indtast forventet refusion for  2026</v>
      </c>
      <c r="B83" s="919"/>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563">
        <f>SUM(C83:AD83)</f>
        <v>0</v>
      </c>
    </row>
    <row r="84" spans="1:33" ht="19" customHeight="1">
      <c r="A84" s="2817"/>
      <c r="B84" s="2817"/>
      <c r="C84" s="2817"/>
      <c r="D84" s="2817"/>
      <c r="E84" s="2817"/>
      <c r="F84" s="2817"/>
      <c r="G84" s="2817"/>
      <c r="H84" s="2817"/>
      <c r="I84" s="2817"/>
      <c r="J84" s="2817"/>
      <c r="K84" s="2817"/>
      <c r="L84" s="2817"/>
      <c r="M84" s="2817"/>
      <c r="N84" s="2817"/>
      <c r="O84" s="2817"/>
      <c r="P84" s="2817"/>
      <c r="Q84" s="2817"/>
      <c r="R84" s="2817"/>
      <c r="S84" s="2817"/>
      <c r="T84" s="2817"/>
      <c r="U84" s="2817"/>
      <c r="V84" s="2817"/>
      <c r="W84" s="2817"/>
      <c r="X84" s="2817"/>
      <c r="Y84" s="2817"/>
      <c r="Z84" s="2817"/>
      <c r="AA84" s="2817"/>
      <c r="AB84" s="2817"/>
      <c r="AC84" s="2817"/>
      <c r="AD84" s="2817"/>
      <c r="AE84" s="2817"/>
    </row>
    <row r="85" spans="1:33" ht="37" customHeight="1">
      <c r="A85" s="2837" t="s">
        <v>601</v>
      </c>
      <c r="B85" s="2838"/>
      <c r="C85" s="2838"/>
      <c r="D85" s="2838"/>
      <c r="E85" s="2838"/>
      <c r="F85" s="2838"/>
      <c r="G85" s="2838"/>
      <c r="H85" s="2838"/>
      <c r="I85" s="2838"/>
      <c r="J85" s="2838"/>
      <c r="K85" s="2838"/>
      <c r="L85" s="2838"/>
      <c r="M85" s="2838"/>
      <c r="N85" s="2838"/>
      <c r="O85" s="2838"/>
      <c r="P85" s="2838"/>
      <c r="Q85" s="2838"/>
      <c r="R85" s="2838"/>
      <c r="S85" s="2838"/>
      <c r="T85" s="2838"/>
      <c r="U85" s="2838"/>
      <c r="V85" s="2838"/>
      <c r="W85" s="2838"/>
      <c r="X85" s="2838"/>
      <c r="Y85" s="2838"/>
      <c r="Z85" s="2838"/>
      <c r="AA85" s="2838"/>
      <c r="AB85" s="2838"/>
      <c r="AC85" s="2838"/>
      <c r="AD85" s="2839"/>
      <c r="AE85" s="567"/>
      <c r="AF85" s="699"/>
    </row>
    <row r="86" spans="1:33" ht="14" thickBot="1">
      <c r="A86" s="2842" t="s">
        <v>602</v>
      </c>
      <c r="B86" s="2843"/>
      <c r="C86" s="1581">
        <v>1</v>
      </c>
      <c r="D86" s="1581">
        <v>1</v>
      </c>
      <c r="E86" s="1581">
        <v>1</v>
      </c>
      <c r="F86" s="1581">
        <v>1</v>
      </c>
      <c r="G86" s="1581">
        <v>1</v>
      </c>
      <c r="H86" s="1581">
        <v>1</v>
      </c>
      <c r="I86" s="1581">
        <v>1</v>
      </c>
      <c r="J86" s="1581">
        <v>1</v>
      </c>
      <c r="K86" s="1581">
        <v>1</v>
      </c>
      <c r="L86" s="1581">
        <v>1</v>
      </c>
      <c r="M86" s="1581">
        <v>1</v>
      </c>
      <c r="N86" s="1581">
        <v>1</v>
      </c>
      <c r="O86" s="1581">
        <v>1</v>
      </c>
      <c r="P86" s="1581">
        <v>1</v>
      </c>
      <c r="Q86" s="1581">
        <v>1</v>
      </c>
      <c r="R86" s="1581">
        <v>1</v>
      </c>
      <c r="S86" s="1581">
        <v>1</v>
      </c>
      <c r="T86" s="1581">
        <v>1</v>
      </c>
      <c r="U86" s="1581">
        <v>1</v>
      </c>
      <c r="V86" s="1581">
        <v>1</v>
      </c>
      <c r="W86" s="1581">
        <v>1</v>
      </c>
      <c r="X86" s="1581">
        <v>1</v>
      </c>
      <c r="Y86" s="1581">
        <v>1</v>
      </c>
      <c r="Z86" s="1581">
        <v>1</v>
      </c>
      <c r="AA86" s="1581">
        <v>1</v>
      </c>
      <c r="AB86" s="1581">
        <v>1</v>
      </c>
      <c r="AC86" s="1581">
        <v>1</v>
      </c>
      <c r="AD86" s="1581">
        <v>1</v>
      </c>
      <c r="AE86" s="545"/>
      <c r="AF86" s="698"/>
    </row>
    <row r="87" spans="1:33" ht="28" hidden="1">
      <c r="A87" s="1582"/>
      <c r="B87" s="1583" t="s">
        <v>603</v>
      </c>
      <c r="C87" s="1584">
        <f>C45/E16*Prc</f>
        <v>0</v>
      </c>
      <c r="D87" s="1584">
        <f>D45/F16*Prc</f>
        <v>0</v>
      </c>
      <c r="E87" s="1584">
        <f t="shared" ref="E87:T87" si="60">E45/F16*Prc</f>
        <v>0</v>
      </c>
      <c r="F87" s="1584">
        <f t="shared" si="60"/>
        <v>0</v>
      </c>
      <c r="G87" s="1584">
        <f t="shared" si="60"/>
        <v>0</v>
      </c>
      <c r="H87" s="1584">
        <f t="shared" si="60"/>
        <v>0</v>
      </c>
      <c r="I87" s="1584">
        <f t="shared" si="60"/>
        <v>0</v>
      </c>
      <c r="J87" s="1584">
        <f t="shared" si="60"/>
        <v>0</v>
      </c>
      <c r="K87" s="1584">
        <f t="shared" si="60"/>
        <v>0</v>
      </c>
      <c r="L87" s="1584">
        <f t="shared" si="60"/>
        <v>0</v>
      </c>
      <c r="M87" s="1584">
        <f t="shared" si="60"/>
        <v>0</v>
      </c>
      <c r="N87" s="1584">
        <f t="shared" si="60"/>
        <v>0</v>
      </c>
      <c r="O87" s="1584">
        <f t="shared" si="60"/>
        <v>0</v>
      </c>
      <c r="P87" s="1584">
        <f t="shared" si="60"/>
        <v>0</v>
      </c>
      <c r="Q87" s="1584">
        <f t="shared" si="60"/>
        <v>0</v>
      </c>
      <c r="R87" s="1584">
        <f t="shared" si="60"/>
        <v>0</v>
      </c>
      <c r="S87" s="1584">
        <f t="shared" si="60"/>
        <v>0</v>
      </c>
      <c r="T87" s="1584">
        <f t="shared" si="60"/>
        <v>0</v>
      </c>
      <c r="U87" s="1584">
        <f>U45/W16*Prc</f>
        <v>0</v>
      </c>
      <c r="V87" s="1584">
        <f>V45/X16*Prc</f>
        <v>0</v>
      </c>
      <c r="W87" s="1584">
        <f>W45/X16*Prc</f>
        <v>0</v>
      </c>
      <c r="X87" s="1584">
        <f>X45/Y16*Prc</f>
        <v>0</v>
      </c>
      <c r="Y87" s="1584">
        <f>Y45/Z16*Prc</f>
        <v>0</v>
      </c>
      <c r="Z87" s="1584">
        <f>Z45/AB16*Prc</f>
        <v>0</v>
      </c>
      <c r="AA87" s="1584"/>
      <c r="AB87" s="1584">
        <f>AB45/AC16*Prc</f>
        <v>0</v>
      </c>
      <c r="AC87" s="1585"/>
      <c r="AD87" s="1585"/>
      <c r="AE87" s="545"/>
      <c r="AF87" s="504"/>
    </row>
    <row r="88" spans="1:33" ht="43" hidden="1" thickBot="1">
      <c r="A88" s="1586"/>
      <c r="B88" s="1587" t="s">
        <v>604</v>
      </c>
      <c r="C88" s="1524">
        <f>C53/E16*Prc</f>
        <v>0</v>
      </c>
      <c r="D88" s="1524">
        <f>D53/F16*Prc</f>
        <v>0</v>
      </c>
      <c r="E88" s="1524">
        <f t="shared" ref="E88:T88" si="61">E53/F16*Prc</f>
        <v>0</v>
      </c>
      <c r="F88" s="1524">
        <f t="shared" si="61"/>
        <v>0</v>
      </c>
      <c r="G88" s="1524">
        <f t="shared" si="61"/>
        <v>0</v>
      </c>
      <c r="H88" s="1524">
        <f t="shared" si="61"/>
        <v>0</v>
      </c>
      <c r="I88" s="1524">
        <f t="shared" si="61"/>
        <v>0</v>
      </c>
      <c r="J88" s="1524">
        <f t="shared" si="61"/>
        <v>0</v>
      </c>
      <c r="K88" s="1524">
        <f t="shared" si="61"/>
        <v>0</v>
      </c>
      <c r="L88" s="1524">
        <f t="shared" si="61"/>
        <v>0</v>
      </c>
      <c r="M88" s="1524">
        <f t="shared" si="61"/>
        <v>0</v>
      </c>
      <c r="N88" s="1524">
        <f t="shared" si="61"/>
        <v>0</v>
      </c>
      <c r="O88" s="1524">
        <f t="shared" si="61"/>
        <v>0</v>
      </c>
      <c r="P88" s="1524">
        <f t="shared" si="61"/>
        <v>0</v>
      </c>
      <c r="Q88" s="1524">
        <f t="shared" si="61"/>
        <v>0</v>
      </c>
      <c r="R88" s="1524">
        <f t="shared" si="61"/>
        <v>0</v>
      </c>
      <c r="S88" s="1524">
        <f t="shared" si="61"/>
        <v>0</v>
      </c>
      <c r="T88" s="1524">
        <f t="shared" si="61"/>
        <v>0</v>
      </c>
      <c r="U88" s="1524">
        <f>U53/W16*Prc</f>
        <v>0</v>
      </c>
      <c r="V88" s="1524">
        <f>V53/X16*Prc</f>
        <v>0</v>
      </c>
      <c r="W88" s="1524">
        <f>W53/X16*Prc</f>
        <v>0</v>
      </c>
      <c r="X88" s="1524">
        <f>X53/Y16*Prc</f>
        <v>0</v>
      </c>
      <c r="Y88" s="1524">
        <f>Y53/Z16*Prc</f>
        <v>0</v>
      </c>
      <c r="Z88" s="1524">
        <f>Z53/AB16*Prc</f>
        <v>0</v>
      </c>
      <c r="AA88" s="1524"/>
      <c r="AB88" s="1524">
        <f>AB53/AC16*Prc</f>
        <v>0</v>
      </c>
      <c r="AC88" s="1588"/>
      <c r="AD88" s="1588"/>
      <c r="AE88" s="545"/>
      <c r="AF88" s="505"/>
      <c r="AG88" s="699"/>
    </row>
    <row r="89" spans="1:33" ht="15" hidden="1" thickBot="1">
      <c r="A89" s="1586"/>
      <c r="B89" s="1587" t="s">
        <v>605</v>
      </c>
      <c r="C89" s="1524">
        <f t="shared" ref="C89:Z89" si="62">C54/3*2</f>
        <v>0</v>
      </c>
      <c r="D89" s="1524">
        <f t="shared" si="62"/>
        <v>0</v>
      </c>
      <c r="E89" s="1524">
        <f t="shared" si="62"/>
        <v>0</v>
      </c>
      <c r="F89" s="1524">
        <f t="shared" si="62"/>
        <v>0</v>
      </c>
      <c r="G89" s="1524">
        <f t="shared" si="62"/>
        <v>0</v>
      </c>
      <c r="H89" s="1524">
        <f t="shared" si="62"/>
        <v>0</v>
      </c>
      <c r="I89" s="1524">
        <f t="shared" si="62"/>
        <v>0</v>
      </c>
      <c r="J89" s="1524">
        <f t="shared" si="62"/>
        <v>0</v>
      </c>
      <c r="K89" s="1524">
        <f t="shared" si="62"/>
        <v>0</v>
      </c>
      <c r="L89" s="1524">
        <f t="shared" si="62"/>
        <v>0</v>
      </c>
      <c r="M89" s="1524">
        <f t="shared" si="62"/>
        <v>0</v>
      </c>
      <c r="N89" s="1524">
        <f t="shared" si="62"/>
        <v>0</v>
      </c>
      <c r="O89" s="1524">
        <f t="shared" si="62"/>
        <v>0</v>
      </c>
      <c r="P89" s="1524">
        <f t="shared" si="62"/>
        <v>0</v>
      </c>
      <c r="Q89" s="1524">
        <f t="shared" si="62"/>
        <v>0</v>
      </c>
      <c r="R89" s="1524">
        <f t="shared" si="62"/>
        <v>0</v>
      </c>
      <c r="S89" s="1524">
        <f t="shared" si="62"/>
        <v>0</v>
      </c>
      <c r="T89" s="1524">
        <f t="shared" si="62"/>
        <v>0</v>
      </c>
      <c r="U89" s="1524">
        <f t="shared" si="62"/>
        <v>0</v>
      </c>
      <c r="V89" s="1524">
        <f t="shared" si="62"/>
        <v>0</v>
      </c>
      <c r="W89" s="1524">
        <f t="shared" si="62"/>
        <v>0</v>
      </c>
      <c r="X89" s="1524">
        <f t="shared" si="62"/>
        <v>0</v>
      </c>
      <c r="Y89" s="1524">
        <f t="shared" si="62"/>
        <v>0</v>
      </c>
      <c r="Z89" s="1524">
        <f t="shared" si="62"/>
        <v>0</v>
      </c>
      <c r="AA89" s="1524"/>
      <c r="AB89" s="1524">
        <f>AB54/3*2</f>
        <v>0</v>
      </c>
      <c r="AC89" s="1588"/>
      <c r="AD89" s="1588"/>
      <c r="AE89" s="545"/>
      <c r="AF89" s="506"/>
      <c r="AG89" s="698"/>
    </row>
    <row r="90" spans="1:33" ht="15" hidden="1" customHeight="1">
      <c r="A90" s="1586"/>
      <c r="B90" s="1587" t="s">
        <v>606</v>
      </c>
      <c r="C90" s="1524">
        <f t="shared" ref="C90:E90" si="63">IF(C9&gt;0,(C87*4)*2.02%,0)</f>
        <v>0</v>
      </c>
      <c r="D90" s="1524">
        <f t="shared" si="63"/>
        <v>0</v>
      </c>
      <c r="E90" s="1524">
        <f t="shared" si="63"/>
        <v>0</v>
      </c>
      <c r="F90" s="1524">
        <f>IF(F9&gt;0,(F87*4)*2.02%,0)</f>
        <v>0</v>
      </c>
      <c r="G90" s="1524">
        <f t="shared" ref="G90:AB90" si="64">IF(G9&gt;0,(G87*4)*2.02%,0)</f>
        <v>0</v>
      </c>
      <c r="H90" s="1524">
        <f t="shared" si="64"/>
        <v>0</v>
      </c>
      <c r="I90" s="1524">
        <f t="shared" si="64"/>
        <v>0</v>
      </c>
      <c r="J90" s="1524">
        <f t="shared" si="64"/>
        <v>0</v>
      </c>
      <c r="K90" s="1524">
        <f t="shared" si="64"/>
        <v>0</v>
      </c>
      <c r="L90" s="1524">
        <f t="shared" si="64"/>
        <v>0</v>
      </c>
      <c r="M90" s="1524">
        <f t="shared" si="64"/>
        <v>0</v>
      </c>
      <c r="N90" s="1524">
        <f t="shared" si="64"/>
        <v>0</v>
      </c>
      <c r="O90" s="1524">
        <f t="shared" si="64"/>
        <v>0</v>
      </c>
      <c r="P90" s="1524">
        <f t="shared" si="64"/>
        <v>0</v>
      </c>
      <c r="Q90" s="1524">
        <f t="shared" si="64"/>
        <v>0</v>
      </c>
      <c r="R90" s="1524">
        <f t="shared" si="64"/>
        <v>0</v>
      </c>
      <c r="S90" s="1524">
        <f t="shared" si="64"/>
        <v>0</v>
      </c>
      <c r="T90" s="1524">
        <f t="shared" si="64"/>
        <v>0</v>
      </c>
      <c r="U90" s="1524">
        <f t="shared" si="64"/>
        <v>0</v>
      </c>
      <c r="V90" s="1524">
        <f t="shared" si="64"/>
        <v>0</v>
      </c>
      <c r="W90" s="1524">
        <f t="shared" si="64"/>
        <v>0</v>
      </c>
      <c r="X90" s="1524">
        <f t="shared" si="64"/>
        <v>0</v>
      </c>
      <c r="Y90" s="1524">
        <f t="shared" si="64"/>
        <v>0</v>
      </c>
      <c r="Z90" s="1524">
        <f t="shared" si="64"/>
        <v>0</v>
      </c>
      <c r="AA90" s="1524">
        <f t="shared" si="64"/>
        <v>0</v>
      </c>
      <c r="AB90" s="1524">
        <f t="shared" si="64"/>
        <v>0</v>
      </c>
      <c r="AC90" s="1588"/>
      <c r="AD90" s="1588"/>
      <c r="AE90" s="545"/>
      <c r="AF90" s="503"/>
      <c r="AG90" s="509"/>
    </row>
    <row r="91" spans="1:33" ht="27" customHeight="1" thickBot="1">
      <c r="A91" s="2844">
        <f>budgetår-1</f>
        <v>2024</v>
      </c>
      <c r="B91" s="1587" t="str">
        <f>"Antal skyldige feriedage og særlige feriedage pr. 31.12."&amp;budgetår-1&amp;". (Anvendes til feriepengeforpligtigelse)"</f>
        <v>Antal skyldige feriedage og særlige feriedage pr. 31.12.2024. (Anvendes til feriepengeforpligtigelse)</v>
      </c>
      <c r="C91" s="1524"/>
      <c r="D91" s="1524"/>
      <c r="E91" s="1524"/>
      <c r="F91" s="1524"/>
      <c r="G91" s="1524"/>
      <c r="H91" s="1524"/>
      <c r="I91" s="1524"/>
      <c r="J91" s="1524"/>
      <c r="K91" s="1524"/>
      <c r="L91" s="1524"/>
      <c r="M91" s="1524"/>
      <c r="N91" s="1524"/>
      <c r="O91" s="1524"/>
      <c r="P91" s="1524"/>
      <c r="Q91" s="1524"/>
      <c r="R91" s="1524"/>
      <c r="S91" s="1524"/>
      <c r="T91" s="1524"/>
      <c r="U91" s="1524"/>
      <c r="V91" s="1524"/>
      <c r="W91" s="1524"/>
      <c r="X91" s="1524"/>
      <c r="Y91" s="1524"/>
      <c r="Z91" s="1524"/>
      <c r="AA91" s="1524"/>
      <c r="AB91" s="1589"/>
      <c r="AC91" s="1588"/>
      <c r="AD91" s="1588"/>
      <c r="AE91" s="545"/>
      <c r="AF91" s="77" t="s">
        <v>607</v>
      </c>
      <c r="AG91" s="279"/>
    </row>
    <row r="92" spans="1:33" ht="39" customHeight="1" thickBot="1">
      <c r="A92" s="2845"/>
      <c r="B92" s="1590" t="str">
        <f>"Feriepengeforpligtigelse "&amp;budgetår-1&amp;""</f>
        <v>Feriepengeforpligtigelse 2024</v>
      </c>
      <c r="C92" s="1591" cm="1">
        <f t="array" ref="C92">IF(C91&gt;0,SUM((C87:C89)/21*C91)+C90)*C86</f>
        <v>0</v>
      </c>
      <c r="D92" s="1591" cm="1">
        <f t="array" ref="D92">IF(D91&gt;0,SUM((D87:D89)/21*D91)+D90)*D86</f>
        <v>0</v>
      </c>
      <c r="E92" s="1591" cm="1">
        <f t="array" ref="E92">IF(E91&gt;0,SUM((E87:E89)/21*E91)+E90)*E86</f>
        <v>0</v>
      </c>
      <c r="F92" s="1591" cm="1">
        <f t="array" ref="F92">IF(F91&gt;0,SUM((F87:F89)/21*F91)+F90)*F86</f>
        <v>0</v>
      </c>
      <c r="G92" s="1591" cm="1">
        <f t="array" ref="G92">IF(G91&gt;0,SUM((G87:G89)/21*G91)+G90)*G86</f>
        <v>0</v>
      </c>
      <c r="H92" s="1591" cm="1">
        <f t="array" ref="H92">IF(H91&gt;0,SUM((H87:H89)/21*H91)+H90)*H86</f>
        <v>0</v>
      </c>
      <c r="I92" s="1591" cm="1">
        <f t="array" ref="I92">IF(I91&gt;0,SUM((I87:I89)/21*I91)+I90)*I86</f>
        <v>0</v>
      </c>
      <c r="J92" s="1591" cm="1">
        <f t="array" ref="J92">IF(J91&gt;0,SUM((J87:J89)/21*J91)+J90)*J86</f>
        <v>0</v>
      </c>
      <c r="K92" s="1591" cm="1">
        <f t="array" ref="K92">IF(K91&gt;0,SUM((K87:K89)/21*K91)+K90)*K86</f>
        <v>0</v>
      </c>
      <c r="L92" s="1591" cm="1">
        <f t="array" ref="L92">IF(L91&gt;0,SUM((L87:L89)/21*L91)+L90)*L86</f>
        <v>0</v>
      </c>
      <c r="M92" s="1591" cm="1">
        <f t="array" ref="M92">IF(M91&gt;0,SUM((M87:M89)/21*M91)+M90)*M86</f>
        <v>0</v>
      </c>
      <c r="N92" s="1591" cm="1">
        <f t="array" ref="N92">IF(N91&gt;0,SUM((N87:N89)/21*N91)+N90)*N86</f>
        <v>0</v>
      </c>
      <c r="O92" s="1591" cm="1">
        <f t="array" ref="O92">IF(O91&gt;0,SUM((O87:O89)/21*O91)+O90)*O86</f>
        <v>0</v>
      </c>
      <c r="P92" s="1591" cm="1">
        <f t="array" ref="P92">IF(P91&gt;0,SUM((P87:P89)/21*P91)+P90)*P86</f>
        <v>0</v>
      </c>
      <c r="Q92" s="1591" cm="1">
        <f t="array" ref="Q92">IF(Q91&gt;0,SUM((Q87:Q89)/21*Q91)+Q90)*Q86</f>
        <v>0</v>
      </c>
      <c r="R92" s="1591" cm="1">
        <f t="array" ref="R92">IF(R91&gt;0,SUM((R87:R89)/21*R91)+R90)*R86</f>
        <v>0</v>
      </c>
      <c r="S92" s="1591" cm="1">
        <f t="array" ref="S92">IF(S91&gt;0,SUM((S87:S89)/21*S91)+S90)*S86</f>
        <v>0</v>
      </c>
      <c r="T92" s="1591" cm="1">
        <f t="array" ref="T92">IF(T91&gt;0,SUM((T87:T89)/21*T91)+T90)*T86</f>
        <v>0</v>
      </c>
      <c r="U92" s="1591" cm="1">
        <f t="array" ref="U92">IF(U91&gt;0,SUM((U87:U89)/21*U91)+U90)*U86</f>
        <v>0</v>
      </c>
      <c r="V92" s="1591" cm="1">
        <f t="array" ref="V92">IF(V91&gt;0,SUM((V87:V89)/21*V91)+V90)*V86</f>
        <v>0</v>
      </c>
      <c r="W92" s="1591" cm="1">
        <f t="array" ref="W92">IF(W91&gt;0,SUM((W87:W89)/21*W91)+W90)*W86</f>
        <v>0</v>
      </c>
      <c r="X92" s="1591" cm="1">
        <f t="array" ref="X92">IF(X91&gt;0,SUM((X87:X89)/21*X91)+X90)*X86</f>
        <v>0</v>
      </c>
      <c r="Y92" s="1591" cm="1">
        <f t="array" ref="Y92">IF(Y91&gt;0,SUM((Y87:Y89)/21*Y91)+Y90)*Y86</f>
        <v>0</v>
      </c>
      <c r="Z92" s="1591" cm="1">
        <f t="array" ref="Z92">IF(Z91&gt;0,SUM((Z87:Z89)/21*Z91)+Z90)*Z86</f>
        <v>0</v>
      </c>
      <c r="AA92" s="1591" cm="1">
        <f t="array" ref="AA92">IF(AA91&gt;0,SUM((AA87:AA89)/21*AA91)+AA90)*AA86</f>
        <v>0</v>
      </c>
      <c r="AB92" s="1591" cm="1">
        <f t="array" ref="AB92">IF(AB91&gt;0,SUM((AB87:AB89)/21*AB91)+AB90)*AB86</f>
        <v>0</v>
      </c>
      <c r="AC92" s="1588"/>
      <c r="AD92" s="1588"/>
      <c r="AE92" s="545"/>
      <c r="AF92" s="79" t="str">
        <f>"Feriepengeforpligtigelse "&amp;budgetår-1</f>
        <v>Feriepengeforpligtigelse 2024</v>
      </c>
      <c r="AG92" s="80">
        <f>SUM(C92:AB92)</f>
        <v>0</v>
      </c>
    </row>
    <row r="93" spans="1:33" ht="27" customHeight="1" thickBot="1">
      <c r="A93" s="2840">
        <f>budgetår</f>
        <v>2025</v>
      </c>
      <c r="B93" s="1592" t="str">
        <f>"Antal skyldige feriedage og særlige feriedage pr. 31.12."&amp;budgetår&amp;". (Anvendes til feriepengeforpligtigelse)"</f>
        <v>Antal skyldige feriedage og særlige feriedage pr. 31.12.2025. (Anvendes til feriepengeforpligtigelse)</v>
      </c>
      <c r="C93" s="1524"/>
      <c r="D93" s="1524"/>
      <c r="E93" s="1524"/>
      <c r="F93" s="1524"/>
      <c r="G93" s="1593"/>
      <c r="H93" s="1524"/>
      <c r="I93" s="1593"/>
      <c r="J93" s="1524"/>
      <c r="K93" s="1524"/>
      <c r="L93" s="1524"/>
      <c r="M93" s="1593"/>
      <c r="N93" s="1593"/>
      <c r="O93" s="1593"/>
      <c r="P93" s="1593"/>
      <c r="Q93" s="1593"/>
      <c r="R93" s="1593"/>
      <c r="S93" s="1524"/>
      <c r="T93" s="1524"/>
      <c r="U93" s="1593"/>
      <c r="V93" s="1524"/>
      <c r="W93" s="1524"/>
      <c r="X93" s="1524"/>
      <c r="Y93" s="1524"/>
      <c r="Z93" s="1524"/>
      <c r="AA93" s="1594"/>
      <c r="AB93" s="1595"/>
      <c r="AC93" s="1596"/>
      <c r="AD93" s="1596"/>
      <c r="AE93" s="545"/>
      <c r="AF93" s="78" t="str">
        <f>"Feriepengeforpligtigelse "&amp;budgetår</f>
        <v>Feriepengeforpligtigelse 2025</v>
      </c>
      <c r="AG93" s="1597">
        <f>SUM(C94:AB94)</f>
        <v>0</v>
      </c>
    </row>
    <row r="94" spans="1:33" ht="29" customHeight="1" thickBot="1">
      <c r="A94" s="2841"/>
      <c r="B94" s="1598" t="str">
        <f>"Feriepengeforpligtigelse "&amp;budgetår&amp;""</f>
        <v>Feriepengeforpligtigelse 2025</v>
      </c>
      <c r="C94" s="1599">
        <f>IF(C93&gt;0,(((C55-C51)/21*C93)+((C45*4)*2.02%))*C86,0)</f>
        <v>0</v>
      </c>
      <c r="D94" s="1599">
        <f t="shared" ref="D94:G94" si="65">IF(D93&gt;0,(((D55-D51)/21*D93)+((D45*4)*2.02%))*D86,0)</f>
        <v>0</v>
      </c>
      <c r="E94" s="1599">
        <f t="shared" si="65"/>
        <v>0</v>
      </c>
      <c r="F94" s="1599">
        <f t="shared" si="65"/>
        <v>0</v>
      </c>
      <c r="G94" s="1599">
        <f t="shared" si="65"/>
        <v>0</v>
      </c>
      <c r="H94" s="1599">
        <f t="shared" ref="H94" si="66">IF(H93&gt;0,(((H55-H51)/21*H93)+((H45*4)*2.02%))*H86,0)</f>
        <v>0</v>
      </c>
      <c r="I94" s="1599">
        <f t="shared" ref="I94" si="67">IF(I93&gt;0,(((I55-I51)/21*I93)+((I45*4)*2.02%))*I86,0)</f>
        <v>0</v>
      </c>
      <c r="J94" s="1599">
        <f t="shared" ref="J94:K94" si="68">IF(J93&gt;0,(((J55-J51)/21*J93)+((J45*4)*2.02%))*J86,0)</f>
        <v>0</v>
      </c>
      <c r="K94" s="1599">
        <f t="shared" si="68"/>
        <v>0</v>
      </c>
      <c r="L94" s="1599">
        <f t="shared" ref="L94" si="69">IF(L93&gt;0,(((L55-L51)/21*L93)+((L45*4)*2.02%))*L86,0)</f>
        <v>0</v>
      </c>
      <c r="M94" s="1599">
        <f t="shared" ref="M94" si="70">IF(M93&gt;0,(((M55-M51)/21*M93)+((M45*4)*2.02%))*M86,0)</f>
        <v>0</v>
      </c>
      <c r="N94" s="1599">
        <f t="shared" ref="N94:O94" si="71">IF(N93&gt;0,(((N55-N51)/21*N93)+((N45*4)*2.02%))*N86,0)</f>
        <v>0</v>
      </c>
      <c r="O94" s="1599">
        <f t="shared" si="71"/>
        <v>0</v>
      </c>
      <c r="P94" s="1599">
        <f t="shared" ref="P94" si="72">IF(P93&gt;0,(((P55-P51)/21*P93)+((P45*4)*2.02%))*P86,0)</f>
        <v>0</v>
      </c>
      <c r="Q94" s="1599">
        <f t="shared" ref="Q94" si="73">IF(Q93&gt;0,(((Q55-Q51)/21*Q93)+((Q45*4)*2.02%))*Q86,0)</f>
        <v>0</v>
      </c>
      <c r="R94" s="1599">
        <f t="shared" ref="R94:S94" si="74">IF(R93&gt;0,(((R55-R51)/21*R93)+((R45*4)*2.02%))*R86,0)</f>
        <v>0</v>
      </c>
      <c r="S94" s="1599">
        <f t="shared" si="74"/>
        <v>0</v>
      </c>
      <c r="T94" s="1599">
        <f t="shared" ref="T94" si="75">IF(T93&gt;0,(((T55-T51)/21*T93)+((T45*4)*2.02%))*T86,0)</f>
        <v>0</v>
      </c>
      <c r="U94" s="1599">
        <f t="shared" ref="U94" si="76">IF(U93&gt;0,(((U55-U51)/21*U93)+((U45*4)*2.02%))*U86,0)</f>
        <v>0</v>
      </c>
      <c r="V94" s="1599">
        <f t="shared" ref="V94:W94" si="77">IF(V93&gt;0,(((V55-V51)/21*V93)+((V45*4)*2.02%))*V86,0)</f>
        <v>0</v>
      </c>
      <c r="W94" s="1599">
        <f t="shared" si="77"/>
        <v>0</v>
      </c>
      <c r="X94" s="1599">
        <f t="shared" ref="X94" si="78">IF(X93&gt;0,(((X55-X51)/21*X93)+((X45*4)*2.02%))*X86,0)</f>
        <v>0</v>
      </c>
      <c r="Y94" s="1599">
        <f t="shared" ref="Y94" si="79">IF(Y93&gt;0,(((Y55-Y51)/21*Y93)+((Y45*4)*2.02%))*Y86,0)</f>
        <v>0</v>
      </c>
      <c r="Z94" s="1599">
        <f t="shared" ref="Z94:AA94" si="80">IF(Z93&gt;0,(((Z55-Z51)/21*Z93)+((Z45*4)*2.02%))*Z86,0)</f>
        <v>0</v>
      </c>
      <c r="AA94" s="1599">
        <f t="shared" si="80"/>
        <v>0</v>
      </c>
      <c r="AB94" s="1599">
        <f t="shared" ref="AB94" si="81">IF(AB93&gt;0,(((AB55-AB51)/21*AB93)+((AB45*4)*2.02%))*AB86,0)</f>
        <v>0</v>
      </c>
      <c r="AC94" s="1599">
        <f>IF(AC67&gt;0,AC67*15%*AC86,0)</f>
        <v>0</v>
      </c>
      <c r="AD94" s="1599">
        <f>IF(AD67&gt;0,AD67*15%*AD86,0)</f>
        <v>0</v>
      </c>
      <c r="AE94" s="545"/>
      <c r="AF94" s="541" t="str">
        <f>"Forskel indgår i lønudgift  "&amp;budgetår</f>
        <v>Forskel indgår i lønudgift  2025</v>
      </c>
      <c r="AG94" s="510">
        <f>AG93-AG92</f>
        <v>0</v>
      </c>
    </row>
    <row r="95" spans="1:33" ht="27" customHeight="1" thickBot="1">
      <c r="A95" s="2833">
        <f>budgetår+1</f>
        <v>2026</v>
      </c>
      <c r="B95" s="1600" t="str">
        <f>"Antal skyldige feriedage og særlige feriedage pr. 31.12."&amp;budgetår+1&amp;". (Anvendes til feriepengeforpligtigelse)"</f>
        <v>Antal skyldige feriedage og særlige feriedage pr. 31.12.2026. (Anvendes til feriepengeforpligtigelse)</v>
      </c>
      <c r="C95" s="1524"/>
      <c r="D95" s="1524"/>
      <c r="E95" s="1524"/>
      <c r="F95" s="1524"/>
      <c r="G95" s="1593"/>
      <c r="H95" s="1524"/>
      <c r="I95" s="1593"/>
      <c r="J95" s="1524"/>
      <c r="K95" s="1524"/>
      <c r="L95" s="1524"/>
      <c r="M95" s="1593"/>
      <c r="N95" s="1593"/>
      <c r="O95" s="1524"/>
      <c r="P95" s="1524"/>
      <c r="Q95" s="1524"/>
      <c r="R95" s="1524"/>
      <c r="S95" s="1524"/>
      <c r="T95" s="1524"/>
      <c r="U95" s="1593"/>
      <c r="V95" s="1524"/>
      <c r="W95" s="1524"/>
      <c r="X95" s="1524"/>
      <c r="Y95" s="1524"/>
      <c r="Z95" s="1524"/>
      <c r="AA95" s="1594"/>
      <c r="AB95" s="1595"/>
      <c r="AC95" s="1596"/>
      <c r="AD95" s="1596"/>
      <c r="AE95" s="545"/>
      <c r="AF95" s="78" t="str">
        <f>"Feriepengeforpligtigelse "&amp;budgetår+1</f>
        <v>Feriepengeforpligtigelse 2026</v>
      </c>
      <c r="AG95" s="1597">
        <f>SUM(C96:AB96)</f>
        <v>0</v>
      </c>
    </row>
    <row r="96" spans="1:33" ht="28" customHeight="1" thickBot="1">
      <c r="A96" s="2834"/>
      <c r="B96" s="1601" t="str">
        <f>"Feriepengeforpligtigelse "&amp;budgetår+1&amp;""</f>
        <v>Feriepengeforpligtigelse 2026</v>
      </c>
      <c r="C96" s="1602">
        <f t="shared" ref="C96:AB96" si="82">IF(C95&gt;0,(((C55-C51)/21*C95)+((C45*4)*2.02%))*C86*(1+fremskrivning),0)</f>
        <v>0</v>
      </c>
      <c r="D96" s="1602">
        <f t="shared" si="82"/>
        <v>0</v>
      </c>
      <c r="E96" s="1602">
        <f t="shared" si="82"/>
        <v>0</v>
      </c>
      <c r="F96" s="1602">
        <f t="shared" si="82"/>
        <v>0</v>
      </c>
      <c r="G96" s="1602">
        <f t="shared" si="82"/>
        <v>0</v>
      </c>
      <c r="H96" s="1602">
        <f t="shared" si="82"/>
        <v>0</v>
      </c>
      <c r="I96" s="1602">
        <f t="shared" si="82"/>
        <v>0</v>
      </c>
      <c r="J96" s="1602">
        <f t="shared" si="82"/>
        <v>0</v>
      </c>
      <c r="K96" s="1602">
        <f t="shared" si="82"/>
        <v>0</v>
      </c>
      <c r="L96" s="1602">
        <f t="shared" si="82"/>
        <v>0</v>
      </c>
      <c r="M96" s="1602">
        <f t="shared" si="82"/>
        <v>0</v>
      </c>
      <c r="N96" s="1602">
        <f t="shared" si="82"/>
        <v>0</v>
      </c>
      <c r="O96" s="1602">
        <f t="shared" si="82"/>
        <v>0</v>
      </c>
      <c r="P96" s="1602">
        <f t="shared" si="82"/>
        <v>0</v>
      </c>
      <c r="Q96" s="1602">
        <f t="shared" si="82"/>
        <v>0</v>
      </c>
      <c r="R96" s="1602">
        <f t="shared" si="82"/>
        <v>0</v>
      </c>
      <c r="S96" s="1602">
        <f t="shared" si="82"/>
        <v>0</v>
      </c>
      <c r="T96" s="1602">
        <f t="shared" si="82"/>
        <v>0</v>
      </c>
      <c r="U96" s="1602">
        <f t="shared" si="82"/>
        <v>0</v>
      </c>
      <c r="V96" s="1602">
        <f t="shared" si="82"/>
        <v>0</v>
      </c>
      <c r="W96" s="1602">
        <f t="shared" si="82"/>
        <v>0</v>
      </c>
      <c r="X96" s="1602">
        <f t="shared" si="82"/>
        <v>0</v>
      </c>
      <c r="Y96" s="1602">
        <f t="shared" si="82"/>
        <v>0</v>
      </c>
      <c r="Z96" s="1602">
        <f t="shared" si="82"/>
        <v>0</v>
      </c>
      <c r="AA96" s="1602">
        <f t="shared" si="82"/>
        <v>0</v>
      </c>
      <c r="AB96" s="1602">
        <f t="shared" si="82"/>
        <v>0</v>
      </c>
      <c r="AC96" s="1602">
        <f>IF(AC68&gt;0,AC68*15%*AC86,0)</f>
        <v>0</v>
      </c>
      <c r="AD96" s="1602">
        <f>IF(AD68&gt;0,AD68*15%*AD86,0)</f>
        <v>0</v>
      </c>
      <c r="AE96" s="545"/>
      <c r="AF96" s="541" t="str">
        <f>"Forskel indgår i budgetår "&amp;budgetår+1</f>
        <v>Forskel indgår i budgetår 2026</v>
      </c>
      <c r="AG96" s="510">
        <f>AG95-AG93</f>
        <v>0</v>
      </c>
    </row>
    <row r="97" spans="1:31" ht="19" customHeight="1" thickBot="1">
      <c r="A97" s="569"/>
      <c r="B97" s="569"/>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row>
    <row r="98" spans="1:31" ht="19.5" customHeight="1">
      <c r="A98" s="1603" t="str">
        <f>"Lønafhængige omkostninger "&amp;budgetår&amp;""</f>
        <v>Lønafhængige omkostninger 2025</v>
      </c>
      <c r="B98" s="1604"/>
      <c r="C98" s="921" t="str">
        <f t="shared" ref="C98:AD98" si="83">C3</f>
        <v>Øverst leder
(1. januar - 31. marts 2025)</v>
      </c>
      <c r="D98" s="921" t="str">
        <f t="shared" si="83"/>
        <v>Øverst leder
(1. april - 31. december 2025)</v>
      </c>
      <c r="E98" s="921" t="str">
        <f t="shared" si="83"/>
        <v>Øvrig leder</v>
      </c>
      <c r="F98" s="921" t="str">
        <f t="shared" si="83"/>
        <v>Lærer</v>
      </c>
      <c r="G98" s="921" t="str">
        <f t="shared" si="83"/>
        <v>Lærer</v>
      </c>
      <c r="H98" s="921" t="str">
        <f t="shared" si="83"/>
        <v>Lærer</v>
      </c>
      <c r="I98" s="921" t="str">
        <f t="shared" si="83"/>
        <v>Lærer</v>
      </c>
      <c r="J98" s="921" t="str">
        <f t="shared" si="83"/>
        <v>Lærer</v>
      </c>
      <c r="K98" s="921" t="str">
        <f t="shared" si="83"/>
        <v>Lærer</v>
      </c>
      <c r="L98" s="921" t="str">
        <f t="shared" si="83"/>
        <v>Lærer</v>
      </c>
      <c r="M98" s="921" t="str">
        <f t="shared" si="83"/>
        <v>Lærer</v>
      </c>
      <c r="N98" s="921" t="str">
        <f t="shared" si="83"/>
        <v>Lærer</v>
      </c>
      <c r="O98" s="921" t="str">
        <f t="shared" si="83"/>
        <v>Lærer</v>
      </c>
      <c r="P98" s="921" t="str">
        <f t="shared" si="83"/>
        <v>Lærer</v>
      </c>
      <c r="Q98" s="921" t="str">
        <f t="shared" si="83"/>
        <v>Lærer</v>
      </c>
      <c r="R98" s="921" t="str">
        <f t="shared" si="83"/>
        <v>Lærer</v>
      </c>
      <c r="S98" s="921" t="str">
        <f t="shared" si="83"/>
        <v>Lærer</v>
      </c>
      <c r="T98" s="921" t="str">
        <f t="shared" si="83"/>
        <v>Lærer</v>
      </c>
      <c r="U98" s="921" t="str">
        <f t="shared" si="83"/>
        <v>Lærer</v>
      </c>
      <c r="V98" s="921" t="str">
        <f t="shared" si="83"/>
        <v>Lærer</v>
      </c>
      <c r="W98" s="921" t="str">
        <f t="shared" si="83"/>
        <v>Lærer</v>
      </c>
      <c r="X98" s="921" t="str">
        <f t="shared" si="83"/>
        <v>Lærer</v>
      </c>
      <c r="Y98" s="921" t="str">
        <f t="shared" si="83"/>
        <v>Lærer</v>
      </c>
      <c r="Z98" s="921" t="str">
        <f t="shared" si="83"/>
        <v>Lærer</v>
      </c>
      <c r="AA98" s="921" t="str">
        <f t="shared" si="83"/>
        <v>Lærer</v>
      </c>
      <c r="AB98" s="921" t="str">
        <f t="shared" si="83"/>
        <v>Lærer</v>
      </c>
      <c r="AC98" s="921" t="str">
        <f t="shared" si="83"/>
        <v>Timelønnet</v>
      </c>
      <c r="AD98" s="921" t="str">
        <f t="shared" si="83"/>
        <v>Timelønnet</v>
      </c>
      <c r="AE98" s="564"/>
    </row>
    <row r="99" spans="1:31" ht="19.5" customHeight="1">
      <c r="A99" s="1605">
        <v>1</v>
      </c>
      <c r="B99" s="1606" t="s">
        <v>608</v>
      </c>
      <c r="C99" s="565">
        <f t="shared" ref="C99:AB99" si="84">C9*C18</f>
        <v>0</v>
      </c>
      <c r="D99" s="565">
        <f t="shared" si="84"/>
        <v>0</v>
      </c>
      <c r="E99" s="565">
        <f t="shared" si="84"/>
        <v>0</v>
      </c>
      <c r="F99" s="565">
        <f t="shared" si="84"/>
        <v>0</v>
      </c>
      <c r="G99" s="565">
        <f t="shared" si="84"/>
        <v>0</v>
      </c>
      <c r="H99" s="565">
        <f t="shared" si="84"/>
        <v>0</v>
      </c>
      <c r="I99" s="565">
        <f t="shared" si="84"/>
        <v>0</v>
      </c>
      <c r="J99" s="565">
        <f t="shared" si="84"/>
        <v>0</v>
      </c>
      <c r="K99" s="565">
        <f t="shared" si="84"/>
        <v>0</v>
      </c>
      <c r="L99" s="565">
        <f t="shared" si="84"/>
        <v>0</v>
      </c>
      <c r="M99" s="565">
        <f t="shared" si="84"/>
        <v>0</v>
      </c>
      <c r="N99" s="565">
        <f t="shared" si="84"/>
        <v>0</v>
      </c>
      <c r="O99" s="565">
        <f t="shared" si="84"/>
        <v>0</v>
      </c>
      <c r="P99" s="565">
        <f t="shared" si="84"/>
        <v>0</v>
      </c>
      <c r="Q99" s="565">
        <f t="shared" si="84"/>
        <v>0</v>
      </c>
      <c r="R99" s="565">
        <f t="shared" si="84"/>
        <v>0</v>
      </c>
      <c r="S99" s="565">
        <f t="shared" si="84"/>
        <v>0</v>
      </c>
      <c r="T99" s="565">
        <f t="shared" si="84"/>
        <v>0</v>
      </c>
      <c r="U99" s="565">
        <f t="shared" si="84"/>
        <v>0</v>
      </c>
      <c r="V99" s="565">
        <f t="shared" si="84"/>
        <v>0</v>
      </c>
      <c r="W99" s="565">
        <f t="shared" si="84"/>
        <v>0</v>
      </c>
      <c r="X99" s="565">
        <f t="shared" si="84"/>
        <v>0</v>
      </c>
      <c r="Y99" s="565">
        <f t="shared" si="84"/>
        <v>0</v>
      </c>
      <c r="Z99" s="565">
        <f t="shared" si="84"/>
        <v>0</v>
      </c>
      <c r="AA99" s="565">
        <f t="shared" si="84"/>
        <v>0</v>
      </c>
      <c r="AB99" s="565">
        <f t="shared" si="84"/>
        <v>0</v>
      </c>
      <c r="AC99" s="565">
        <f>($AC$5/160.33)*AC9</f>
        <v>0</v>
      </c>
      <c r="AD99" s="565">
        <f>($AD$5/160.33)*AD9</f>
        <v>0</v>
      </c>
      <c r="AE99" s="564"/>
    </row>
    <row r="100" spans="1:31" ht="19.5" customHeight="1">
      <c r="A100" s="1607">
        <f>A99+1</f>
        <v>2</v>
      </c>
      <c r="B100" s="1608" t="str">
        <f>"Flexlønsordning: "&amp;FlexBidr&amp;" kr. pr. læ-årsværk"</f>
        <v>Flexlønsordning: 6265 kr. pr. læ-årsværk</v>
      </c>
      <c r="C100" s="502">
        <f t="shared" ref="C100:AC100" si="85">FlexBidr*C99/12</f>
        <v>0</v>
      </c>
      <c r="D100" s="502">
        <f t="shared" ref="D100" si="86">FlexBidr*D99/12</f>
        <v>0</v>
      </c>
      <c r="E100" s="502">
        <f t="shared" si="85"/>
        <v>0</v>
      </c>
      <c r="F100" s="502">
        <f t="shared" si="85"/>
        <v>0</v>
      </c>
      <c r="G100" s="502">
        <f t="shared" si="85"/>
        <v>0</v>
      </c>
      <c r="H100" s="502">
        <f t="shared" si="85"/>
        <v>0</v>
      </c>
      <c r="I100" s="502">
        <f t="shared" si="85"/>
        <v>0</v>
      </c>
      <c r="J100" s="502">
        <f t="shared" si="85"/>
        <v>0</v>
      </c>
      <c r="K100" s="502">
        <f t="shared" si="85"/>
        <v>0</v>
      </c>
      <c r="L100" s="502">
        <f t="shared" si="85"/>
        <v>0</v>
      </c>
      <c r="M100" s="502">
        <f t="shared" si="85"/>
        <v>0</v>
      </c>
      <c r="N100" s="502">
        <f t="shared" si="85"/>
        <v>0</v>
      </c>
      <c r="O100" s="502">
        <f t="shared" si="85"/>
        <v>0</v>
      </c>
      <c r="P100" s="502">
        <f t="shared" si="85"/>
        <v>0</v>
      </c>
      <c r="Q100" s="502">
        <f t="shared" si="85"/>
        <v>0</v>
      </c>
      <c r="R100" s="502">
        <f t="shared" si="85"/>
        <v>0</v>
      </c>
      <c r="S100" s="502">
        <f t="shared" si="85"/>
        <v>0</v>
      </c>
      <c r="T100" s="502">
        <f t="shared" si="85"/>
        <v>0</v>
      </c>
      <c r="U100" s="502">
        <f t="shared" si="85"/>
        <v>0</v>
      </c>
      <c r="V100" s="502">
        <f t="shared" ref="V100" si="87">FlexBidr*V99/12</f>
        <v>0</v>
      </c>
      <c r="W100" s="502">
        <f t="shared" ref="W100:Y100" si="88">FlexBidr*W99/12</f>
        <v>0</v>
      </c>
      <c r="X100" s="502">
        <f t="shared" si="88"/>
        <v>0</v>
      </c>
      <c r="Y100" s="502">
        <f t="shared" si="88"/>
        <v>0</v>
      </c>
      <c r="Z100" s="502">
        <f t="shared" ref="Z100:AA100" si="89">FlexBidr*Z99/12</f>
        <v>0</v>
      </c>
      <c r="AA100" s="502">
        <f t="shared" si="89"/>
        <v>0</v>
      </c>
      <c r="AB100" s="502">
        <f t="shared" si="85"/>
        <v>0</v>
      </c>
      <c r="AC100" s="502">
        <f t="shared" si="85"/>
        <v>0</v>
      </c>
      <c r="AD100" s="502">
        <f>FlexBidr*AD99/12</f>
        <v>0</v>
      </c>
      <c r="AE100" s="202">
        <f>SUM(C100:AD100)</f>
        <v>0</v>
      </c>
    </row>
    <row r="101" spans="1:31" ht="19.5" customHeight="1" thickBot="1">
      <c r="A101" s="1607">
        <f>A100+1</f>
        <v>3</v>
      </c>
      <c r="B101" s="1608" t="str">
        <f>"Samlet betaling.: "&amp;AER&amp;" kr. pr. årsværk"</f>
        <v>Samlet betaling.: 4517 kr. pr. årsværk</v>
      </c>
      <c r="C101" s="201">
        <f t="shared" ref="C101:AC101" si="90">C99*AER/12</f>
        <v>0</v>
      </c>
      <c r="D101" s="201">
        <f t="shared" ref="D101" si="91">D99*AER/12</f>
        <v>0</v>
      </c>
      <c r="E101" s="78">
        <f t="shared" si="90"/>
        <v>0</v>
      </c>
      <c r="F101" s="78">
        <f t="shared" si="90"/>
        <v>0</v>
      </c>
      <c r="G101" s="78">
        <f t="shared" si="90"/>
        <v>0</v>
      </c>
      <c r="H101" s="78">
        <f t="shared" si="90"/>
        <v>0</v>
      </c>
      <c r="I101" s="78">
        <f t="shared" si="90"/>
        <v>0</v>
      </c>
      <c r="J101" s="78">
        <f t="shared" si="90"/>
        <v>0</v>
      </c>
      <c r="K101" s="78">
        <f t="shared" si="90"/>
        <v>0</v>
      </c>
      <c r="L101" s="78">
        <f t="shared" si="90"/>
        <v>0</v>
      </c>
      <c r="M101" s="78">
        <f t="shared" si="90"/>
        <v>0</v>
      </c>
      <c r="N101" s="78">
        <f t="shared" si="90"/>
        <v>0</v>
      </c>
      <c r="O101" s="78">
        <f t="shared" si="90"/>
        <v>0</v>
      </c>
      <c r="P101" s="78">
        <f t="shared" si="90"/>
        <v>0</v>
      </c>
      <c r="Q101" s="78">
        <f t="shared" si="90"/>
        <v>0</v>
      </c>
      <c r="R101" s="78">
        <f t="shared" si="90"/>
        <v>0</v>
      </c>
      <c r="S101" s="78">
        <f t="shared" si="90"/>
        <v>0</v>
      </c>
      <c r="T101" s="78">
        <f t="shared" si="90"/>
        <v>0</v>
      </c>
      <c r="U101" s="78">
        <f t="shared" si="90"/>
        <v>0</v>
      </c>
      <c r="V101" s="78">
        <f t="shared" ref="V101" si="92">V99*AER/12</f>
        <v>0</v>
      </c>
      <c r="W101" s="78">
        <f t="shared" ref="W101:Y101" si="93">W99*AER/12</f>
        <v>0</v>
      </c>
      <c r="X101" s="78">
        <f t="shared" si="93"/>
        <v>0</v>
      </c>
      <c r="Y101" s="78">
        <f t="shared" si="93"/>
        <v>0</v>
      </c>
      <c r="Z101" s="78">
        <f t="shared" ref="Z101:AA101" si="94">Z99*AER/12</f>
        <v>0</v>
      </c>
      <c r="AA101" s="78">
        <f t="shared" si="94"/>
        <v>0</v>
      </c>
      <c r="AB101" s="78">
        <f t="shared" si="90"/>
        <v>0</v>
      </c>
      <c r="AC101" s="78">
        <f t="shared" si="90"/>
        <v>0</v>
      </c>
      <c r="AD101" s="78">
        <f>AD99*AER/12</f>
        <v>0</v>
      </c>
      <c r="AE101" s="202">
        <f>SUM(C101:AD101)</f>
        <v>0</v>
      </c>
    </row>
    <row r="102" spans="1:31" ht="19.5" customHeight="1" thickBot="1">
      <c r="A102" s="1607">
        <f>A101+1</f>
        <v>4</v>
      </c>
      <c r="B102" s="1609" t="s">
        <v>609</v>
      </c>
      <c r="C102" s="188">
        <f>C100+C101</f>
        <v>0</v>
      </c>
      <c r="D102" s="188">
        <f>D100+D101</f>
        <v>0</v>
      </c>
      <c r="E102" s="188">
        <f t="shared" ref="E102:AC102" si="95">E100+E101</f>
        <v>0</v>
      </c>
      <c r="F102" s="188">
        <f t="shared" si="95"/>
        <v>0</v>
      </c>
      <c r="G102" s="188">
        <f>G100+G101</f>
        <v>0</v>
      </c>
      <c r="H102" s="188">
        <f t="shared" si="95"/>
        <v>0</v>
      </c>
      <c r="I102" s="188">
        <f t="shared" si="95"/>
        <v>0</v>
      </c>
      <c r="J102" s="188">
        <f t="shared" si="95"/>
        <v>0</v>
      </c>
      <c r="K102" s="188">
        <f t="shared" si="95"/>
        <v>0</v>
      </c>
      <c r="L102" s="188">
        <f t="shared" si="95"/>
        <v>0</v>
      </c>
      <c r="M102" s="188">
        <f t="shared" si="95"/>
        <v>0</v>
      </c>
      <c r="N102" s="188">
        <f t="shared" si="95"/>
        <v>0</v>
      </c>
      <c r="O102" s="188">
        <f t="shared" si="95"/>
        <v>0</v>
      </c>
      <c r="P102" s="188">
        <f t="shared" si="95"/>
        <v>0</v>
      </c>
      <c r="Q102" s="188">
        <f t="shared" si="95"/>
        <v>0</v>
      </c>
      <c r="R102" s="188">
        <f t="shared" si="95"/>
        <v>0</v>
      </c>
      <c r="S102" s="188">
        <f t="shared" si="95"/>
        <v>0</v>
      </c>
      <c r="T102" s="188">
        <f t="shared" si="95"/>
        <v>0</v>
      </c>
      <c r="U102" s="188">
        <f t="shared" si="95"/>
        <v>0</v>
      </c>
      <c r="V102" s="188">
        <f t="shared" ref="V102" si="96">V100+V101</f>
        <v>0</v>
      </c>
      <c r="W102" s="188">
        <f t="shared" ref="W102:Y102" si="97">W100+W101</f>
        <v>0</v>
      </c>
      <c r="X102" s="188">
        <f t="shared" si="97"/>
        <v>0</v>
      </c>
      <c r="Y102" s="188">
        <f t="shared" si="97"/>
        <v>0</v>
      </c>
      <c r="Z102" s="188">
        <f t="shared" ref="Z102:AA102" si="98">Z100+Z101</f>
        <v>0</v>
      </c>
      <c r="AA102" s="188">
        <f t="shared" si="98"/>
        <v>0</v>
      </c>
      <c r="AB102" s="188">
        <f t="shared" si="95"/>
        <v>0</v>
      </c>
      <c r="AC102" s="188">
        <f t="shared" si="95"/>
        <v>0</v>
      </c>
      <c r="AD102" s="188">
        <f>AD100+AD101</f>
        <v>0</v>
      </c>
      <c r="AE102" s="203">
        <f>+AE100+AE101</f>
        <v>0</v>
      </c>
    </row>
    <row r="103" spans="1:31" ht="19.5" customHeight="1">
      <c r="A103" s="1603" t="str">
        <f>"Lønafhængige omkostninger "&amp;budgetår+1&amp;""</f>
        <v>Lønafhængige omkostninger 2026</v>
      </c>
      <c r="B103" s="1604"/>
      <c r="C103" s="921" t="str">
        <f>C98</f>
        <v>Øverst leder
(1. januar - 31. marts 2025)</v>
      </c>
      <c r="D103" s="921" t="str">
        <f>D98</f>
        <v>Øverst leder
(1. april - 31. december 2025)</v>
      </c>
      <c r="E103" s="921" t="str">
        <f t="shared" ref="E103:AD103" si="99">E98</f>
        <v>Øvrig leder</v>
      </c>
      <c r="F103" s="921" t="str">
        <f t="shared" si="99"/>
        <v>Lærer</v>
      </c>
      <c r="G103" s="921" t="str">
        <f t="shared" si="99"/>
        <v>Lærer</v>
      </c>
      <c r="H103" s="921" t="str">
        <f t="shared" si="99"/>
        <v>Lærer</v>
      </c>
      <c r="I103" s="921" t="str">
        <f t="shared" si="99"/>
        <v>Lærer</v>
      </c>
      <c r="J103" s="921" t="str">
        <f t="shared" si="99"/>
        <v>Lærer</v>
      </c>
      <c r="K103" s="921" t="str">
        <f t="shared" si="99"/>
        <v>Lærer</v>
      </c>
      <c r="L103" s="921" t="str">
        <f t="shared" si="99"/>
        <v>Lærer</v>
      </c>
      <c r="M103" s="921" t="str">
        <f t="shared" si="99"/>
        <v>Lærer</v>
      </c>
      <c r="N103" s="921" t="str">
        <f t="shared" si="99"/>
        <v>Lærer</v>
      </c>
      <c r="O103" s="921" t="str">
        <f t="shared" si="99"/>
        <v>Lærer</v>
      </c>
      <c r="P103" s="921" t="str">
        <f t="shared" si="99"/>
        <v>Lærer</v>
      </c>
      <c r="Q103" s="921" t="str">
        <f t="shared" si="99"/>
        <v>Lærer</v>
      </c>
      <c r="R103" s="921" t="str">
        <f t="shared" si="99"/>
        <v>Lærer</v>
      </c>
      <c r="S103" s="921" t="str">
        <f t="shared" si="99"/>
        <v>Lærer</v>
      </c>
      <c r="T103" s="921" t="str">
        <f t="shared" si="99"/>
        <v>Lærer</v>
      </c>
      <c r="U103" s="921" t="str">
        <f t="shared" si="99"/>
        <v>Lærer</v>
      </c>
      <c r="V103" s="921" t="str">
        <f t="shared" si="99"/>
        <v>Lærer</v>
      </c>
      <c r="W103" s="921" t="str">
        <f t="shared" si="99"/>
        <v>Lærer</v>
      </c>
      <c r="X103" s="921" t="str">
        <f t="shared" si="99"/>
        <v>Lærer</v>
      </c>
      <c r="Y103" s="921" t="str">
        <f t="shared" si="99"/>
        <v>Lærer</v>
      </c>
      <c r="Z103" s="921" t="str">
        <f t="shared" si="99"/>
        <v>Lærer</v>
      </c>
      <c r="AA103" s="921" t="str">
        <f t="shared" si="99"/>
        <v>Lærer</v>
      </c>
      <c r="AB103" s="921" t="str">
        <f t="shared" si="99"/>
        <v>Lærer</v>
      </c>
      <c r="AC103" s="921" t="str">
        <f t="shared" si="99"/>
        <v>Timelønnet</v>
      </c>
      <c r="AD103" s="921" t="str">
        <f t="shared" si="99"/>
        <v>Timelønnet</v>
      </c>
      <c r="AE103" s="564"/>
    </row>
    <row r="104" spans="1:31" ht="19.5" customHeight="1">
      <c r="A104" s="1605">
        <v>1</v>
      </c>
      <c r="B104" s="1606" t="s">
        <v>608</v>
      </c>
      <c r="C104" s="565">
        <f t="shared" ref="C104:AB104" si="100">C10*C18</f>
        <v>0</v>
      </c>
      <c r="D104" s="565">
        <f t="shared" si="100"/>
        <v>0</v>
      </c>
      <c r="E104" s="565">
        <f t="shared" si="100"/>
        <v>0</v>
      </c>
      <c r="F104" s="565">
        <f t="shared" si="100"/>
        <v>0</v>
      </c>
      <c r="G104" s="565">
        <f t="shared" si="100"/>
        <v>0</v>
      </c>
      <c r="H104" s="565">
        <f t="shared" si="100"/>
        <v>0</v>
      </c>
      <c r="I104" s="565">
        <f t="shared" si="100"/>
        <v>0</v>
      </c>
      <c r="J104" s="565">
        <f t="shared" si="100"/>
        <v>0</v>
      </c>
      <c r="K104" s="565">
        <f t="shared" si="100"/>
        <v>0</v>
      </c>
      <c r="L104" s="565">
        <f t="shared" si="100"/>
        <v>0</v>
      </c>
      <c r="M104" s="565">
        <f t="shared" si="100"/>
        <v>0</v>
      </c>
      <c r="N104" s="565">
        <f t="shared" si="100"/>
        <v>0</v>
      </c>
      <c r="O104" s="565">
        <f t="shared" si="100"/>
        <v>0</v>
      </c>
      <c r="P104" s="565">
        <f t="shared" si="100"/>
        <v>0</v>
      </c>
      <c r="Q104" s="565">
        <f t="shared" si="100"/>
        <v>0</v>
      </c>
      <c r="R104" s="565">
        <f t="shared" si="100"/>
        <v>0</v>
      </c>
      <c r="S104" s="565">
        <f t="shared" si="100"/>
        <v>0</v>
      </c>
      <c r="T104" s="565">
        <f t="shared" si="100"/>
        <v>0</v>
      </c>
      <c r="U104" s="565">
        <f t="shared" si="100"/>
        <v>0</v>
      </c>
      <c r="V104" s="565">
        <f t="shared" si="100"/>
        <v>0</v>
      </c>
      <c r="W104" s="565">
        <f t="shared" si="100"/>
        <v>0</v>
      </c>
      <c r="X104" s="565">
        <f t="shared" si="100"/>
        <v>0</v>
      </c>
      <c r="Y104" s="565">
        <f t="shared" si="100"/>
        <v>0</v>
      </c>
      <c r="Z104" s="565">
        <f t="shared" si="100"/>
        <v>0</v>
      </c>
      <c r="AA104" s="565">
        <f t="shared" si="100"/>
        <v>0</v>
      </c>
      <c r="AB104" s="565">
        <f t="shared" si="100"/>
        <v>0</v>
      </c>
      <c r="AC104" s="565">
        <f>($AC$5/160.33)*AC10</f>
        <v>0</v>
      </c>
      <c r="AD104" s="565">
        <f>($AD$5/160.33)*AD10</f>
        <v>0</v>
      </c>
      <c r="AE104" s="564"/>
    </row>
    <row r="105" spans="1:31" ht="19.5" customHeight="1">
      <c r="A105" s="1607">
        <f>A104+1</f>
        <v>2</v>
      </c>
      <c r="B105" s="1608" t="str">
        <f>"Flexlønsordning: "&amp;FlexBidr&amp;" kr. pr. læ-årsværk"</f>
        <v>Flexlønsordning: 6265 kr. pr. læ-årsværk</v>
      </c>
      <c r="C105" s="502">
        <f t="shared" ref="C105:AB105" si="101">FlexBidr*(1+fremskrivning)*C104/12</f>
        <v>0</v>
      </c>
      <c r="D105" s="502">
        <f t="shared" ref="D105" si="102">FlexBidr*(1+fremskrivning)*D104/12</f>
        <v>0</v>
      </c>
      <c r="E105" s="502">
        <f t="shared" si="101"/>
        <v>0</v>
      </c>
      <c r="F105" s="502">
        <f t="shared" si="101"/>
        <v>0</v>
      </c>
      <c r="G105" s="502">
        <f t="shared" si="101"/>
        <v>0</v>
      </c>
      <c r="H105" s="502">
        <f t="shared" si="101"/>
        <v>0</v>
      </c>
      <c r="I105" s="502">
        <f t="shared" si="101"/>
        <v>0</v>
      </c>
      <c r="J105" s="502">
        <f t="shared" si="101"/>
        <v>0</v>
      </c>
      <c r="K105" s="502">
        <f t="shared" si="101"/>
        <v>0</v>
      </c>
      <c r="L105" s="502">
        <f t="shared" si="101"/>
        <v>0</v>
      </c>
      <c r="M105" s="502">
        <f t="shared" si="101"/>
        <v>0</v>
      </c>
      <c r="N105" s="502">
        <f t="shared" si="101"/>
        <v>0</v>
      </c>
      <c r="O105" s="502">
        <f t="shared" si="101"/>
        <v>0</v>
      </c>
      <c r="P105" s="502">
        <f t="shared" si="101"/>
        <v>0</v>
      </c>
      <c r="Q105" s="502">
        <f t="shared" si="101"/>
        <v>0</v>
      </c>
      <c r="R105" s="502">
        <f t="shared" si="101"/>
        <v>0</v>
      </c>
      <c r="S105" s="502">
        <f t="shared" si="101"/>
        <v>0</v>
      </c>
      <c r="T105" s="502">
        <f t="shared" si="101"/>
        <v>0</v>
      </c>
      <c r="U105" s="502">
        <f t="shared" si="101"/>
        <v>0</v>
      </c>
      <c r="V105" s="502">
        <f t="shared" si="101"/>
        <v>0</v>
      </c>
      <c r="W105" s="502">
        <f t="shared" si="101"/>
        <v>0</v>
      </c>
      <c r="X105" s="502">
        <f t="shared" si="101"/>
        <v>0</v>
      </c>
      <c r="Y105" s="502">
        <f t="shared" si="101"/>
        <v>0</v>
      </c>
      <c r="Z105" s="502">
        <f t="shared" si="101"/>
        <v>0</v>
      </c>
      <c r="AA105" s="502">
        <f t="shared" si="101"/>
        <v>0</v>
      </c>
      <c r="AB105" s="502">
        <f t="shared" si="101"/>
        <v>0</v>
      </c>
      <c r="AC105" s="502">
        <f>FlexBidr*AC104/12*(fremskrivning+1)</f>
        <v>0</v>
      </c>
      <c r="AD105" s="502">
        <f>FlexBidr*AD104/12*(fremskrivning+1)</f>
        <v>0</v>
      </c>
      <c r="AE105" s="202">
        <f>SUM(C105:AD105)</f>
        <v>0</v>
      </c>
    </row>
    <row r="106" spans="1:31" ht="19.5" customHeight="1" thickBot="1">
      <c r="A106" s="1607">
        <f>A105+1</f>
        <v>3</v>
      </c>
      <c r="B106" s="1608" t="str">
        <f>"Samlet betaling.: "&amp;AER&amp;" kr. pr. årsværk"</f>
        <v>Samlet betaling.: 4517 kr. pr. årsværk</v>
      </c>
      <c r="C106" s="201">
        <f t="shared" ref="C106:AB106" si="103">C104*(1+fremskrivning)*AER/12</f>
        <v>0</v>
      </c>
      <c r="D106" s="201">
        <f t="shared" ref="D106" si="104">D104*(1+fremskrivning)*AER/12</f>
        <v>0</v>
      </c>
      <c r="E106" s="201">
        <f t="shared" si="103"/>
        <v>0</v>
      </c>
      <c r="F106" s="201">
        <f t="shared" si="103"/>
        <v>0</v>
      </c>
      <c r="G106" s="201">
        <f t="shared" si="103"/>
        <v>0</v>
      </c>
      <c r="H106" s="201">
        <f t="shared" si="103"/>
        <v>0</v>
      </c>
      <c r="I106" s="201">
        <f t="shared" si="103"/>
        <v>0</v>
      </c>
      <c r="J106" s="201">
        <f t="shared" si="103"/>
        <v>0</v>
      </c>
      <c r="K106" s="201">
        <f t="shared" si="103"/>
        <v>0</v>
      </c>
      <c r="L106" s="201">
        <f t="shared" si="103"/>
        <v>0</v>
      </c>
      <c r="M106" s="201">
        <f t="shared" si="103"/>
        <v>0</v>
      </c>
      <c r="N106" s="201">
        <f t="shared" si="103"/>
        <v>0</v>
      </c>
      <c r="O106" s="201">
        <f t="shared" si="103"/>
        <v>0</v>
      </c>
      <c r="P106" s="201">
        <f t="shared" si="103"/>
        <v>0</v>
      </c>
      <c r="Q106" s="201">
        <f t="shared" si="103"/>
        <v>0</v>
      </c>
      <c r="R106" s="201">
        <f t="shared" si="103"/>
        <v>0</v>
      </c>
      <c r="S106" s="201">
        <f t="shared" si="103"/>
        <v>0</v>
      </c>
      <c r="T106" s="201">
        <f t="shared" si="103"/>
        <v>0</v>
      </c>
      <c r="U106" s="201">
        <f t="shared" si="103"/>
        <v>0</v>
      </c>
      <c r="V106" s="201">
        <f t="shared" si="103"/>
        <v>0</v>
      </c>
      <c r="W106" s="201">
        <f t="shared" si="103"/>
        <v>0</v>
      </c>
      <c r="X106" s="201">
        <f t="shared" si="103"/>
        <v>0</v>
      </c>
      <c r="Y106" s="201">
        <f t="shared" si="103"/>
        <v>0</v>
      </c>
      <c r="Z106" s="201">
        <f t="shared" si="103"/>
        <v>0</v>
      </c>
      <c r="AA106" s="201">
        <f t="shared" si="103"/>
        <v>0</v>
      </c>
      <c r="AB106" s="201">
        <f t="shared" si="103"/>
        <v>0</v>
      </c>
      <c r="AC106" s="78">
        <f>AC104*AER/12*(fremskrivning+1)</f>
        <v>0</v>
      </c>
      <c r="AD106" s="78">
        <f>AD104*AER/12*(fremskrivning+1)</f>
        <v>0</v>
      </c>
      <c r="AE106" s="202">
        <f>SUM(C106:AD106)</f>
        <v>0</v>
      </c>
    </row>
    <row r="107" spans="1:31" ht="19.5" customHeight="1" thickBot="1">
      <c r="A107" s="1607">
        <f>A106+1</f>
        <v>4</v>
      </c>
      <c r="B107" s="1609" t="s">
        <v>609</v>
      </c>
      <c r="C107" s="188">
        <f>C105+C106</f>
        <v>0</v>
      </c>
      <c r="D107" s="188">
        <f>D105+D106</f>
        <v>0</v>
      </c>
      <c r="E107" s="188">
        <f t="shared" ref="E107:F107" si="105">E105+E106</f>
        <v>0</v>
      </c>
      <c r="F107" s="188">
        <f t="shared" si="105"/>
        <v>0</v>
      </c>
      <c r="G107" s="188">
        <f>G105+G106</f>
        <v>0</v>
      </c>
      <c r="H107" s="188">
        <f t="shared" ref="H107:AC107" si="106">H105+H106</f>
        <v>0</v>
      </c>
      <c r="I107" s="188">
        <f t="shared" si="106"/>
        <v>0</v>
      </c>
      <c r="J107" s="188">
        <f t="shared" si="106"/>
        <v>0</v>
      </c>
      <c r="K107" s="188">
        <f t="shared" si="106"/>
        <v>0</v>
      </c>
      <c r="L107" s="188">
        <f t="shared" si="106"/>
        <v>0</v>
      </c>
      <c r="M107" s="188">
        <f t="shared" si="106"/>
        <v>0</v>
      </c>
      <c r="N107" s="188">
        <f t="shared" si="106"/>
        <v>0</v>
      </c>
      <c r="O107" s="188">
        <f t="shared" si="106"/>
        <v>0</v>
      </c>
      <c r="P107" s="188">
        <f t="shared" si="106"/>
        <v>0</v>
      </c>
      <c r="Q107" s="188">
        <f t="shared" si="106"/>
        <v>0</v>
      </c>
      <c r="R107" s="188">
        <f t="shared" si="106"/>
        <v>0</v>
      </c>
      <c r="S107" s="188">
        <f t="shared" si="106"/>
        <v>0</v>
      </c>
      <c r="T107" s="188">
        <f t="shared" si="106"/>
        <v>0</v>
      </c>
      <c r="U107" s="188">
        <f t="shared" si="106"/>
        <v>0</v>
      </c>
      <c r="V107" s="188">
        <f t="shared" si="106"/>
        <v>0</v>
      </c>
      <c r="W107" s="188">
        <f t="shared" si="106"/>
        <v>0</v>
      </c>
      <c r="X107" s="188">
        <f t="shared" si="106"/>
        <v>0</v>
      </c>
      <c r="Y107" s="188">
        <f t="shared" si="106"/>
        <v>0</v>
      </c>
      <c r="Z107" s="188">
        <f t="shared" si="106"/>
        <v>0</v>
      </c>
      <c r="AA107" s="188">
        <f t="shared" si="106"/>
        <v>0</v>
      </c>
      <c r="AB107" s="188">
        <f t="shared" si="106"/>
        <v>0</v>
      </c>
      <c r="AC107" s="188">
        <f t="shared" si="106"/>
        <v>0</v>
      </c>
      <c r="AD107" s="188">
        <f>AD105+AD106</f>
        <v>0</v>
      </c>
      <c r="AE107" s="203">
        <f>+AE105+AE106</f>
        <v>0</v>
      </c>
    </row>
    <row r="108" spans="1:31">
      <c r="B108" s="67" t="s">
        <v>610</v>
      </c>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row>
    <row r="109" spans="1:31">
      <c r="A109" s="69"/>
      <c r="B109" s="70" t="s">
        <v>611</v>
      </c>
      <c r="C109" s="70"/>
      <c r="D109" s="70"/>
      <c r="E109" s="70"/>
      <c r="F109" s="70"/>
      <c r="G109" s="70"/>
      <c r="H109" s="70"/>
      <c r="I109" s="70"/>
      <c r="J109" s="70"/>
      <c r="K109" s="70"/>
      <c r="L109" s="70"/>
      <c r="M109" s="71"/>
      <c r="N109" s="71"/>
      <c r="O109" s="70"/>
      <c r="P109" s="70"/>
      <c r="Q109" s="70"/>
      <c r="R109" s="70"/>
      <c r="S109" s="70"/>
      <c r="T109" s="70"/>
      <c r="U109" s="71"/>
      <c r="V109" s="71"/>
      <c r="W109" s="70"/>
      <c r="X109" s="70"/>
      <c r="Y109" s="71"/>
      <c r="Z109" s="71"/>
      <c r="AA109" s="71"/>
      <c r="AB109" s="71"/>
      <c r="AC109" s="71"/>
      <c r="AD109" s="71"/>
    </row>
    <row r="110" spans="1:31" ht="16" hidden="1">
      <c r="A110" s="69"/>
      <c r="B110" s="72"/>
      <c r="C110" s="70"/>
      <c r="D110" s="70"/>
      <c r="E110" s="70"/>
      <c r="F110" s="70"/>
      <c r="G110" s="70"/>
      <c r="H110" s="70"/>
      <c r="I110" s="70"/>
      <c r="J110" s="70"/>
      <c r="K110" s="70"/>
      <c r="L110" s="70"/>
      <c r="M110" s="71"/>
      <c r="N110" s="71"/>
      <c r="O110" s="70"/>
      <c r="P110" s="70"/>
      <c r="Q110" s="70"/>
      <c r="R110" s="70"/>
      <c r="S110" s="70"/>
      <c r="T110" s="70"/>
      <c r="U110" s="71"/>
      <c r="V110" s="71"/>
      <c r="W110" s="70"/>
      <c r="X110" s="70"/>
      <c r="Y110" s="71"/>
      <c r="Z110" s="71"/>
      <c r="AA110" s="71"/>
      <c r="AB110" s="71"/>
      <c r="AC110" s="71"/>
      <c r="AD110" s="71"/>
    </row>
    <row r="111" spans="1:31" hidden="1">
      <c r="B111" s="73" t="s">
        <v>612</v>
      </c>
      <c r="C111" s="68" t="s">
        <v>613</v>
      </c>
      <c r="D111" s="68" t="s">
        <v>613</v>
      </c>
      <c r="F111" s="74">
        <f t="shared" ref="F111:AD111" si="107">IF(LEFT(F$4)&lt;&gt;"b",IF(F$20&gt;=650,650*ROUND(16.38*F$16,2)/12,F$20*ROUND(16.38*F$16,2)/12),IF(F$20&gt;=750,750*ROUND(22.41*F$16,2)/12,F$20*ROUND(22.41*F$16,2)/12))</f>
        <v>0</v>
      </c>
      <c r="G111" s="74">
        <f t="shared" si="107"/>
        <v>0</v>
      </c>
      <c r="H111" s="74">
        <f t="shared" si="107"/>
        <v>0</v>
      </c>
      <c r="I111" s="74">
        <f t="shared" si="107"/>
        <v>0</v>
      </c>
      <c r="J111" s="74">
        <f t="shared" si="107"/>
        <v>0</v>
      </c>
      <c r="K111" s="74">
        <f t="shared" si="107"/>
        <v>0</v>
      </c>
      <c r="L111" s="74">
        <f t="shared" si="107"/>
        <v>0</v>
      </c>
      <c r="M111" s="74">
        <f t="shared" si="107"/>
        <v>0</v>
      </c>
      <c r="N111" s="74">
        <f t="shared" si="107"/>
        <v>0</v>
      </c>
      <c r="O111" s="74">
        <f t="shared" si="107"/>
        <v>0</v>
      </c>
      <c r="P111" s="74">
        <f t="shared" si="107"/>
        <v>0</v>
      </c>
      <c r="Q111" s="74">
        <f t="shared" si="107"/>
        <v>0</v>
      </c>
      <c r="R111" s="74">
        <f t="shared" si="107"/>
        <v>0</v>
      </c>
      <c r="S111" s="74">
        <f t="shared" si="107"/>
        <v>0</v>
      </c>
      <c r="T111" s="74">
        <f t="shared" si="107"/>
        <v>0</v>
      </c>
      <c r="U111" s="74">
        <f t="shared" si="107"/>
        <v>0</v>
      </c>
      <c r="V111" s="74">
        <f t="shared" si="107"/>
        <v>0</v>
      </c>
      <c r="W111" s="74">
        <f t="shared" si="107"/>
        <v>0</v>
      </c>
      <c r="X111" s="74">
        <f t="shared" si="107"/>
        <v>0</v>
      </c>
      <c r="Y111" s="74">
        <f t="shared" si="107"/>
        <v>0</v>
      </c>
      <c r="Z111" s="74">
        <f t="shared" si="107"/>
        <v>0</v>
      </c>
      <c r="AA111" s="74">
        <f t="shared" si="107"/>
        <v>0</v>
      </c>
      <c r="AB111" s="74">
        <f t="shared" si="107"/>
        <v>0</v>
      </c>
      <c r="AC111" s="74">
        <f t="shared" si="107"/>
        <v>0</v>
      </c>
      <c r="AD111" s="74">
        <f t="shared" si="107"/>
        <v>0</v>
      </c>
    </row>
    <row r="112" spans="1:31" hidden="1">
      <c r="B112" s="73" t="s">
        <v>614</v>
      </c>
      <c r="C112" s="68" t="s">
        <v>615</v>
      </c>
      <c r="D112" s="68" t="s">
        <v>615</v>
      </c>
      <c r="F112" s="74">
        <f t="shared" ref="F112:AD112" si="108">IF(LEFT(F$4)&lt;&gt;"b",IF(F$20&gt;650,IF(F$20&gt;=700,50*ROUND(98.3*F$16,2)/12,(F$20-650)*ROUND(98.3*F$16,2)/12),0),IF(F$20&gt;750,IF(F$20&gt;=800,50*ROUND(65.53*F$16,2)/12,(F$20-750)*ROUND(65.53*F$16,2)/12),0))</f>
        <v>0</v>
      </c>
      <c r="G112" s="74">
        <f t="shared" si="108"/>
        <v>0</v>
      </c>
      <c r="H112" s="74">
        <f t="shared" si="108"/>
        <v>0</v>
      </c>
      <c r="I112" s="74">
        <f t="shared" si="108"/>
        <v>0</v>
      </c>
      <c r="J112" s="74">
        <f t="shared" si="108"/>
        <v>0</v>
      </c>
      <c r="K112" s="74">
        <f t="shared" si="108"/>
        <v>0</v>
      </c>
      <c r="L112" s="74">
        <f t="shared" si="108"/>
        <v>0</v>
      </c>
      <c r="M112" s="74">
        <f t="shared" si="108"/>
        <v>0</v>
      </c>
      <c r="N112" s="74">
        <f t="shared" si="108"/>
        <v>0</v>
      </c>
      <c r="O112" s="74">
        <f t="shared" si="108"/>
        <v>0</v>
      </c>
      <c r="P112" s="74">
        <f t="shared" si="108"/>
        <v>0</v>
      </c>
      <c r="Q112" s="74">
        <f t="shared" si="108"/>
        <v>0</v>
      </c>
      <c r="R112" s="74">
        <f t="shared" si="108"/>
        <v>0</v>
      </c>
      <c r="S112" s="74">
        <f t="shared" si="108"/>
        <v>0</v>
      </c>
      <c r="T112" s="74">
        <f t="shared" si="108"/>
        <v>0</v>
      </c>
      <c r="U112" s="74">
        <f t="shared" si="108"/>
        <v>0</v>
      </c>
      <c r="V112" s="74">
        <f t="shared" si="108"/>
        <v>0</v>
      </c>
      <c r="W112" s="74">
        <f t="shared" si="108"/>
        <v>0</v>
      </c>
      <c r="X112" s="74">
        <f t="shared" si="108"/>
        <v>0</v>
      </c>
      <c r="Y112" s="74">
        <f t="shared" si="108"/>
        <v>0</v>
      </c>
      <c r="Z112" s="74">
        <f t="shared" si="108"/>
        <v>0</v>
      </c>
      <c r="AA112" s="74">
        <f t="shared" si="108"/>
        <v>0</v>
      </c>
      <c r="AB112" s="74">
        <f t="shared" si="108"/>
        <v>0</v>
      </c>
      <c r="AC112" s="74">
        <f t="shared" si="108"/>
        <v>0</v>
      </c>
      <c r="AD112" s="74">
        <f t="shared" si="108"/>
        <v>0</v>
      </c>
    </row>
    <row r="113" spans="2:33" hidden="1">
      <c r="B113" s="73" t="s">
        <v>616</v>
      </c>
      <c r="F113" s="74">
        <f t="shared" ref="F113:AD113" si="109">IF(LEFT(F$4)&lt;&gt;"b",IF(F$20&gt;700,IF(F$20&gt;=750,50*ROUND(131.07*F$16,2)/12,(F$20-700)*ROUND(131.07*F$16,2)/12),0),IF(F$20&gt;800,IF(F$20&gt;=835,35*ROUND(131.07*F$16,2)/12,(F$20-800)*ROUND(131.07*F$16,2)/12),0))</f>
        <v>0</v>
      </c>
      <c r="G113" s="74">
        <f t="shared" si="109"/>
        <v>0</v>
      </c>
      <c r="H113" s="74">
        <f t="shared" si="109"/>
        <v>0</v>
      </c>
      <c r="I113" s="74">
        <f t="shared" si="109"/>
        <v>0</v>
      </c>
      <c r="J113" s="74">
        <f t="shared" si="109"/>
        <v>0</v>
      </c>
      <c r="K113" s="74">
        <f t="shared" si="109"/>
        <v>0</v>
      </c>
      <c r="L113" s="74">
        <f t="shared" si="109"/>
        <v>0</v>
      </c>
      <c r="M113" s="74">
        <f t="shared" si="109"/>
        <v>0</v>
      </c>
      <c r="N113" s="74">
        <f t="shared" si="109"/>
        <v>0</v>
      </c>
      <c r="O113" s="74">
        <f t="shared" si="109"/>
        <v>0</v>
      </c>
      <c r="P113" s="74">
        <f t="shared" si="109"/>
        <v>0</v>
      </c>
      <c r="Q113" s="74">
        <f t="shared" si="109"/>
        <v>0</v>
      </c>
      <c r="R113" s="74">
        <f t="shared" si="109"/>
        <v>0</v>
      </c>
      <c r="S113" s="74">
        <f t="shared" si="109"/>
        <v>0</v>
      </c>
      <c r="T113" s="74">
        <f t="shared" si="109"/>
        <v>0</v>
      </c>
      <c r="U113" s="74">
        <f t="shared" si="109"/>
        <v>0</v>
      </c>
      <c r="V113" s="74">
        <f t="shared" si="109"/>
        <v>0</v>
      </c>
      <c r="W113" s="74">
        <f t="shared" si="109"/>
        <v>0</v>
      </c>
      <c r="X113" s="74">
        <f t="shared" si="109"/>
        <v>0</v>
      </c>
      <c r="Y113" s="74">
        <f t="shared" si="109"/>
        <v>0</v>
      </c>
      <c r="Z113" s="74">
        <f t="shared" si="109"/>
        <v>0</v>
      </c>
      <c r="AA113" s="74">
        <f t="shared" si="109"/>
        <v>0</v>
      </c>
      <c r="AB113" s="74">
        <f t="shared" si="109"/>
        <v>0</v>
      </c>
      <c r="AC113" s="74">
        <f t="shared" si="109"/>
        <v>0</v>
      </c>
      <c r="AD113" s="74">
        <f t="shared" si="109"/>
        <v>0</v>
      </c>
    </row>
    <row r="114" spans="2:33" hidden="1">
      <c r="B114" s="73" t="s">
        <v>617</v>
      </c>
      <c r="F114" s="74">
        <f t="shared" ref="F114:AD114" si="110">IF(LEFT(F$4)&lt;&gt;"b",IF(F$20&gt;750,(F$20-750)*ROUND(163.83*F$16,2)/12,0),IF(F$20&gt;835,(F$20-835)*ROUND(163.83*F$16,2)/12,0))</f>
        <v>0</v>
      </c>
      <c r="G114" s="74">
        <f t="shared" si="110"/>
        <v>0</v>
      </c>
      <c r="H114" s="74">
        <f t="shared" si="110"/>
        <v>0</v>
      </c>
      <c r="I114" s="74">
        <f t="shared" si="110"/>
        <v>0</v>
      </c>
      <c r="J114" s="74">
        <f t="shared" si="110"/>
        <v>0</v>
      </c>
      <c r="K114" s="74">
        <f t="shared" si="110"/>
        <v>0</v>
      </c>
      <c r="L114" s="74">
        <f t="shared" si="110"/>
        <v>0</v>
      </c>
      <c r="M114" s="74">
        <f t="shared" si="110"/>
        <v>0</v>
      </c>
      <c r="N114" s="74">
        <f t="shared" si="110"/>
        <v>0</v>
      </c>
      <c r="O114" s="74">
        <f t="shared" si="110"/>
        <v>0</v>
      </c>
      <c r="P114" s="74">
        <f t="shared" si="110"/>
        <v>0</v>
      </c>
      <c r="Q114" s="74">
        <f t="shared" si="110"/>
        <v>0</v>
      </c>
      <c r="R114" s="74">
        <f t="shared" si="110"/>
        <v>0</v>
      </c>
      <c r="S114" s="74">
        <f t="shared" si="110"/>
        <v>0</v>
      </c>
      <c r="T114" s="74">
        <f t="shared" si="110"/>
        <v>0</v>
      </c>
      <c r="U114" s="74">
        <f t="shared" si="110"/>
        <v>0</v>
      </c>
      <c r="V114" s="74">
        <f t="shared" si="110"/>
        <v>0</v>
      </c>
      <c r="W114" s="74">
        <f t="shared" si="110"/>
        <v>0</v>
      </c>
      <c r="X114" s="74">
        <f t="shared" si="110"/>
        <v>0</v>
      </c>
      <c r="Y114" s="74">
        <f t="shared" si="110"/>
        <v>0</v>
      </c>
      <c r="Z114" s="74">
        <f t="shared" si="110"/>
        <v>0</v>
      </c>
      <c r="AA114" s="74">
        <f t="shared" si="110"/>
        <v>0</v>
      </c>
      <c r="AB114" s="74">
        <f t="shared" si="110"/>
        <v>0</v>
      </c>
      <c r="AC114" s="74">
        <f t="shared" si="110"/>
        <v>0</v>
      </c>
      <c r="AD114" s="74">
        <f t="shared" si="110"/>
        <v>0</v>
      </c>
    </row>
    <row r="115" spans="2:33" hidden="1">
      <c r="F115" s="74">
        <f>SUM(F111:F114)</f>
        <v>0</v>
      </c>
      <c r="G115" s="74">
        <f>SUM(G111:G114)</f>
        <v>0</v>
      </c>
      <c r="H115" s="74">
        <f t="shared" ref="H115:AC115" si="111">SUM(H111:H114)</f>
        <v>0</v>
      </c>
      <c r="I115" s="74">
        <f t="shared" si="111"/>
        <v>0</v>
      </c>
      <c r="J115" s="74">
        <f t="shared" si="111"/>
        <v>0</v>
      </c>
      <c r="K115" s="74">
        <f t="shared" si="111"/>
        <v>0</v>
      </c>
      <c r="L115" s="74">
        <f t="shared" si="111"/>
        <v>0</v>
      </c>
      <c r="M115" s="74">
        <f t="shared" si="111"/>
        <v>0</v>
      </c>
      <c r="N115" s="74">
        <f t="shared" si="111"/>
        <v>0</v>
      </c>
      <c r="O115" s="74">
        <f t="shared" si="111"/>
        <v>0</v>
      </c>
      <c r="P115" s="74">
        <f t="shared" si="111"/>
        <v>0</v>
      </c>
      <c r="Q115" s="74">
        <f t="shared" si="111"/>
        <v>0</v>
      </c>
      <c r="R115" s="74">
        <f t="shared" si="111"/>
        <v>0</v>
      </c>
      <c r="S115" s="74">
        <f t="shared" si="111"/>
        <v>0</v>
      </c>
      <c r="T115" s="74">
        <f t="shared" si="111"/>
        <v>0</v>
      </c>
      <c r="U115" s="74">
        <f t="shared" si="111"/>
        <v>0</v>
      </c>
      <c r="V115" s="74">
        <f t="shared" ref="V115" si="112">SUM(V111:V114)</f>
        <v>0</v>
      </c>
      <c r="W115" s="74">
        <f t="shared" ref="W115:Y115" si="113">SUM(W111:W114)</f>
        <v>0</v>
      </c>
      <c r="X115" s="74">
        <f t="shared" si="113"/>
        <v>0</v>
      </c>
      <c r="Y115" s="74">
        <f t="shared" si="113"/>
        <v>0</v>
      </c>
      <c r="Z115" s="74">
        <f t="shared" ref="Z115:AA115" si="114">SUM(Z111:Z114)</f>
        <v>0</v>
      </c>
      <c r="AA115" s="74">
        <f t="shared" si="114"/>
        <v>0</v>
      </c>
      <c r="AB115" s="74">
        <f t="shared" si="111"/>
        <v>0</v>
      </c>
      <c r="AC115" s="74">
        <f t="shared" si="111"/>
        <v>0</v>
      </c>
      <c r="AD115" s="74">
        <f>SUM(AD111:AD114)</f>
        <v>0</v>
      </c>
    </row>
    <row r="116" spans="2:33" hidden="1"/>
    <row r="117" spans="2:33" hidden="1">
      <c r="C117" s="68" t="s">
        <v>618</v>
      </c>
      <c r="D117" s="68" t="s">
        <v>618</v>
      </c>
      <c r="E117" s="68" t="s">
        <v>619</v>
      </c>
      <c r="F117" s="68" t="s">
        <v>620</v>
      </c>
      <c r="AE117" s="68"/>
      <c r="AF117" s="68"/>
    </row>
    <row r="118" spans="2:33" hidden="1">
      <c r="C118" s="542">
        <f>IF(C11="Orlov",0,C24*C9)</f>
        <v>0</v>
      </c>
      <c r="D118" s="542">
        <f>IF(D11="Orlov",0,D24*D9)</f>
        <v>0</v>
      </c>
      <c r="E118" s="68">
        <f>IF(E11="Orlov",0,E24*E9)</f>
        <v>0</v>
      </c>
      <c r="F118" s="68">
        <f t="shared" ref="F118:AB118" si="115">IF(F11="orlov",0,F25*F9)</f>
        <v>0</v>
      </c>
      <c r="G118" s="68">
        <f t="shared" si="115"/>
        <v>0</v>
      </c>
      <c r="H118" s="68">
        <f t="shared" si="115"/>
        <v>0</v>
      </c>
      <c r="I118" s="68">
        <f t="shared" si="115"/>
        <v>0</v>
      </c>
      <c r="J118" s="68">
        <f t="shared" si="115"/>
        <v>0</v>
      </c>
      <c r="K118" s="68">
        <f t="shared" si="115"/>
        <v>0</v>
      </c>
      <c r="L118" s="68">
        <f t="shared" si="115"/>
        <v>0</v>
      </c>
      <c r="M118" s="68">
        <f t="shared" si="115"/>
        <v>0</v>
      </c>
      <c r="N118" s="68">
        <f t="shared" si="115"/>
        <v>0</v>
      </c>
      <c r="O118" s="68">
        <f t="shared" si="115"/>
        <v>0</v>
      </c>
      <c r="P118" s="68">
        <f t="shared" si="115"/>
        <v>0</v>
      </c>
      <c r="Q118" s="68">
        <f t="shared" si="115"/>
        <v>0</v>
      </c>
      <c r="R118" s="68">
        <f t="shared" si="115"/>
        <v>0</v>
      </c>
      <c r="S118" s="68">
        <f t="shared" si="115"/>
        <v>0</v>
      </c>
      <c r="T118" s="68">
        <f t="shared" si="115"/>
        <v>0</v>
      </c>
      <c r="U118" s="68">
        <f t="shared" si="115"/>
        <v>0</v>
      </c>
      <c r="V118" s="68">
        <f t="shared" si="115"/>
        <v>0</v>
      </c>
      <c r="W118" s="68">
        <f t="shared" si="115"/>
        <v>0</v>
      </c>
      <c r="X118" s="68">
        <f t="shared" si="115"/>
        <v>0</v>
      </c>
      <c r="Y118" s="68">
        <f t="shared" si="115"/>
        <v>0</v>
      </c>
      <c r="Z118" s="68">
        <f t="shared" si="115"/>
        <v>0</v>
      </c>
      <c r="AA118" s="68">
        <f t="shared" si="115"/>
        <v>0</v>
      </c>
      <c r="AB118" s="68">
        <f t="shared" si="115"/>
        <v>0</v>
      </c>
      <c r="AC118" s="68">
        <f>AC25*AC9</f>
        <v>0</v>
      </c>
      <c r="AD118" s="68">
        <f>AD25*AD9</f>
        <v>0</v>
      </c>
      <c r="AE118" s="68"/>
      <c r="AF118" s="68">
        <f>AF36*AF21</f>
        <v>0</v>
      </c>
      <c r="AG118" s="515"/>
    </row>
    <row r="119" spans="2:33" hidden="1">
      <c r="AE119" s="68"/>
      <c r="AF119" s="68"/>
      <c r="AG119" s="515"/>
    </row>
    <row r="120" spans="2:33" hidden="1">
      <c r="F120" s="68" t="s">
        <v>515</v>
      </c>
      <c r="AE120" s="68"/>
      <c r="AF120" s="68"/>
      <c r="AG120" s="515"/>
    </row>
    <row r="121" spans="2:33" hidden="1">
      <c r="F121" s="68">
        <f t="shared" ref="F121:AA121" si="116">IF(F11="Orlov",0,(F23*F18*F9))</f>
        <v>0</v>
      </c>
      <c r="G121" s="68">
        <f t="shared" si="116"/>
        <v>0</v>
      </c>
      <c r="H121" s="68">
        <f t="shared" si="116"/>
        <v>0</v>
      </c>
      <c r="I121" s="68">
        <f t="shared" si="116"/>
        <v>0</v>
      </c>
      <c r="J121" s="68">
        <f t="shared" si="116"/>
        <v>0</v>
      </c>
      <c r="K121" s="68">
        <f t="shared" si="116"/>
        <v>0</v>
      </c>
      <c r="L121" s="68">
        <f t="shared" si="116"/>
        <v>0</v>
      </c>
      <c r="M121" s="68">
        <f t="shared" si="116"/>
        <v>0</v>
      </c>
      <c r="N121" s="68">
        <f t="shared" si="116"/>
        <v>0</v>
      </c>
      <c r="O121" s="68">
        <f t="shared" si="116"/>
        <v>0</v>
      </c>
      <c r="P121" s="68">
        <f t="shared" si="116"/>
        <v>0</v>
      </c>
      <c r="Q121" s="68">
        <f t="shared" si="116"/>
        <v>0</v>
      </c>
      <c r="R121" s="68">
        <f t="shared" si="116"/>
        <v>0</v>
      </c>
      <c r="S121" s="68">
        <f t="shared" si="116"/>
        <v>0</v>
      </c>
      <c r="T121" s="68">
        <f t="shared" si="116"/>
        <v>0</v>
      </c>
      <c r="U121" s="68">
        <f t="shared" si="116"/>
        <v>0</v>
      </c>
      <c r="V121" s="68">
        <f t="shared" si="116"/>
        <v>0</v>
      </c>
      <c r="W121" s="68">
        <f t="shared" si="116"/>
        <v>0</v>
      </c>
      <c r="X121" s="68">
        <f t="shared" si="116"/>
        <v>0</v>
      </c>
      <c r="Y121" s="68">
        <f t="shared" si="116"/>
        <v>0</v>
      </c>
      <c r="Z121" s="68">
        <f t="shared" si="116"/>
        <v>0</v>
      </c>
      <c r="AA121" s="68">
        <f t="shared" si="116"/>
        <v>0</v>
      </c>
      <c r="AB121" s="68">
        <f>AB23*AB18*AB9</f>
        <v>0</v>
      </c>
      <c r="AC121" s="68">
        <f>AC23*AC18*AC9</f>
        <v>0</v>
      </c>
      <c r="AD121" s="68">
        <f>AD23*AD18*AD9</f>
        <v>0</v>
      </c>
      <c r="AE121" s="68"/>
      <c r="AF121" s="68"/>
      <c r="AG121" s="515"/>
    </row>
    <row r="122" spans="2:33" hidden="1">
      <c r="F122" s="68">
        <f>F23*F18*F10*(1+fremskrivning)</f>
        <v>0</v>
      </c>
      <c r="AE122" s="68"/>
      <c r="AF122" s="68"/>
      <c r="AG122" s="515"/>
    </row>
    <row r="123" spans="2:33" hidden="1">
      <c r="F123" s="68" t="s">
        <v>512</v>
      </c>
      <c r="AC123" s="68" t="s">
        <v>621</v>
      </c>
      <c r="AE123" s="68"/>
      <c r="AF123" s="68"/>
      <c r="AG123" s="515"/>
    </row>
    <row r="124" spans="2:33" hidden="1">
      <c r="C124" s="68">
        <f>C35*C21</f>
        <v>0</v>
      </c>
      <c r="D124" s="68">
        <f>D35*D21</f>
        <v>0</v>
      </c>
      <c r="E124" s="68">
        <f>E35*E21</f>
        <v>0</v>
      </c>
      <c r="F124" s="68">
        <f t="shared" ref="F124:AB124" si="117">IF(F11="Orlov",0,((F21+F22)*F18*F9))</f>
        <v>0</v>
      </c>
      <c r="G124" s="68">
        <f t="shared" si="117"/>
        <v>0</v>
      </c>
      <c r="H124" s="68">
        <f t="shared" si="117"/>
        <v>0</v>
      </c>
      <c r="I124" s="68">
        <f>IF(I11="Orlov",0,((I21+I22)*I18*I9))</f>
        <v>0</v>
      </c>
      <c r="J124" s="68">
        <f t="shared" si="117"/>
        <v>0</v>
      </c>
      <c r="K124" s="68">
        <f t="shared" si="117"/>
        <v>0</v>
      </c>
      <c r="L124" s="68">
        <f t="shared" si="117"/>
        <v>0</v>
      </c>
      <c r="M124" s="68">
        <f t="shared" si="117"/>
        <v>0</v>
      </c>
      <c r="N124" s="68">
        <f t="shared" si="117"/>
        <v>0</v>
      </c>
      <c r="O124" s="68">
        <f t="shared" si="117"/>
        <v>0</v>
      </c>
      <c r="P124" s="68">
        <f t="shared" si="117"/>
        <v>0</v>
      </c>
      <c r="Q124" s="68">
        <f t="shared" si="117"/>
        <v>0</v>
      </c>
      <c r="R124" s="68">
        <f t="shared" si="117"/>
        <v>0</v>
      </c>
      <c r="S124" s="68">
        <f t="shared" si="117"/>
        <v>0</v>
      </c>
      <c r="T124" s="68">
        <f t="shared" si="117"/>
        <v>0</v>
      </c>
      <c r="U124" s="68">
        <f t="shared" si="117"/>
        <v>0</v>
      </c>
      <c r="V124" s="68">
        <f t="shared" si="117"/>
        <v>0</v>
      </c>
      <c r="W124" s="68">
        <f t="shared" si="117"/>
        <v>0</v>
      </c>
      <c r="X124" s="68">
        <f t="shared" si="117"/>
        <v>0</v>
      </c>
      <c r="Y124" s="68">
        <f t="shared" si="117"/>
        <v>0</v>
      </c>
      <c r="Z124" s="68">
        <f t="shared" si="117"/>
        <v>0</v>
      </c>
      <c r="AA124" s="68">
        <f t="shared" si="117"/>
        <v>0</v>
      </c>
      <c r="AB124" s="68">
        <f t="shared" si="117"/>
        <v>0</v>
      </c>
      <c r="AC124" s="68">
        <f>AC24*AC9</f>
        <v>0</v>
      </c>
      <c r="AD124" s="68">
        <f>AD24*AD9</f>
        <v>0</v>
      </c>
      <c r="AE124" s="68"/>
      <c r="AF124" s="68"/>
      <c r="AG124" s="515"/>
    </row>
    <row r="125" spans="2:33" hidden="1">
      <c r="AE125" s="68"/>
      <c r="AF125" s="68"/>
      <c r="AG125" s="515"/>
    </row>
    <row r="126" spans="2:33" hidden="1">
      <c r="F126" s="68" t="s">
        <v>622</v>
      </c>
      <c r="AE126" s="68"/>
      <c r="AF126" s="68"/>
      <c r="AG126" s="515"/>
    </row>
    <row r="127" spans="2:33" hidden="1">
      <c r="F127" s="68">
        <f t="shared" ref="F127:AB127" si="118">IF(F11="Orlov",0,(F35*F9))</f>
        <v>0</v>
      </c>
      <c r="G127" s="68">
        <f t="shared" si="118"/>
        <v>0</v>
      </c>
      <c r="H127" s="68">
        <f t="shared" si="118"/>
        <v>0</v>
      </c>
      <c r="I127" s="68">
        <f t="shared" si="118"/>
        <v>0</v>
      </c>
      <c r="J127" s="68">
        <f t="shared" si="118"/>
        <v>0</v>
      </c>
      <c r="K127" s="68">
        <f t="shared" si="118"/>
        <v>0</v>
      </c>
      <c r="L127" s="68">
        <f t="shared" si="118"/>
        <v>0</v>
      </c>
      <c r="M127" s="68">
        <f t="shared" si="118"/>
        <v>0</v>
      </c>
      <c r="N127" s="68">
        <f t="shared" si="118"/>
        <v>0</v>
      </c>
      <c r="O127" s="68">
        <f t="shared" si="118"/>
        <v>0</v>
      </c>
      <c r="P127" s="68">
        <f t="shared" si="118"/>
        <v>0</v>
      </c>
      <c r="Q127" s="68">
        <f t="shared" si="118"/>
        <v>0</v>
      </c>
      <c r="R127" s="68">
        <f t="shared" si="118"/>
        <v>0</v>
      </c>
      <c r="S127" s="68">
        <f t="shared" si="118"/>
        <v>0</v>
      </c>
      <c r="T127" s="68">
        <f t="shared" si="118"/>
        <v>0</v>
      </c>
      <c r="U127" s="68">
        <f t="shared" si="118"/>
        <v>0</v>
      </c>
      <c r="V127" s="68">
        <f t="shared" si="118"/>
        <v>0</v>
      </c>
      <c r="W127" s="68">
        <f t="shared" si="118"/>
        <v>0</v>
      </c>
      <c r="X127" s="68">
        <f t="shared" si="118"/>
        <v>0</v>
      </c>
      <c r="Y127" s="68">
        <f t="shared" si="118"/>
        <v>0</v>
      </c>
      <c r="Z127" s="68">
        <f t="shared" si="118"/>
        <v>0</v>
      </c>
      <c r="AA127" s="68">
        <f t="shared" si="118"/>
        <v>0</v>
      </c>
      <c r="AB127" s="68">
        <f t="shared" si="118"/>
        <v>0</v>
      </c>
      <c r="AC127" s="68">
        <f>AC35*AC9</f>
        <v>0</v>
      </c>
      <c r="AD127" s="68">
        <f>AD35*AD9</f>
        <v>0</v>
      </c>
      <c r="AE127" s="68"/>
      <c r="AF127" s="68"/>
      <c r="AG127" s="515"/>
    </row>
    <row r="128" spans="2:33" hidden="1">
      <c r="F128" s="68" t="s">
        <v>623</v>
      </c>
      <c r="AE128" s="68"/>
      <c r="AF128" s="68"/>
      <c r="AG128" s="515"/>
    </row>
    <row r="129" spans="1:35" hidden="1">
      <c r="F129" s="68">
        <f t="shared" ref="F129:AB129" si="119">IF(F11="Orlov",0,F36*F9)</f>
        <v>0</v>
      </c>
      <c r="G129" s="68">
        <f t="shared" si="119"/>
        <v>0</v>
      </c>
      <c r="H129" s="68">
        <f t="shared" si="119"/>
        <v>0</v>
      </c>
      <c r="I129" s="68">
        <f t="shared" si="119"/>
        <v>0</v>
      </c>
      <c r="J129" s="68">
        <f t="shared" si="119"/>
        <v>0</v>
      </c>
      <c r="K129" s="68">
        <f t="shared" si="119"/>
        <v>0</v>
      </c>
      <c r="L129" s="68">
        <f t="shared" si="119"/>
        <v>0</v>
      </c>
      <c r="M129" s="68">
        <f t="shared" si="119"/>
        <v>0</v>
      </c>
      <c r="N129" s="68">
        <f t="shared" si="119"/>
        <v>0</v>
      </c>
      <c r="O129" s="68">
        <f t="shared" si="119"/>
        <v>0</v>
      </c>
      <c r="P129" s="68">
        <f t="shared" si="119"/>
        <v>0</v>
      </c>
      <c r="Q129" s="68">
        <f t="shared" si="119"/>
        <v>0</v>
      </c>
      <c r="R129" s="68">
        <f t="shared" si="119"/>
        <v>0</v>
      </c>
      <c r="S129" s="68">
        <f t="shared" si="119"/>
        <v>0</v>
      </c>
      <c r="T129" s="68">
        <f t="shared" si="119"/>
        <v>0</v>
      </c>
      <c r="U129" s="68">
        <f t="shared" si="119"/>
        <v>0</v>
      </c>
      <c r="V129" s="68">
        <f t="shared" si="119"/>
        <v>0</v>
      </c>
      <c r="W129" s="68">
        <f t="shared" si="119"/>
        <v>0</v>
      </c>
      <c r="X129" s="68">
        <f t="shared" si="119"/>
        <v>0</v>
      </c>
      <c r="Y129" s="68">
        <f t="shared" si="119"/>
        <v>0</v>
      </c>
      <c r="Z129" s="68">
        <f t="shared" si="119"/>
        <v>0</v>
      </c>
      <c r="AA129" s="68">
        <f t="shared" si="119"/>
        <v>0</v>
      </c>
      <c r="AB129" s="68">
        <f t="shared" si="119"/>
        <v>0</v>
      </c>
      <c r="AE129" s="68"/>
      <c r="AF129" s="68"/>
      <c r="AG129" s="515"/>
    </row>
    <row r="130" spans="1:35" hidden="1">
      <c r="F130" s="68" t="s">
        <v>624</v>
      </c>
      <c r="AE130" s="68"/>
      <c r="AF130" s="68"/>
      <c r="AG130" s="515"/>
    </row>
    <row r="131" spans="1:35" hidden="1">
      <c r="F131" s="68">
        <f t="shared" ref="F131:AB131" si="120">IF(F11="Orlov",0,F37*F9)</f>
        <v>0</v>
      </c>
      <c r="G131" s="68">
        <f t="shared" si="120"/>
        <v>0</v>
      </c>
      <c r="H131" s="68">
        <f t="shared" si="120"/>
        <v>0</v>
      </c>
      <c r="I131" s="68">
        <f t="shared" si="120"/>
        <v>0</v>
      </c>
      <c r="J131" s="68">
        <f t="shared" si="120"/>
        <v>0</v>
      </c>
      <c r="K131" s="68">
        <f t="shared" si="120"/>
        <v>0</v>
      </c>
      <c r="L131" s="68">
        <f t="shared" si="120"/>
        <v>0</v>
      </c>
      <c r="M131" s="68">
        <f t="shared" si="120"/>
        <v>0</v>
      </c>
      <c r="N131" s="68">
        <f t="shared" si="120"/>
        <v>0</v>
      </c>
      <c r="O131" s="68">
        <f t="shared" si="120"/>
        <v>0</v>
      </c>
      <c r="P131" s="68">
        <f t="shared" si="120"/>
        <v>0</v>
      </c>
      <c r="Q131" s="68">
        <f t="shared" si="120"/>
        <v>0</v>
      </c>
      <c r="R131" s="68">
        <f t="shared" si="120"/>
        <v>0</v>
      </c>
      <c r="S131" s="68">
        <f t="shared" si="120"/>
        <v>0</v>
      </c>
      <c r="T131" s="68">
        <f t="shared" si="120"/>
        <v>0</v>
      </c>
      <c r="U131" s="68">
        <f t="shared" si="120"/>
        <v>0</v>
      </c>
      <c r="V131" s="68">
        <f t="shared" si="120"/>
        <v>0</v>
      </c>
      <c r="W131" s="68">
        <f t="shared" si="120"/>
        <v>0</v>
      </c>
      <c r="X131" s="68">
        <f t="shared" si="120"/>
        <v>0</v>
      </c>
      <c r="Y131" s="68">
        <f t="shared" si="120"/>
        <v>0</v>
      </c>
      <c r="Z131" s="68">
        <f t="shared" si="120"/>
        <v>0</v>
      </c>
      <c r="AA131" s="68">
        <f t="shared" si="120"/>
        <v>0</v>
      </c>
      <c r="AB131" s="68">
        <f t="shared" si="120"/>
        <v>0</v>
      </c>
      <c r="AC131" s="68">
        <f>AC37*AC9</f>
        <v>0</v>
      </c>
      <c r="AD131" s="68">
        <f>AD37*AD9</f>
        <v>0</v>
      </c>
      <c r="AE131" s="68"/>
      <c r="AF131" s="68"/>
      <c r="AG131" s="515"/>
    </row>
    <row r="132" spans="1:35" hidden="1">
      <c r="F132" s="68" t="s">
        <v>625</v>
      </c>
      <c r="AE132" s="68"/>
      <c r="AF132" s="68"/>
      <c r="AG132" s="515"/>
    </row>
    <row r="133" spans="1:35" hidden="1">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E133" s="68"/>
      <c r="AF133" s="68"/>
      <c r="AG133" s="515"/>
    </row>
    <row r="134" spans="1:35" hidden="1">
      <c r="C134" s="68" t="s">
        <v>626</v>
      </c>
      <c r="D134" s="68" t="s">
        <v>626</v>
      </c>
      <c r="AE134" s="68"/>
      <c r="AF134" s="68"/>
      <c r="AG134" s="515"/>
    </row>
    <row r="135" spans="1:35" s="516" customFormat="1" hidden="1">
      <c r="A135" s="570"/>
      <c r="C135" s="517">
        <f t="shared" ref="C135:AB135" si="121">IF(C11="Orlov",0,(C26+C27+C28)*C16/12*C9)</f>
        <v>0</v>
      </c>
      <c r="D135" s="517">
        <f t="shared" si="121"/>
        <v>0</v>
      </c>
      <c r="E135" s="517">
        <f t="shared" si="121"/>
        <v>0</v>
      </c>
      <c r="F135" s="517">
        <f t="shared" si="121"/>
        <v>0</v>
      </c>
      <c r="G135" s="517">
        <f t="shared" si="121"/>
        <v>0</v>
      </c>
      <c r="H135" s="517">
        <f t="shared" si="121"/>
        <v>0</v>
      </c>
      <c r="I135" s="517">
        <f t="shared" si="121"/>
        <v>0</v>
      </c>
      <c r="J135" s="517">
        <f t="shared" si="121"/>
        <v>0</v>
      </c>
      <c r="K135" s="517">
        <f t="shared" si="121"/>
        <v>0</v>
      </c>
      <c r="L135" s="517">
        <f t="shared" si="121"/>
        <v>0</v>
      </c>
      <c r="M135" s="517">
        <f t="shared" si="121"/>
        <v>0</v>
      </c>
      <c r="N135" s="517">
        <f t="shared" si="121"/>
        <v>0</v>
      </c>
      <c r="O135" s="517">
        <f t="shared" si="121"/>
        <v>0</v>
      </c>
      <c r="P135" s="517">
        <f t="shared" si="121"/>
        <v>0</v>
      </c>
      <c r="Q135" s="517">
        <f t="shared" si="121"/>
        <v>0</v>
      </c>
      <c r="R135" s="517">
        <f t="shared" si="121"/>
        <v>0</v>
      </c>
      <c r="S135" s="517">
        <f t="shared" si="121"/>
        <v>0</v>
      </c>
      <c r="T135" s="517">
        <f t="shared" si="121"/>
        <v>0</v>
      </c>
      <c r="U135" s="517">
        <f t="shared" si="121"/>
        <v>0</v>
      </c>
      <c r="V135" s="517">
        <f t="shared" si="121"/>
        <v>0</v>
      </c>
      <c r="W135" s="517">
        <f t="shared" si="121"/>
        <v>0</v>
      </c>
      <c r="X135" s="517">
        <f t="shared" si="121"/>
        <v>0</v>
      </c>
      <c r="Y135" s="517">
        <f t="shared" si="121"/>
        <v>0</v>
      </c>
      <c r="Z135" s="517">
        <f t="shared" si="121"/>
        <v>0</v>
      </c>
      <c r="AA135" s="517">
        <f t="shared" si="121"/>
        <v>0</v>
      </c>
      <c r="AB135" s="517">
        <f t="shared" si="121"/>
        <v>0</v>
      </c>
      <c r="AC135" s="517">
        <f>(AC26+AC27+AC28)*AC16/12*AC9</f>
        <v>0</v>
      </c>
      <c r="AD135" s="517">
        <f>(AD26+AD27+AD28)*AD16/12*AD9</f>
        <v>0</v>
      </c>
      <c r="AE135" s="517"/>
      <c r="AF135" s="517"/>
      <c r="AG135" s="515"/>
      <c r="AH135" s="63"/>
      <c r="AI135" s="63"/>
    </row>
    <row r="136" spans="1:35" hidden="1">
      <c r="AE136" s="68"/>
      <c r="AF136" s="68"/>
      <c r="AG136" s="515"/>
    </row>
    <row r="137" spans="1:35" hidden="1">
      <c r="C137" s="68" t="s">
        <v>627</v>
      </c>
      <c r="D137" s="68" t="s">
        <v>627</v>
      </c>
      <c r="AE137" s="68"/>
      <c r="AF137" s="68"/>
      <c r="AG137" s="515"/>
    </row>
    <row r="138" spans="1:35" hidden="1">
      <c r="E138" s="68">
        <f t="shared" ref="E138:AB138" si="122">IF(E11="Orlov",0,(E29)*E16/12*E9+((E30+E31)*E18*E16/12*E9))</f>
        <v>0</v>
      </c>
      <c r="F138" s="68">
        <f t="shared" si="122"/>
        <v>0</v>
      </c>
      <c r="G138" s="68">
        <f t="shared" si="122"/>
        <v>0</v>
      </c>
      <c r="H138" s="68">
        <f t="shared" si="122"/>
        <v>0</v>
      </c>
      <c r="I138" s="68">
        <f t="shared" si="122"/>
        <v>0</v>
      </c>
      <c r="J138" s="68">
        <f t="shared" si="122"/>
        <v>0</v>
      </c>
      <c r="K138" s="68">
        <f t="shared" si="122"/>
        <v>0</v>
      </c>
      <c r="L138" s="68">
        <f t="shared" si="122"/>
        <v>0</v>
      </c>
      <c r="M138" s="68">
        <f t="shared" si="122"/>
        <v>0</v>
      </c>
      <c r="N138" s="68">
        <f t="shared" si="122"/>
        <v>0</v>
      </c>
      <c r="O138" s="68">
        <f t="shared" si="122"/>
        <v>0</v>
      </c>
      <c r="P138" s="68">
        <f t="shared" si="122"/>
        <v>0</v>
      </c>
      <c r="Q138" s="68">
        <f t="shared" si="122"/>
        <v>0</v>
      </c>
      <c r="R138" s="68">
        <f t="shared" si="122"/>
        <v>0</v>
      </c>
      <c r="S138" s="68">
        <f t="shared" si="122"/>
        <v>0</v>
      </c>
      <c r="T138" s="68">
        <f t="shared" si="122"/>
        <v>0</v>
      </c>
      <c r="U138" s="68">
        <f t="shared" si="122"/>
        <v>0</v>
      </c>
      <c r="V138" s="68">
        <f t="shared" si="122"/>
        <v>0</v>
      </c>
      <c r="W138" s="68">
        <f t="shared" si="122"/>
        <v>0</v>
      </c>
      <c r="X138" s="68">
        <f t="shared" si="122"/>
        <v>0</v>
      </c>
      <c r="Y138" s="68">
        <f t="shared" si="122"/>
        <v>0</v>
      </c>
      <c r="Z138" s="68">
        <f t="shared" si="122"/>
        <v>0</v>
      </c>
      <c r="AA138" s="68">
        <f t="shared" si="122"/>
        <v>0</v>
      </c>
      <c r="AB138" s="68">
        <f t="shared" si="122"/>
        <v>0</v>
      </c>
      <c r="AC138" s="68">
        <f>(AC29)*AC16/12*AC9+((AC30+AC31)*AC18*AC16/12*AC9)</f>
        <v>0</v>
      </c>
      <c r="AD138" s="68">
        <f>(AD29)*AD16/12*AD9+((AD30+AD31)*AD18*AD16/12*AD9)</f>
        <v>0</v>
      </c>
      <c r="AE138" s="68"/>
      <c r="AF138" s="68"/>
      <c r="AG138" s="515"/>
      <c r="AH138" s="516"/>
      <c r="AI138" s="516"/>
    </row>
    <row r="139" spans="1:35" hidden="1">
      <c r="AE139" s="68"/>
      <c r="AF139" s="68"/>
      <c r="AG139" s="515"/>
    </row>
    <row r="140" spans="1:35" hidden="1">
      <c r="C140" s="68" t="s">
        <v>628</v>
      </c>
      <c r="D140" s="68" t="s">
        <v>628</v>
      </c>
      <c r="AE140" s="68"/>
      <c r="AF140" s="68"/>
      <c r="AG140" s="515"/>
    </row>
    <row r="141" spans="1:35" hidden="1">
      <c r="E141" s="68">
        <f t="shared" ref="E141:AB141" si="123">IF(E11="Orlov",0,(E33*E18)*E16/12*E9)</f>
        <v>0</v>
      </c>
      <c r="F141" s="68">
        <f t="shared" si="123"/>
        <v>0</v>
      </c>
      <c r="G141" s="68">
        <f t="shared" si="123"/>
        <v>0</v>
      </c>
      <c r="H141" s="68">
        <f t="shared" si="123"/>
        <v>0</v>
      </c>
      <c r="I141" s="68">
        <f t="shared" si="123"/>
        <v>0</v>
      </c>
      <c r="J141" s="68">
        <f t="shared" si="123"/>
        <v>0</v>
      </c>
      <c r="K141" s="68">
        <f t="shared" si="123"/>
        <v>0</v>
      </c>
      <c r="L141" s="68">
        <f t="shared" si="123"/>
        <v>0</v>
      </c>
      <c r="M141" s="68">
        <f t="shared" si="123"/>
        <v>0</v>
      </c>
      <c r="N141" s="68">
        <f t="shared" si="123"/>
        <v>0</v>
      </c>
      <c r="O141" s="68">
        <f t="shared" si="123"/>
        <v>0</v>
      </c>
      <c r="P141" s="68">
        <f t="shared" si="123"/>
        <v>0</v>
      </c>
      <c r="Q141" s="68">
        <f t="shared" si="123"/>
        <v>0</v>
      </c>
      <c r="R141" s="68">
        <f t="shared" si="123"/>
        <v>0</v>
      </c>
      <c r="S141" s="68">
        <f t="shared" si="123"/>
        <v>0</v>
      </c>
      <c r="T141" s="68">
        <f t="shared" si="123"/>
        <v>0</v>
      </c>
      <c r="U141" s="68">
        <f t="shared" si="123"/>
        <v>0</v>
      </c>
      <c r="V141" s="68">
        <f t="shared" si="123"/>
        <v>0</v>
      </c>
      <c r="W141" s="68">
        <f t="shared" si="123"/>
        <v>0</v>
      </c>
      <c r="X141" s="68">
        <f t="shared" si="123"/>
        <v>0</v>
      </c>
      <c r="Y141" s="68">
        <f t="shared" si="123"/>
        <v>0</v>
      </c>
      <c r="Z141" s="68">
        <f t="shared" si="123"/>
        <v>0</v>
      </c>
      <c r="AA141" s="68">
        <f t="shared" si="123"/>
        <v>0</v>
      </c>
      <c r="AB141" s="68">
        <f t="shared" si="123"/>
        <v>0</v>
      </c>
      <c r="AE141" s="68"/>
      <c r="AF141" s="68"/>
      <c r="AG141" s="515"/>
    </row>
    <row r="142" spans="1:35" hidden="1">
      <c r="AE142" s="68"/>
      <c r="AF142" s="68"/>
      <c r="AG142" s="515"/>
    </row>
    <row r="143" spans="1:35" hidden="1">
      <c r="C143" s="68" t="s">
        <v>629</v>
      </c>
      <c r="D143" s="68" t="s">
        <v>629</v>
      </c>
      <c r="AE143" s="68"/>
      <c r="AF143" s="68"/>
      <c r="AG143" s="515"/>
    </row>
    <row r="144" spans="1:35" hidden="1">
      <c r="F144" s="68">
        <f t="shared" ref="F144:AB144" si="124">IF(F11="Orlov",0,(F34*F18)*F16/12*F9)</f>
        <v>0</v>
      </c>
      <c r="G144" s="68">
        <f t="shared" si="124"/>
        <v>0</v>
      </c>
      <c r="H144" s="68">
        <f t="shared" si="124"/>
        <v>0</v>
      </c>
      <c r="I144" s="68">
        <f t="shared" si="124"/>
        <v>0</v>
      </c>
      <c r="J144" s="68">
        <f t="shared" si="124"/>
        <v>0</v>
      </c>
      <c r="K144" s="68">
        <f t="shared" si="124"/>
        <v>0</v>
      </c>
      <c r="L144" s="68">
        <f t="shared" si="124"/>
        <v>0</v>
      </c>
      <c r="M144" s="68">
        <f t="shared" si="124"/>
        <v>0</v>
      </c>
      <c r="N144" s="68">
        <f t="shared" si="124"/>
        <v>0</v>
      </c>
      <c r="O144" s="68">
        <f t="shared" si="124"/>
        <v>0</v>
      </c>
      <c r="P144" s="68">
        <f t="shared" si="124"/>
        <v>0</v>
      </c>
      <c r="Q144" s="68">
        <f t="shared" si="124"/>
        <v>0</v>
      </c>
      <c r="R144" s="68">
        <f t="shared" si="124"/>
        <v>0</v>
      </c>
      <c r="S144" s="68">
        <f t="shared" si="124"/>
        <v>0</v>
      </c>
      <c r="T144" s="68">
        <f t="shared" si="124"/>
        <v>0</v>
      </c>
      <c r="U144" s="68">
        <f t="shared" si="124"/>
        <v>0</v>
      </c>
      <c r="V144" s="68">
        <f t="shared" si="124"/>
        <v>0</v>
      </c>
      <c r="W144" s="68">
        <f t="shared" si="124"/>
        <v>0</v>
      </c>
      <c r="X144" s="68">
        <f t="shared" si="124"/>
        <v>0</v>
      </c>
      <c r="Y144" s="68">
        <f t="shared" si="124"/>
        <v>0</v>
      </c>
      <c r="Z144" s="68">
        <f t="shared" si="124"/>
        <v>0</v>
      </c>
      <c r="AA144" s="68">
        <f t="shared" si="124"/>
        <v>0</v>
      </c>
      <c r="AB144" s="68">
        <f t="shared" si="124"/>
        <v>0</v>
      </c>
      <c r="AE144" s="68"/>
      <c r="AF144" s="68"/>
      <c r="AG144" s="515"/>
    </row>
    <row r="145" spans="3:34" hidden="1">
      <c r="C145" s="68" t="s">
        <v>535</v>
      </c>
      <c r="D145" s="68" t="s">
        <v>535</v>
      </c>
      <c r="AE145" s="68"/>
      <c r="AF145" s="68"/>
      <c r="AG145" s="515"/>
    </row>
    <row r="146" spans="3:34" hidden="1">
      <c r="C146" s="542">
        <f t="shared" ref="C146:AB146" si="125">IF(C11="Orlov",0,C32*C16/12*C9)</f>
        <v>0</v>
      </c>
      <c r="D146" s="542">
        <f t="shared" si="125"/>
        <v>0</v>
      </c>
      <c r="E146" s="68">
        <f t="shared" si="125"/>
        <v>0</v>
      </c>
      <c r="F146" s="68">
        <f t="shared" si="125"/>
        <v>0</v>
      </c>
      <c r="G146" s="68">
        <f t="shared" si="125"/>
        <v>0</v>
      </c>
      <c r="H146" s="68">
        <f t="shared" si="125"/>
        <v>0</v>
      </c>
      <c r="I146" s="68">
        <f t="shared" si="125"/>
        <v>0</v>
      </c>
      <c r="J146" s="68">
        <f t="shared" si="125"/>
        <v>0</v>
      </c>
      <c r="K146" s="68">
        <f t="shared" si="125"/>
        <v>0</v>
      </c>
      <c r="L146" s="68">
        <f t="shared" si="125"/>
        <v>0</v>
      </c>
      <c r="M146" s="68">
        <f t="shared" si="125"/>
        <v>0</v>
      </c>
      <c r="N146" s="68">
        <f t="shared" si="125"/>
        <v>0</v>
      </c>
      <c r="O146" s="68">
        <f t="shared" si="125"/>
        <v>0</v>
      </c>
      <c r="P146" s="68">
        <f t="shared" si="125"/>
        <v>0</v>
      </c>
      <c r="Q146" s="68">
        <f t="shared" si="125"/>
        <v>0</v>
      </c>
      <c r="R146" s="68">
        <f t="shared" si="125"/>
        <v>0</v>
      </c>
      <c r="S146" s="68">
        <f t="shared" si="125"/>
        <v>0</v>
      </c>
      <c r="T146" s="68">
        <f t="shared" si="125"/>
        <v>0</v>
      </c>
      <c r="U146" s="68">
        <f t="shared" si="125"/>
        <v>0</v>
      </c>
      <c r="V146" s="68">
        <f t="shared" si="125"/>
        <v>0</v>
      </c>
      <c r="W146" s="68">
        <f t="shared" si="125"/>
        <v>0</v>
      </c>
      <c r="X146" s="68">
        <f t="shared" si="125"/>
        <v>0</v>
      </c>
      <c r="Y146" s="68">
        <f t="shared" si="125"/>
        <v>0</v>
      </c>
      <c r="Z146" s="68">
        <f t="shared" si="125"/>
        <v>0</v>
      </c>
      <c r="AA146" s="68">
        <f t="shared" si="125"/>
        <v>0</v>
      </c>
      <c r="AB146" s="68">
        <f t="shared" si="125"/>
        <v>0</v>
      </c>
      <c r="AC146" s="68">
        <f>AC32*AC16/12*AC9</f>
        <v>0</v>
      </c>
      <c r="AD146" s="68">
        <f>AD32*AD16/12*AD9</f>
        <v>0</v>
      </c>
      <c r="AE146" s="68"/>
      <c r="AF146" s="68"/>
      <c r="AG146" s="515">
        <f t="shared" ref="AG146:AG160" si="126">SUM(C146:AF146)</f>
        <v>0</v>
      </c>
    </row>
    <row r="147" spans="3:34" hidden="1">
      <c r="C147" s="68" t="s">
        <v>542</v>
      </c>
      <c r="D147" s="68" t="s">
        <v>542</v>
      </c>
      <c r="AE147" s="68"/>
      <c r="AF147" s="68"/>
      <c r="AG147" s="515">
        <f t="shared" si="126"/>
        <v>0</v>
      </c>
    </row>
    <row r="148" spans="3:34" hidden="1">
      <c r="C148" s="542">
        <f t="shared" ref="C148:AB148" si="127">IF(C11="Orlov",0,C44*C9)</f>
        <v>0</v>
      </c>
      <c r="D148" s="542">
        <f t="shared" si="127"/>
        <v>0</v>
      </c>
      <c r="E148" s="68">
        <f t="shared" si="127"/>
        <v>0</v>
      </c>
      <c r="F148" s="68">
        <f t="shared" si="127"/>
        <v>0</v>
      </c>
      <c r="G148" s="68">
        <f t="shared" si="127"/>
        <v>0</v>
      </c>
      <c r="H148" s="68">
        <f t="shared" si="127"/>
        <v>0</v>
      </c>
      <c r="I148" s="68">
        <f t="shared" si="127"/>
        <v>0</v>
      </c>
      <c r="J148" s="68">
        <f t="shared" si="127"/>
        <v>0</v>
      </c>
      <c r="K148" s="68">
        <f t="shared" si="127"/>
        <v>0</v>
      </c>
      <c r="L148" s="68">
        <f t="shared" si="127"/>
        <v>0</v>
      </c>
      <c r="M148" s="68">
        <f t="shared" si="127"/>
        <v>0</v>
      </c>
      <c r="N148" s="68">
        <f t="shared" si="127"/>
        <v>0</v>
      </c>
      <c r="O148" s="68">
        <f t="shared" si="127"/>
        <v>0</v>
      </c>
      <c r="P148" s="68">
        <f t="shared" si="127"/>
        <v>0</v>
      </c>
      <c r="Q148" s="68">
        <f t="shared" si="127"/>
        <v>0</v>
      </c>
      <c r="R148" s="68">
        <f t="shared" si="127"/>
        <v>0</v>
      </c>
      <c r="S148" s="68">
        <f t="shared" si="127"/>
        <v>0</v>
      </c>
      <c r="T148" s="68">
        <f t="shared" si="127"/>
        <v>0</v>
      </c>
      <c r="U148" s="68">
        <f t="shared" si="127"/>
        <v>0</v>
      </c>
      <c r="V148" s="68">
        <f t="shared" si="127"/>
        <v>0</v>
      </c>
      <c r="W148" s="68">
        <f t="shared" si="127"/>
        <v>0</v>
      </c>
      <c r="X148" s="68">
        <f t="shared" si="127"/>
        <v>0</v>
      </c>
      <c r="Y148" s="68">
        <f t="shared" si="127"/>
        <v>0</v>
      </c>
      <c r="Z148" s="68">
        <f t="shared" si="127"/>
        <v>0</v>
      </c>
      <c r="AA148" s="68">
        <f t="shared" si="127"/>
        <v>0</v>
      </c>
      <c r="AB148" s="68">
        <f t="shared" si="127"/>
        <v>0</v>
      </c>
      <c r="AE148" s="68"/>
      <c r="AF148" s="68"/>
      <c r="AG148" s="515"/>
    </row>
    <row r="149" spans="3:34" hidden="1">
      <c r="AE149" s="68"/>
      <c r="AF149" s="68"/>
      <c r="AG149" s="515"/>
      <c r="AH149" s="63">
        <f>F138</f>
        <v>0</v>
      </c>
    </row>
    <row r="150" spans="3:34" hidden="1">
      <c r="C150" s="68" t="s">
        <v>552</v>
      </c>
      <c r="D150" s="68" t="s">
        <v>552</v>
      </c>
      <c r="AE150" s="68"/>
      <c r="AF150" s="68"/>
      <c r="AG150" s="515">
        <f>SUM(C148:AF148)</f>
        <v>0</v>
      </c>
      <c r="AH150" s="63">
        <f t="shared" ref="AH150:AH161" si="128">F146</f>
        <v>0</v>
      </c>
    </row>
    <row r="151" spans="3:34" hidden="1">
      <c r="C151" s="68">
        <f t="shared" ref="C151:AD151" si="129">IF(AND(C11="Nej",C13="Ja"),(C24+C38)*0.8%*C9,0)</f>
        <v>0</v>
      </c>
      <c r="D151" s="68">
        <f t="shared" si="129"/>
        <v>0</v>
      </c>
      <c r="E151" s="68">
        <f t="shared" si="129"/>
        <v>0</v>
      </c>
      <c r="F151" s="68">
        <f t="shared" si="129"/>
        <v>0</v>
      </c>
      <c r="G151" s="68">
        <f t="shared" si="129"/>
        <v>0</v>
      </c>
      <c r="H151" s="68">
        <f t="shared" si="129"/>
        <v>0</v>
      </c>
      <c r="I151" s="68">
        <f t="shared" si="129"/>
        <v>0</v>
      </c>
      <c r="J151" s="68">
        <f t="shared" si="129"/>
        <v>0</v>
      </c>
      <c r="K151" s="68">
        <f t="shared" si="129"/>
        <v>0</v>
      </c>
      <c r="L151" s="68">
        <f t="shared" si="129"/>
        <v>0</v>
      </c>
      <c r="M151" s="68">
        <f t="shared" si="129"/>
        <v>0</v>
      </c>
      <c r="N151" s="68">
        <f t="shared" si="129"/>
        <v>0</v>
      </c>
      <c r="O151" s="68">
        <f t="shared" si="129"/>
        <v>0</v>
      </c>
      <c r="P151" s="68">
        <f t="shared" si="129"/>
        <v>0</v>
      </c>
      <c r="Q151" s="68">
        <f t="shared" si="129"/>
        <v>0</v>
      </c>
      <c r="R151" s="68">
        <f t="shared" si="129"/>
        <v>0</v>
      </c>
      <c r="S151" s="68">
        <f t="shared" si="129"/>
        <v>0</v>
      </c>
      <c r="T151" s="68">
        <f t="shared" si="129"/>
        <v>0</v>
      </c>
      <c r="U151" s="68">
        <f t="shared" si="129"/>
        <v>0</v>
      </c>
      <c r="V151" s="68">
        <f t="shared" si="129"/>
        <v>0</v>
      </c>
      <c r="W151" s="68">
        <f t="shared" si="129"/>
        <v>0</v>
      </c>
      <c r="X151" s="68">
        <f t="shared" si="129"/>
        <v>0</v>
      </c>
      <c r="Y151" s="68">
        <f t="shared" si="129"/>
        <v>0</v>
      </c>
      <c r="Z151" s="68">
        <f t="shared" si="129"/>
        <v>0</v>
      </c>
      <c r="AA151" s="68">
        <f t="shared" si="129"/>
        <v>0</v>
      </c>
      <c r="AB151" s="68">
        <f t="shared" si="129"/>
        <v>0</v>
      </c>
      <c r="AC151" s="68">
        <f t="shared" si="129"/>
        <v>0</v>
      </c>
      <c r="AD151" s="68">
        <f t="shared" si="129"/>
        <v>0</v>
      </c>
      <c r="AE151" s="68"/>
      <c r="AF151" s="68"/>
      <c r="AG151" s="515">
        <f>SUM(C149:AF149)</f>
        <v>0</v>
      </c>
    </row>
    <row r="152" spans="3:34" hidden="1">
      <c r="C152" s="68" t="s">
        <v>543</v>
      </c>
      <c r="D152" s="68" t="s">
        <v>543</v>
      </c>
      <c r="AE152" s="68"/>
      <c r="AF152" s="68"/>
      <c r="AG152" s="515">
        <f t="shared" si="126"/>
        <v>0</v>
      </c>
    </row>
    <row r="153" spans="3:34" hidden="1">
      <c r="C153" s="68">
        <f t="shared" ref="C153:H153" si="130">(C53+C51+C52)*C9</f>
        <v>0</v>
      </c>
      <c r="D153" s="68">
        <f t="shared" si="130"/>
        <v>0</v>
      </c>
      <c r="E153" s="68">
        <f t="shared" si="130"/>
        <v>0</v>
      </c>
      <c r="F153" s="68">
        <f t="shared" si="130"/>
        <v>0</v>
      </c>
      <c r="G153" s="68">
        <f t="shared" si="130"/>
        <v>0</v>
      </c>
      <c r="H153" s="68">
        <f t="shared" si="130"/>
        <v>0</v>
      </c>
      <c r="I153" s="68">
        <f>IF(I18&gt;0.01,((I51+I52+I53)*I9),0)</f>
        <v>0</v>
      </c>
      <c r="J153" s="68">
        <f t="shared" ref="J153:AD153" si="131">(J53+J51+J52)*J9</f>
        <v>0</v>
      </c>
      <c r="K153" s="68">
        <f t="shared" si="131"/>
        <v>0</v>
      </c>
      <c r="L153" s="68">
        <f t="shared" si="131"/>
        <v>0</v>
      </c>
      <c r="M153" s="68">
        <f t="shared" si="131"/>
        <v>0</v>
      </c>
      <c r="N153" s="68">
        <f t="shared" si="131"/>
        <v>0</v>
      </c>
      <c r="O153" s="68">
        <f t="shared" si="131"/>
        <v>0</v>
      </c>
      <c r="P153" s="68">
        <f t="shared" si="131"/>
        <v>0</v>
      </c>
      <c r="Q153" s="68">
        <f t="shared" si="131"/>
        <v>0</v>
      </c>
      <c r="R153" s="68">
        <f t="shared" si="131"/>
        <v>0</v>
      </c>
      <c r="S153" s="68">
        <f t="shared" si="131"/>
        <v>0</v>
      </c>
      <c r="T153" s="68">
        <f t="shared" si="131"/>
        <v>0</v>
      </c>
      <c r="U153" s="68">
        <f t="shared" si="131"/>
        <v>0</v>
      </c>
      <c r="V153" s="68">
        <f t="shared" si="131"/>
        <v>0</v>
      </c>
      <c r="W153" s="68">
        <f t="shared" si="131"/>
        <v>0</v>
      </c>
      <c r="X153" s="68">
        <f t="shared" si="131"/>
        <v>0</v>
      </c>
      <c r="Y153" s="68">
        <f t="shared" si="131"/>
        <v>0</v>
      </c>
      <c r="Z153" s="68">
        <f t="shared" si="131"/>
        <v>0</v>
      </c>
      <c r="AA153" s="68">
        <f t="shared" si="131"/>
        <v>0</v>
      </c>
      <c r="AB153" s="68">
        <f t="shared" si="131"/>
        <v>0</v>
      </c>
      <c r="AC153" s="68">
        <f t="shared" si="131"/>
        <v>0</v>
      </c>
      <c r="AD153" s="68">
        <f t="shared" si="131"/>
        <v>0</v>
      </c>
      <c r="AE153" s="68"/>
      <c r="AF153" s="68"/>
      <c r="AG153" s="515">
        <f t="shared" si="126"/>
        <v>0</v>
      </c>
      <c r="AH153" s="63">
        <f>F147</f>
        <v>0</v>
      </c>
    </row>
    <row r="154" spans="3:34" hidden="1">
      <c r="K154" s="68">
        <f>K67*K21</f>
        <v>0</v>
      </c>
      <c r="AE154" s="68"/>
      <c r="AF154" s="68"/>
      <c r="AG154" s="515">
        <f t="shared" si="126"/>
        <v>0</v>
      </c>
      <c r="AH154" s="63">
        <f>F148</f>
        <v>0</v>
      </c>
    </row>
    <row r="155" spans="3:34" hidden="1">
      <c r="C155" s="68" t="s">
        <v>103</v>
      </c>
      <c r="D155" s="68" t="s">
        <v>103</v>
      </c>
      <c r="AE155" s="68"/>
      <c r="AF155" s="68"/>
      <c r="AG155" s="515">
        <f t="shared" si="126"/>
        <v>0</v>
      </c>
      <c r="AH155" s="63">
        <f>F149</f>
        <v>0</v>
      </c>
    </row>
    <row r="156" spans="3:34" hidden="1">
      <c r="C156" s="68">
        <f t="shared" ref="C156:AB156" si="132">IF(C11="Orlov",0,C54/3*2*C9)</f>
        <v>0</v>
      </c>
      <c r="D156" s="68">
        <f t="shared" si="132"/>
        <v>0</v>
      </c>
      <c r="E156" s="68">
        <f t="shared" si="132"/>
        <v>0</v>
      </c>
      <c r="F156" s="68">
        <f t="shared" si="132"/>
        <v>0</v>
      </c>
      <c r="G156" s="68">
        <f t="shared" si="132"/>
        <v>0</v>
      </c>
      <c r="H156" s="68">
        <f t="shared" si="132"/>
        <v>0</v>
      </c>
      <c r="I156" s="68">
        <f t="shared" si="132"/>
        <v>0</v>
      </c>
      <c r="J156" s="68">
        <f t="shared" si="132"/>
        <v>0</v>
      </c>
      <c r="K156" s="68">
        <f t="shared" si="132"/>
        <v>0</v>
      </c>
      <c r="L156" s="68">
        <f t="shared" si="132"/>
        <v>0</v>
      </c>
      <c r="M156" s="68">
        <f t="shared" si="132"/>
        <v>0</v>
      </c>
      <c r="N156" s="68">
        <f t="shared" si="132"/>
        <v>0</v>
      </c>
      <c r="O156" s="68">
        <f t="shared" si="132"/>
        <v>0</v>
      </c>
      <c r="P156" s="68">
        <f t="shared" si="132"/>
        <v>0</v>
      </c>
      <c r="Q156" s="68">
        <f t="shared" si="132"/>
        <v>0</v>
      </c>
      <c r="R156" s="68">
        <f t="shared" si="132"/>
        <v>0</v>
      </c>
      <c r="S156" s="68">
        <f t="shared" si="132"/>
        <v>0</v>
      </c>
      <c r="T156" s="68">
        <f t="shared" si="132"/>
        <v>0</v>
      </c>
      <c r="U156" s="68">
        <f t="shared" si="132"/>
        <v>0</v>
      </c>
      <c r="V156" s="68">
        <f t="shared" si="132"/>
        <v>0</v>
      </c>
      <c r="W156" s="68">
        <f t="shared" si="132"/>
        <v>0</v>
      </c>
      <c r="X156" s="68">
        <f t="shared" si="132"/>
        <v>0</v>
      </c>
      <c r="Y156" s="68">
        <f t="shared" si="132"/>
        <v>0</v>
      </c>
      <c r="Z156" s="68">
        <f t="shared" si="132"/>
        <v>0</v>
      </c>
      <c r="AA156" s="68">
        <f t="shared" si="132"/>
        <v>0</v>
      </c>
      <c r="AB156" s="68">
        <f t="shared" si="132"/>
        <v>0</v>
      </c>
      <c r="AC156" s="68">
        <f>AC54/3*2*AC9</f>
        <v>0</v>
      </c>
      <c r="AD156" s="68">
        <f>AD54/3*2*AD9</f>
        <v>0</v>
      </c>
      <c r="AE156" s="68"/>
      <c r="AF156" s="68"/>
      <c r="AG156" s="515">
        <f t="shared" si="126"/>
        <v>0</v>
      </c>
      <c r="AH156" s="63">
        <f t="shared" si="128"/>
        <v>0</v>
      </c>
    </row>
    <row r="157" spans="3:34" hidden="1">
      <c r="AE157" s="68"/>
      <c r="AF157" s="68"/>
      <c r="AG157" s="515">
        <f t="shared" si="126"/>
        <v>0</v>
      </c>
      <c r="AH157" s="63">
        <f t="shared" si="128"/>
        <v>0</v>
      </c>
    </row>
    <row r="158" spans="3:34" hidden="1">
      <c r="C158" s="68" t="s">
        <v>558</v>
      </c>
      <c r="D158" s="68" t="s">
        <v>558</v>
      </c>
      <c r="AE158" s="68"/>
      <c r="AF158" s="68"/>
      <c r="AG158" s="515">
        <f t="shared" si="126"/>
        <v>0</v>
      </c>
      <c r="AH158" s="63">
        <f t="shared" si="128"/>
        <v>0</v>
      </c>
    </row>
    <row r="159" spans="3:34" hidden="1">
      <c r="C159" s="74">
        <f t="shared" ref="C159:AB159" si="133">C64</f>
        <v>0</v>
      </c>
      <c r="D159" s="74">
        <f t="shared" si="133"/>
        <v>0</v>
      </c>
      <c r="E159" s="74">
        <f t="shared" si="133"/>
        <v>0</v>
      </c>
      <c r="F159" s="74">
        <f t="shared" si="133"/>
        <v>0</v>
      </c>
      <c r="G159" s="74">
        <f t="shared" si="133"/>
        <v>0</v>
      </c>
      <c r="H159" s="74">
        <f t="shared" si="133"/>
        <v>0</v>
      </c>
      <c r="I159" s="74">
        <f t="shared" si="133"/>
        <v>0</v>
      </c>
      <c r="J159" s="74">
        <f t="shared" si="133"/>
        <v>0</v>
      </c>
      <c r="K159" s="74">
        <f t="shared" si="133"/>
        <v>0</v>
      </c>
      <c r="L159" s="74">
        <f t="shared" si="133"/>
        <v>0</v>
      </c>
      <c r="M159" s="74">
        <f t="shared" si="133"/>
        <v>0</v>
      </c>
      <c r="N159" s="74">
        <f t="shared" si="133"/>
        <v>0</v>
      </c>
      <c r="O159" s="74">
        <f t="shared" si="133"/>
        <v>0</v>
      </c>
      <c r="P159" s="74">
        <f t="shared" si="133"/>
        <v>0</v>
      </c>
      <c r="Q159" s="74">
        <f t="shared" si="133"/>
        <v>0</v>
      </c>
      <c r="R159" s="74">
        <f t="shared" si="133"/>
        <v>0</v>
      </c>
      <c r="S159" s="74">
        <f t="shared" si="133"/>
        <v>0</v>
      </c>
      <c r="T159" s="74">
        <f t="shared" si="133"/>
        <v>0</v>
      </c>
      <c r="U159" s="74">
        <f t="shared" si="133"/>
        <v>0</v>
      </c>
      <c r="V159" s="74">
        <f t="shared" si="133"/>
        <v>0</v>
      </c>
      <c r="W159" s="74">
        <f t="shared" si="133"/>
        <v>0</v>
      </c>
      <c r="X159" s="74">
        <f t="shared" si="133"/>
        <v>0</v>
      </c>
      <c r="Y159" s="74">
        <f t="shared" si="133"/>
        <v>0</v>
      </c>
      <c r="Z159" s="74">
        <f t="shared" si="133"/>
        <v>0</v>
      </c>
      <c r="AA159" s="74">
        <f t="shared" si="133"/>
        <v>0</v>
      </c>
      <c r="AB159" s="74">
        <f t="shared" si="133"/>
        <v>0</v>
      </c>
      <c r="AE159" s="68"/>
      <c r="AF159" s="68"/>
      <c r="AG159" s="515">
        <f t="shared" si="126"/>
        <v>0</v>
      </c>
      <c r="AH159" s="63">
        <f t="shared" si="128"/>
        <v>0</v>
      </c>
    </row>
    <row r="160" spans="3:34" hidden="1">
      <c r="C160" s="68" t="s">
        <v>630</v>
      </c>
      <c r="D160" s="68" t="s">
        <v>630</v>
      </c>
      <c r="AE160" s="68"/>
      <c r="AF160" s="68"/>
      <c r="AG160" s="515">
        <f t="shared" si="126"/>
        <v>0</v>
      </c>
      <c r="AH160" s="63">
        <f t="shared" si="128"/>
        <v>0</v>
      </c>
    </row>
    <row r="161" spans="2:35" hidden="1">
      <c r="C161" s="74">
        <f t="shared" ref="C161:AD161" si="134">IF(C11="Orlov",0,C66)</f>
        <v>0</v>
      </c>
      <c r="D161" s="74">
        <f t="shared" si="134"/>
        <v>0</v>
      </c>
      <c r="E161" s="74">
        <f t="shared" si="134"/>
        <v>0</v>
      </c>
      <c r="F161" s="74">
        <f t="shared" si="134"/>
        <v>0</v>
      </c>
      <c r="G161" s="74">
        <f t="shared" si="134"/>
        <v>0</v>
      </c>
      <c r="H161" s="74">
        <f t="shared" si="134"/>
        <v>0</v>
      </c>
      <c r="I161" s="74">
        <f t="shared" si="134"/>
        <v>0</v>
      </c>
      <c r="J161" s="74">
        <f t="shared" si="134"/>
        <v>0</v>
      </c>
      <c r="K161" s="74">
        <f t="shared" si="134"/>
        <v>0</v>
      </c>
      <c r="L161" s="74">
        <f t="shared" si="134"/>
        <v>0</v>
      </c>
      <c r="M161" s="74">
        <f t="shared" si="134"/>
        <v>0</v>
      </c>
      <c r="N161" s="74">
        <f t="shared" si="134"/>
        <v>0</v>
      </c>
      <c r="O161" s="74">
        <f t="shared" si="134"/>
        <v>0</v>
      </c>
      <c r="P161" s="74">
        <f t="shared" si="134"/>
        <v>0</v>
      </c>
      <c r="Q161" s="74">
        <f t="shared" si="134"/>
        <v>0</v>
      </c>
      <c r="R161" s="74">
        <f t="shared" si="134"/>
        <v>0</v>
      </c>
      <c r="S161" s="74">
        <f t="shared" si="134"/>
        <v>0</v>
      </c>
      <c r="T161" s="74">
        <f t="shared" si="134"/>
        <v>0</v>
      </c>
      <c r="U161" s="74">
        <f t="shared" si="134"/>
        <v>0</v>
      </c>
      <c r="V161" s="74">
        <f t="shared" si="134"/>
        <v>0</v>
      </c>
      <c r="W161" s="74">
        <f t="shared" si="134"/>
        <v>0</v>
      </c>
      <c r="X161" s="74">
        <f t="shared" si="134"/>
        <v>0</v>
      </c>
      <c r="Y161" s="74">
        <f t="shared" si="134"/>
        <v>0</v>
      </c>
      <c r="Z161" s="74">
        <f t="shared" si="134"/>
        <v>0</v>
      </c>
      <c r="AA161" s="74">
        <f t="shared" si="134"/>
        <v>0</v>
      </c>
      <c r="AB161" s="74">
        <f t="shared" si="134"/>
        <v>0</v>
      </c>
      <c r="AC161" s="74">
        <f t="shared" si="134"/>
        <v>0</v>
      </c>
      <c r="AD161" s="74">
        <f t="shared" si="134"/>
        <v>0</v>
      </c>
      <c r="AE161" s="68"/>
      <c r="AF161" s="68"/>
      <c r="AG161" s="515"/>
      <c r="AH161" s="63">
        <f t="shared" si="128"/>
        <v>0</v>
      </c>
    </row>
    <row r="162" spans="2:35" hidden="1">
      <c r="B162" s="63" t="s">
        <v>631</v>
      </c>
      <c r="C162" s="74">
        <f t="shared" ref="C162:AD162" si="135">C62</f>
        <v>0</v>
      </c>
      <c r="D162" s="74">
        <f t="shared" si="135"/>
        <v>0</v>
      </c>
      <c r="E162" s="74">
        <f t="shared" si="135"/>
        <v>0</v>
      </c>
      <c r="F162" s="74">
        <f t="shared" si="135"/>
        <v>0</v>
      </c>
      <c r="G162" s="74">
        <f t="shared" si="135"/>
        <v>0</v>
      </c>
      <c r="H162" s="74">
        <f t="shared" si="135"/>
        <v>0</v>
      </c>
      <c r="I162" s="74">
        <f t="shared" si="135"/>
        <v>0</v>
      </c>
      <c r="J162" s="74">
        <f t="shared" si="135"/>
        <v>0</v>
      </c>
      <c r="K162" s="74">
        <f t="shared" si="135"/>
        <v>0</v>
      </c>
      <c r="L162" s="74">
        <f t="shared" si="135"/>
        <v>0</v>
      </c>
      <c r="M162" s="74">
        <f t="shared" si="135"/>
        <v>0</v>
      </c>
      <c r="N162" s="74">
        <f t="shared" si="135"/>
        <v>0</v>
      </c>
      <c r="O162" s="74">
        <f t="shared" si="135"/>
        <v>0</v>
      </c>
      <c r="P162" s="74">
        <f t="shared" si="135"/>
        <v>0</v>
      </c>
      <c r="Q162" s="74">
        <f t="shared" si="135"/>
        <v>0</v>
      </c>
      <c r="R162" s="74">
        <f t="shared" si="135"/>
        <v>0</v>
      </c>
      <c r="S162" s="74">
        <f t="shared" si="135"/>
        <v>0</v>
      </c>
      <c r="T162" s="74">
        <f t="shared" si="135"/>
        <v>0</v>
      </c>
      <c r="U162" s="74">
        <f t="shared" si="135"/>
        <v>0</v>
      </c>
      <c r="V162" s="74">
        <f t="shared" si="135"/>
        <v>0</v>
      </c>
      <c r="W162" s="74">
        <f t="shared" si="135"/>
        <v>0</v>
      </c>
      <c r="X162" s="74">
        <f t="shared" si="135"/>
        <v>0</v>
      </c>
      <c r="Y162" s="74">
        <f t="shared" si="135"/>
        <v>0</v>
      </c>
      <c r="Z162" s="74">
        <f t="shared" si="135"/>
        <v>0</v>
      </c>
      <c r="AA162" s="74">
        <f t="shared" si="135"/>
        <v>0</v>
      </c>
      <c r="AB162" s="74">
        <f t="shared" si="135"/>
        <v>0</v>
      </c>
      <c r="AC162" s="74">
        <f t="shared" si="135"/>
        <v>0</v>
      </c>
      <c r="AD162" s="74">
        <f t="shared" si="135"/>
        <v>0</v>
      </c>
      <c r="AE162" s="68"/>
      <c r="AF162" s="68"/>
      <c r="AG162" s="515"/>
      <c r="AH162" s="710">
        <f>F159</f>
        <v>0</v>
      </c>
      <c r="AI162" s="710"/>
    </row>
    <row r="163" spans="2:35" hidden="1">
      <c r="C163" s="74" t="s">
        <v>546</v>
      </c>
      <c r="D163" s="74" t="s">
        <v>546</v>
      </c>
      <c r="E163" s="74"/>
      <c r="F163" s="74"/>
      <c r="AE163" s="68"/>
      <c r="AF163" s="68"/>
      <c r="AG163" s="515"/>
    </row>
    <row r="164" spans="2:35" hidden="1">
      <c r="C164" s="74"/>
      <c r="D164" s="74"/>
      <c r="E164" s="74"/>
      <c r="F164" s="74">
        <f t="shared" ref="F164:AD164" si="136">IF(F11="Orlov",0,F42*40/12*19*F16*F9)</f>
        <v>0</v>
      </c>
      <c r="G164" s="74">
        <f t="shared" si="136"/>
        <v>0</v>
      </c>
      <c r="H164" s="74">
        <f t="shared" si="136"/>
        <v>0</v>
      </c>
      <c r="I164" s="74">
        <f t="shared" si="136"/>
        <v>0</v>
      </c>
      <c r="J164" s="74">
        <f t="shared" si="136"/>
        <v>0</v>
      </c>
      <c r="K164" s="74">
        <f t="shared" si="136"/>
        <v>0</v>
      </c>
      <c r="L164" s="74">
        <f t="shared" si="136"/>
        <v>0</v>
      </c>
      <c r="M164" s="74">
        <f t="shared" si="136"/>
        <v>0</v>
      </c>
      <c r="N164" s="74">
        <f t="shared" si="136"/>
        <v>0</v>
      </c>
      <c r="O164" s="74">
        <f t="shared" si="136"/>
        <v>0</v>
      </c>
      <c r="P164" s="74">
        <f t="shared" si="136"/>
        <v>0</v>
      </c>
      <c r="Q164" s="74">
        <f t="shared" si="136"/>
        <v>0</v>
      </c>
      <c r="R164" s="74">
        <f t="shared" si="136"/>
        <v>0</v>
      </c>
      <c r="S164" s="74">
        <f t="shared" si="136"/>
        <v>0</v>
      </c>
      <c r="T164" s="74">
        <f t="shared" si="136"/>
        <v>0</v>
      </c>
      <c r="U164" s="74">
        <f t="shared" si="136"/>
        <v>0</v>
      </c>
      <c r="V164" s="74">
        <f t="shared" si="136"/>
        <v>0</v>
      </c>
      <c r="W164" s="74">
        <f t="shared" si="136"/>
        <v>0</v>
      </c>
      <c r="X164" s="74">
        <f t="shared" si="136"/>
        <v>0</v>
      </c>
      <c r="Y164" s="74">
        <f t="shared" si="136"/>
        <v>0</v>
      </c>
      <c r="Z164" s="74">
        <f t="shared" si="136"/>
        <v>0</v>
      </c>
      <c r="AA164" s="74">
        <f t="shared" si="136"/>
        <v>0</v>
      </c>
      <c r="AB164" s="74">
        <f t="shared" si="136"/>
        <v>0</v>
      </c>
      <c r="AC164" s="74">
        <f t="shared" si="136"/>
        <v>0</v>
      </c>
      <c r="AD164" s="74">
        <f t="shared" si="136"/>
        <v>0</v>
      </c>
      <c r="AE164" s="68"/>
      <c r="AF164" s="68"/>
      <c r="AG164" s="515"/>
    </row>
    <row r="165" spans="2:35" hidden="1">
      <c r="C165" s="74" t="s">
        <v>632</v>
      </c>
      <c r="D165" s="74" t="s">
        <v>632</v>
      </c>
      <c r="E165" s="74"/>
      <c r="F165" s="74"/>
      <c r="AE165" s="68"/>
      <c r="AF165" s="68"/>
      <c r="AG165" s="515"/>
    </row>
    <row r="166" spans="2:35" hidden="1">
      <c r="C166" s="74">
        <f t="shared" ref="C166:AD166" si="137">IF(C11="Orlov",0,C43*C9)</f>
        <v>0</v>
      </c>
      <c r="D166" s="74">
        <f t="shared" si="137"/>
        <v>0</v>
      </c>
      <c r="E166" s="74">
        <f t="shared" si="137"/>
        <v>0</v>
      </c>
      <c r="F166" s="74">
        <f t="shared" si="137"/>
        <v>0</v>
      </c>
      <c r="G166" s="74">
        <f t="shared" si="137"/>
        <v>0</v>
      </c>
      <c r="H166" s="74">
        <f t="shared" si="137"/>
        <v>0</v>
      </c>
      <c r="I166" s="74">
        <f t="shared" si="137"/>
        <v>0</v>
      </c>
      <c r="J166" s="74">
        <f t="shared" si="137"/>
        <v>0</v>
      </c>
      <c r="K166" s="74">
        <f t="shared" si="137"/>
        <v>0</v>
      </c>
      <c r="L166" s="74">
        <f t="shared" si="137"/>
        <v>0</v>
      </c>
      <c r="M166" s="74">
        <f t="shared" si="137"/>
        <v>0</v>
      </c>
      <c r="N166" s="74">
        <f t="shared" si="137"/>
        <v>0</v>
      </c>
      <c r="O166" s="74">
        <f t="shared" si="137"/>
        <v>0</v>
      </c>
      <c r="P166" s="74">
        <f t="shared" si="137"/>
        <v>0</v>
      </c>
      <c r="Q166" s="74">
        <f t="shared" si="137"/>
        <v>0</v>
      </c>
      <c r="R166" s="74">
        <f t="shared" si="137"/>
        <v>0</v>
      </c>
      <c r="S166" s="74">
        <f t="shared" si="137"/>
        <v>0</v>
      </c>
      <c r="T166" s="74">
        <f t="shared" si="137"/>
        <v>0</v>
      </c>
      <c r="U166" s="74">
        <f t="shared" si="137"/>
        <v>0</v>
      </c>
      <c r="V166" s="74">
        <f t="shared" si="137"/>
        <v>0</v>
      </c>
      <c r="W166" s="74">
        <f t="shared" si="137"/>
        <v>0</v>
      </c>
      <c r="X166" s="74">
        <f t="shared" si="137"/>
        <v>0</v>
      </c>
      <c r="Y166" s="74">
        <f t="shared" si="137"/>
        <v>0</v>
      </c>
      <c r="Z166" s="74">
        <f t="shared" si="137"/>
        <v>0</v>
      </c>
      <c r="AA166" s="74">
        <f t="shared" si="137"/>
        <v>0</v>
      </c>
      <c r="AB166" s="74">
        <f t="shared" si="137"/>
        <v>0</v>
      </c>
      <c r="AC166" s="74">
        <f t="shared" si="137"/>
        <v>0</v>
      </c>
      <c r="AD166" s="74">
        <f t="shared" si="137"/>
        <v>0</v>
      </c>
      <c r="AE166" s="68"/>
      <c r="AF166" s="68"/>
      <c r="AG166" s="515"/>
    </row>
    <row r="167" spans="2:35" hidden="1">
      <c r="C167" s="74" t="s">
        <v>633</v>
      </c>
      <c r="D167" s="74" t="s">
        <v>633</v>
      </c>
      <c r="E167" s="74"/>
      <c r="F167" s="74"/>
      <c r="AE167" s="68"/>
      <c r="AF167" s="68"/>
      <c r="AG167" s="515"/>
    </row>
    <row r="168" spans="2:35" hidden="1">
      <c r="C168" s="74"/>
      <c r="D168" s="74"/>
      <c r="E168" s="74"/>
      <c r="F168" s="74">
        <f t="shared" ref="F168:AD168" si="138">F61</f>
        <v>0</v>
      </c>
      <c r="G168" s="74">
        <f t="shared" si="138"/>
        <v>0</v>
      </c>
      <c r="H168" s="74">
        <f t="shared" si="138"/>
        <v>0</v>
      </c>
      <c r="I168" s="74">
        <f t="shared" si="138"/>
        <v>0</v>
      </c>
      <c r="J168" s="74">
        <f t="shared" si="138"/>
        <v>0</v>
      </c>
      <c r="K168" s="74">
        <f t="shared" si="138"/>
        <v>0</v>
      </c>
      <c r="L168" s="74">
        <f t="shared" si="138"/>
        <v>0</v>
      </c>
      <c r="M168" s="74">
        <f t="shared" si="138"/>
        <v>0</v>
      </c>
      <c r="N168" s="74">
        <f t="shared" si="138"/>
        <v>0</v>
      </c>
      <c r="O168" s="74">
        <f t="shared" si="138"/>
        <v>0</v>
      </c>
      <c r="P168" s="74">
        <f t="shared" si="138"/>
        <v>0</v>
      </c>
      <c r="Q168" s="74">
        <f t="shared" si="138"/>
        <v>0</v>
      </c>
      <c r="R168" s="74">
        <f t="shared" si="138"/>
        <v>0</v>
      </c>
      <c r="S168" s="74">
        <f t="shared" si="138"/>
        <v>0</v>
      </c>
      <c r="T168" s="74">
        <f t="shared" si="138"/>
        <v>0</v>
      </c>
      <c r="U168" s="74">
        <f t="shared" si="138"/>
        <v>0</v>
      </c>
      <c r="V168" s="74">
        <f t="shared" si="138"/>
        <v>0</v>
      </c>
      <c r="W168" s="74">
        <f t="shared" si="138"/>
        <v>0</v>
      </c>
      <c r="X168" s="74">
        <f t="shared" si="138"/>
        <v>0</v>
      </c>
      <c r="Y168" s="74">
        <f t="shared" si="138"/>
        <v>0</v>
      </c>
      <c r="Z168" s="74">
        <f t="shared" si="138"/>
        <v>0</v>
      </c>
      <c r="AA168" s="74">
        <f t="shared" si="138"/>
        <v>0</v>
      </c>
      <c r="AB168" s="74">
        <f t="shared" si="138"/>
        <v>0</v>
      </c>
      <c r="AC168" s="74">
        <f t="shared" si="138"/>
        <v>0</v>
      </c>
      <c r="AD168" s="74">
        <f t="shared" si="138"/>
        <v>0</v>
      </c>
      <c r="AE168" s="68"/>
      <c r="AF168" s="68"/>
      <c r="AG168" s="515"/>
    </row>
    <row r="169" spans="2:35" hidden="1">
      <c r="C169" s="74">
        <f>C168+C166+C164+C161+C159+C156+C153+C148+C146+C144+C141+C138+C135+C131+C129+C127+C124+C121+C118+C133+C162+C151</f>
        <v>0</v>
      </c>
      <c r="D169" s="74">
        <f t="shared" ref="D169:E169" si="139">D168+D166+D164+D161+D159+D156+D153+D148+D146+D144+D141+D138+D135+D131+D129+D127+D124+D121+D118+D133+D162+D151</f>
        <v>0</v>
      </c>
      <c r="E169" s="74">
        <f t="shared" si="139"/>
        <v>0</v>
      </c>
      <c r="F169" s="74">
        <f>F168+F166+F164+F161+F159+F156+F153+F148+F146+F144+F141+F138+F135+F131+F129+F127+F124+F121+F118+F133+F162+F151</f>
        <v>0</v>
      </c>
      <c r="G169" s="74">
        <f t="shared" ref="G169" si="140">G168+G166+G164+G161+G159+G156+G153+G148+G146+G144+G141+G138+G135+G131+G129+G127+G124+G121+G118+G133+G162+G151</f>
        <v>0</v>
      </c>
      <c r="H169" s="74">
        <f t="shared" ref="H169" si="141">H168+H166+H164+H161+H159+H156+H153+H148+H146+H144+H141+H138+H135+H131+H129+H127+H124+H121+H118+H133+H162+H151</f>
        <v>0</v>
      </c>
      <c r="I169" s="74">
        <f t="shared" ref="I169:J169" si="142">I168+I166+I164+I161+I159+I156+I153+I148+I146+I144+I141+I138+I135+I131+I129+I127+I124+I121+I118+I133+I162+I151</f>
        <v>0</v>
      </c>
      <c r="J169" s="74">
        <f t="shared" si="142"/>
        <v>0</v>
      </c>
      <c r="K169" s="74">
        <f t="shared" ref="K169" si="143">K168+K166+K164+K161+K159+K156+K153+K148+K146+K144+K141+K138+K135+K131+K129+K127+K124+K121+K118+K133+K162+K151</f>
        <v>0</v>
      </c>
      <c r="L169" s="74">
        <f t="shared" ref="L169" si="144">L168+L166+L164+L161+L159+L156+L153+L148+L146+L144+L141+L138+L135+L131+L129+L127+L124+L121+L118+L133+L162+L151</f>
        <v>0</v>
      </c>
      <c r="M169" s="74">
        <f t="shared" ref="M169:N169" si="145">M168+M166+M164+M161+M159+M156+M153+M148+M146+M144+M141+M138+M135+M131+M129+M127+M124+M121+M118+M133+M162+M151</f>
        <v>0</v>
      </c>
      <c r="N169" s="74">
        <f t="shared" si="145"/>
        <v>0</v>
      </c>
      <c r="O169" s="74">
        <f t="shared" ref="O169" si="146">O168+O166+O164+O161+O159+O156+O153+O148+O146+O144+O141+O138+O135+O131+O129+O127+O124+O121+O118+O133+O162+O151</f>
        <v>0</v>
      </c>
      <c r="P169" s="74">
        <f t="shared" ref="P169" si="147">P168+P166+P164+P161+P159+P156+P153+P148+P146+P144+P141+P138+P135+P131+P129+P127+P124+P121+P118+P133+P162+P151</f>
        <v>0</v>
      </c>
      <c r="Q169" s="74">
        <f t="shared" ref="Q169:R169" si="148">Q168+Q166+Q164+Q161+Q159+Q156+Q153+Q148+Q146+Q144+Q141+Q138+Q135+Q131+Q129+Q127+Q124+Q121+Q118+Q133+Q162+Q151</f>
        <v>0</v>
      </c>
      <c r="R169" s="74">
        <f t="shared" si="148"/>
        <v>0</v>
      </c>
      <c r="S169" s="74">
        <f t="shared" ref="S169" si="149">S168+S166+S164+S161+S159+S156+S153+S148+S146+S144+S141+S138+S135+S131+S129+S127+S124+S121+S118+S133+S162+S151</f>
        <v>0</v>
      </c>
      <c r="T169" s="74">
        <f t="shared" ref="T169" si="150">T168+T166+T164+T161+T159+T156+T153+T148+T146+T144+T141+T138+T135+T131+T129+T127+T124+T121+T118+T133+T162+T151</f>
        <v>0</v>
      </c>
      <c r="U169" s="74">
        <f t="shared" ref="U169:V169" si="151">U168+U166+U164+U161+U159+U156+U153+U148+U146+U144+U141+U138+U135+U131+U129+U127+U124+U121+U118+U133+U162+U151</f>
        <v>0</v>
      </c>
      <c r="V169" s="74">
        <f t="shared" si="151"/>
        <v>0</v>
      </c>
      <c r="W169" s="74">
        <f t="shared" ref="W169" si="152">W168+W166+W164+W161+W159+W156+W153+W148+W146+W144+W141+W138+W135+W131+W129+W127+W124+W121+W118+W133+W162+W151</f>
        <v>0</v>
      </c>
      <c r="X169" s="74">
        <f t="shared" ref="X169" si="153">X168+X166+X164+X161+X159+X156+X153+X148+X146+X144+X141+X138+X135+X131+X129+X127+X124+X121+X118+X133+X162+X151</f>
        <v>0</v>
      </c>
      <c r="Y169" s="74">
        <f t="shared" ref="Y169:Z169" si="154">Y168+Y166+Y164+Y161+Y159+Y156+Y153+Y148+Y146+Y144+Y141+Y138+Y135+Y131+Y129+Y127+Y124+Y121+Y118+Y133+Y162+Y151</f>
        <v>0</v>
      </c>
      <c r="Z169" s="74">
        <f t="shared" si="154"/>
        <v>0</v>
      </c>
      <c r="AA169" s="74">
        <f t="shared" ref="AA169" si="155">AA168+AA166+AA164+AA161+AA159+AA156+AA153+AA148+AA146+AA144+AA141+AA138+AA135+AA131+AA129+AA127+AA124+AA121+AA118+AA133+AA162+AA151</f>
        <v>0</v>
      </c>
      <c r="AB169" s="74">
        <f t="shared" ref="AB169" si="156">AB168+AB166+AB164+AB161+AB159+AB156+AB153+AB148+AB146+AB144+AB141+AB138+AB135+AB131+AB129+AB127+AB124+AB121+AB118+AB133+AB162+AB151</f>
        <v>0</v>
      </c>
      <c r="AC169" s="74">
        <f t="shared" ref="AC169:AD169" si="157">AC168+AC166+AC164+AC161+AC159+AC156+AC153+AC148+AC146+AC144+AC141+AC138+AC135+AC131+AC129+AC127+AC124+AC121+AC118+AC133+AC162+AC151</f>
        <v>0</v>
      </c>
      <c r="AD169" s="74">
        <f t="shared" si="157"/>
        <v>0</v>
      </c>
      <c r="AE169" s="74">
        <f>SUM(C169:AD169)</f>
        <v>0</v>
      </c>
      <c r="AF169" s="68"/>
      <c r="AG169" s="515">
        <f>SUM(AG118:AG161)</f>
        <v>0</v>
      </c>
    </row>
    <row r="170" spans="2:35" hidden="1">
      <c r="AE170" s="68"/>
      <c r="AF170" s="68"/>
      <c r="AG170" s="515">
        <f>AI102</f>
        <v>0</v>
      </c>
    </row>
    <row r="171" spans="2:35" hidden="1">
      <c r="C171" s="74">
        <f t="shared" ref="C171:E171" si="158">C169-C67</f>
        <v>0</v>
      </c>
      <c r="D171" s="74">
        <f>D169-D67</f>
        <v>0</v>
      </c>
      <c r="E171" s="74">
        <f t="shared" si="158"/>
        <v>0</v>
      </c>
      <c r="F171" s="74">
        <f>F169-F67</f>
        <v>0</v>
      </c>
      <c r="G171" s="74">
        <f t="shared" ref="G171:AD171" si="159">G169-G67</f>
        <v>0</v>
      </c>
      <c r="H171" s="74">
        <f t="shared" si="159"/>
        <v>0</v>
      </c>
      <c r="I171" s="74">
        <f t="shared" si="159"/>
        <v>0</v>
      </c>
      <c r="J171" s="74">
        <f t="shared" si="159"/>
        <v>0</v>
      </c>
      <c r="K171" s="74">
        <f t="shared" si="159"/>
        <v>0</v>
      </c>
      <c r="L171" s="74">
        <f t="shared" si="159"/>
        <v>0</v>
      </c>
      <c r="M171" s="74">
        <f t="shared" si="159"/>
        <v>0</v>
      </c>
      <c r="N171" s="74">
        <f t="shared" si="159"/>
        <v>0</v>
      </c>
      <c r="O171" s="74">
        <f t="shared" si="159"/>
        <v>0</v>
      </c>
      <c r="P171" s="74">
        <f t="shared" si="159"/>
        <v>0</v>
      </c>
      <c r="Q171" s="74">
        <f t="shared" si="159"/>
        <v>0</v>
      </c>
      <c r="R171" s="74">
        <f t="shared" si="159"/>
        <v>0</v>
      </c>
      <c r="S171" s="74">
        <f t="shared" si="159"/>
        <v>0</v>
      </c>
      <c r="T171" s="74">
        <f t="shared" si="159"/>
        <v>0</v>
      </c>
      <c r="U171" s="74">
        <f t="shared" si="159"/>
        <v>0</v>
      </c>
      <c r="V171" s="74">
        <f t="shared" si="159"/>
        <v>0</v>
      </c>
      <c r="W171" s="74">
        <f t="shared" si="159"/>
        <v>0</v>
      </c>
      <c r="X171" s="74">
        <f t="shared" si="159"/>
        <v>0</v>
      </c>
      <c r="Y171" s="74">
        <f t="shared" si="159"/>
        <v>0</v>
      </c>
      <c r="Z171" s="74">
        <f t="shared" si="159"/>
        <v>0</v>
      </c>
      <c r="AA171" s="74">
        <f t="shared" si="159"/>
        <v>0</v>
      </c>
      <c r="AB171" s="74">
        <f t="shared" si="159"/>
        <v>0</v>
      </c>
      <c r="AC171" s="74">
        <f t="shared" si="159"/>
        <v>0</v>
      </c>
      <c r="AD171" s="74">
        <f t="shared" si="159"/>
        <v>0</v>
      </c>
      <c r="AE171" s="74">
        <f>AE169-AE67</f>
        <v>0</v>
      </c>
      <c r="AF171" s="68"/>
      <c r="AG171" s="515">
        <f>SUM(AG169:AG170)</f>
        <v>0</v>
      </c>
    </row>
    <row r="172" spans="2:35" hidden="1">
      <c r="AE172" s="68"/>
      <c r="AF172" s="68"/>
      <c r="AG172" s="63">
        <f>SUM(F172:AF172)</f>
        <v>0</v>
      </c>
    </row>
    <row r="173" spans="2:35" hidden="1">
      <c r="AE173" s="68"/>
      <c r="AF173" s="68"/>
      <c r="AG173" s="518">
        <f>AE80</f>
        <v>0</v>
      </c>
    </row>
    <row r="174" spans="2:35" hidden="1"/>
    <row r="175" spans="2:35" hidden="1"/>
    <row r="176" spans="2:35" hidden="1">
      <c r="F176" s="68">
        <f t="shared" ref="F176:AB176" si="160">IF(F4="BH1",4700*F16*F18/12,0)</f>
        <v>0</v>
      </c>
      <c r="G176" s="68">
        <f t="shared" si="160"/>
        <v>0</v>
      </c>
      <c r="H176" s="68">
        <f t="shared" si="160"/>
        <v>0</v>
      </c>
      <c r="I176" s="68">
        <f t="shared" si="160"/>
        <v>0</v>
      </c>
      <c r="J176" s="68">
        <f t="shared" si="160"/>
        <v>0</v>
      </c>
      <c r="K176" s="68">
        <f t="shared" si="160"/>
        <v>0</v>
      </c>
      <c r="L176" s="68">
        <f t="shared" si="160"/>
        <v>0</v>
      </c>
      <c r="M176" s="68">
        <f t="shared" si="160"/>
        <v>0</v>
      </c>
      <c r="N176" s="68">
        <f t="shared" si="160"/>
        <v>0</v>
      </c>
      <c r="O176" s="68">
        <f t="shared" si="160"/>
        <v>0</v>
      </c>
      <c r="P176" s="68">
        <f t="shared" si="160"/>
        <v>0</v>
      </c>
      <c r="Q176" s="68">
        <f t="shared" si="160"/>
        <v>0</v>
      </c>
      <c r="R176" s="68">
        <f t="shared" si="160"/>
        <v>0</v>
      </c>
      <c r="S176" s="68">
        <f t="shared" si="160"/>
        <v>0</v>
      </c>
      <c r="T176" s="68">
        <f t="shared" si="160"/>
        <v>0</v>
      </c>
      <c r="U176" s="68">
        <f t="shared" si="160"/>
        <v>0</v>
      </c>
      <c r="V176" s="68">
        <f t="shared" si="160"/>
        <v>0</v>
      </c>
      <c r="W176" s="68">
        <f t="shared" si="160"/>
        <v>0</v>
      </c>
      <c r="X176" s="68">
        <f t="shared" si="160"/>
        <v>0</v>
      </c>
      <c r="Y176" s="68">
        <f t="shared" si="160"/>
        <v>0</v>
      </c>
      <c r="Z176" s="68">
        <f t="shared" si="160"/>
        <v>0</v>
      </c>
      <c r="AA176" s="68">
        <f t="shared" si="160"/>
        <v>0</v>
      </c>
      <c r="AB176" s="68">
        <f t="shared" si="160"/>
        <v>0</v>
      </c>
    </row>
    <row r="177" spans="2:28" hidden="1">
      <c r="F177" s="68">
        <f t="shared" ref="F177:AB177" si="161">IF(F4="BH2",4700*F16*F18/12,0)</f>
        <v>0</v>
      </c>
      <c r="G177" s="68">
        <f t="shared" si="161"/>
        <v>0</v>
      </c>
      <c r="H177" s="68">
        <f t="shared" si="161"/>
        <v>0</v>
      </c>
      <c r="I177" s="68">
        <f t="shared" si="161"/>
        <v>0</v>
      </c>
      <c r="J177" s="68">
        <f t="shared" si="161"/>
        <v>0</v>
      </c>
      <c r="K177" s="68">
        <f t="shared" si="161"/>
        <v>0</v>
      </c>
      <c r="L177" s="68">
        <f t="shared" si="161"/>
        <v>0</v>
      </c>
      <c r="M177" s="68">
        <f t="shared" si="161"/>
        <v>0</v>
      </c>
      <c r="N177" s="68">
        <f t="shared" si="161"/>
        <v>0</v>
      </c>
      <c r="O177" s="68">
        <f t="shared" si="161"/>
        <v>0</v>
      </c>
      <c r="P177" s="68">
        <f t="shared" si="161"/>
        <v>0</v>
      </c>
      <c r="Q177" s="68">
        <f t="shared" si="161"/>
        <v>0</v>
      </c>
      <c r="R177" s="68">
        <f t="shared" si="161"/>
        <v>0</v>
      </c>
      <c r="S177" s="68">
        <f t="shared" si="161"/>
        <v>0</v>
      </c>
      <c r="T177" s="68">
        <f t="shared" si="161"/>
        <v>0</v>
      </c>
      <c r="U177" s="68">
        <f t="shared" si="161"/>
        <v>0</v>
      </c>
      <c r="V177" s="68">
        <f t="shared" si="161"/>
        <v>0</v>
      </c>
      <c r="W177" s="68">
        <f t="shared" si="161"/>
        <v>0</v>
      </c>
      <c r="X177" s="68">
        <f t="shared" si="161"/>
        <v>0</v>
      </c>
      <c r="Y177" s="68">
        <f t="shared" si="161"/>
        <v>0</v>
      </c>
      <c r="Z177" s="68">
        <f t="shared" si="161"/>
        <v>0</v>
      </c>
      <c r="AA177" s="68">
        <f t="shared" si="161"/>
        <v>0</v>
      </c>
      <c r="AB177" s="68">
        <f t="shared" si="161"/>
        <v>0</v>
      </c>
    </row>
    <row r="178" spans="2:28" hidden="1">
      <c r="F178" s="68">
        <f t="shared" ref="F178:AB178" si="162">IF(F4="BH3",4700*F16*F18/12,0)</f>
        <v>0</v>
      </c>
      <c r="G178" s="68">
        <f t="shared" si="162"/>
        <v>0</v>
      </c>
      <c r="H178" s="68">
        <f t="shared" si="162"/>
        <v>0</v>
      </c>
      <c r="I178" s="68">
        <f t="shared" si="162"/>
        <v>0</v>
      </c>
      <c r="J178" s="68">
        <f t="shared" si="162"/>
        <v>0</v>
      </c>
      <c r="K178" s="68">
        <f t="shared" si="162"/>
        <v>0</v>
      </c>
      <c r="L178" s="68">
        <f t="shared" si="162"/>
        <v>0</v>
      </c>
      <c r="M178" s="68">
        <f t="shared" si="162"/>
        <v>0</v>
      </c>
      <c r="N178" s="68">
        <f t="shared" si="162"/>
        <v>0</v>
      </c>
      <c r="O178" s="68">
        <f t="shared" si="162"/>
        <v>0</v>
      </c>
      <c r="P178" s="68">
        <f t="shared" si="162"/>
        <v>0</v>
      </c>
      <c r="Q178" s="68">
        <f t="shared" si="162"/>
        <v>0</v>
      </c>
      <c r="R178" s="68">
        <f t="shared" si="162"/>
        <v>0</v>
      </c>
      <c r="S178" s="68">
        <f t="shared" si="162"/>
        <v>0</v>
      </c>
      <c r="T178" s="68">
        <f t="shared" si="162"/>
        <v>0</v>
      </c>
      <c r="U178" s="68">
        <f t="shared" si="162"/>
        <v>0</v>
      </c>
      <c r="V178" s="68">
        <f t="shared" si="162"/>
        <v>0</v>
      </c>
      <c r="W178" s="68">
        <f t="shared" si="162"/>
        <v>0</v>
      </c>
      <c r="X178" s="68">
        <f t="shared" si="162"/>
        <v>0</v>
      </c>
      <c r="Y178" s="68">
        <f t="shared" si="162"/>
        <v>0</v>
      </c>
      <c r="Z178" s="68">
        <f t="shared" si="162"/>
        <v>0</v>
      </c>
      <c r="AA178" s="68">
        <f t="shared" si="162"/>
        <v>0</v>
      </c>
      <c r="AB178" s="68">
        <f t="shared" si="162"/>
        <v>0</v>
      </c>
    </row>
    <row r="179" spans="2:28" hidden="1">
      <c r="F179" s="68">
        <f t="shared" ref="F179:AB179" si="163">IF(F4="BH4",4700*F16*F18/12,0)</f>
        <v>0</v>
      </c>
      <c r="G179" s="68">
        <f t="shared" si="163"/>
        <v>0</v>
      </c>
      <c r="H179" s="68">
        <f t="shared" si="163"/>
        <v>0</v>
      </c>
      <c r="I179" s="68">
        <f t="shared" si="163"/>
        <v>0</v>
      </c>
      <c r="J179" s="68">
        <f t="shared" si="163"/>
        <v>0</v>
      </c>
      <c r="K179" s="68">
        <f t="shared" si="163"/>
        <v>0</v>
      </c>
      <c r="L179" s="68">
        <f t="shared" si="163"/>
        <v>0</v>
      </c>
      <c r="M179" s="68">
        <f t="shared" si="163"/>
        <v>0</v>
      </c>
      <c r="N179" s="68">
        <f t="shared" si="163"/>
        <v>0</v>
      </c>
      <c r="O179" s="68">
        <f t="shared" si="163"/>
        <v>0</v>
      </c>
      <c r="P179" s="68">
        <f t="shared" si="163"/>
        <v>0</v>
      </c>
      <c r="Q179" s="68">
        <f t="shared" si="163"/>
        <v>0</v>
      </c>
      <c r="R179" s="68">
        <f t="shared" si="163"/>
        <v>0</v>
      </c>
      <c r="S179" s="68">
        <f t="shared" si="163"/>
        <v>0</v>
      </c>
      <c r="T179" s="68">
        <f t="shared" si="163"/>
        <v>0</v>
      </c>
      <c r="U179" s="68">
        <f t="shared" si="163"/>
        <v>0</v>
      </c>
      <c r="V179" s="68">
        <f t="shared" si="163"/>
        <v>0</v>
      </c>
      <c r="W179" s="68">
        <f t="shared" si="163"/>
        <v>0</v>
      </c>
      <c r="X179" s="68">
        <f t="shared" si="163"/>
        <v>0</v>
      </c>
      <c r="Y179" s="68">
        <f t="shared" si="163"/>
        <v>0</v>
      </c>
      <c r="Z179" s="68">
        <f t="shared" si="163"/>
        <v>0</v>
      </c>
      <c r="AA179" s="68">
        <f t="shared" si="163"/>
        <v>0</v>
      </c>
      <c r="AB179" s="68">
        <f t="shared" si="163"/>
        <v>0</v>
      </c>
    </row>
    <row r="180" spans="2:28" hidden="1"/>
    <row r="181" spans="2:28" hidden="1"/>
    <row r="182" spans="2:28" hidden="1"/>
    <row r="183" spans="2:28" hidden="1"/>
    <row r="184" spans="2:28" hidden="1"/>
    <row r="185" spans="2:28" hidden="1">
      <c r="B185" s="63" t="s">
        <v>634</v>
      </c>
      <c r="F185" s="68">
        <f t="shared" ref="F185:AB185" si="164">IF(F6&gt;0,900/12*F6*F18*F16,0)</f>
        <v>0</v>
      </c>
      <c r="G185" s="68">
        <f t="shared" si="164"/>
        <v>0</v>
      </c>
      <c r="H185" s="68">
        <f t="shared" si="164"/>
        <v>0</v>
      </c>
      <c r="I185" s="68">
        <f t="shared" si="164"/>
        <v>0</v>
      </c>
      <c r="J185" s="68">
        <f t="shared" si="164"/>
        <v>0</v>
      </c>
      <c r="K185" s="68">
        <f t="shared" si="164"/>
        <v>0</v>
      </c>
      <c r="L185" s="68">
        <f t="shared" si="164"/>
        <v>0</v>
      </c>
      <c r="M185" s="68">
        <f t="shared" si="164"/>
        <v>0</v>
      </c>
      <c r="N185" s="68">
        <f t="shared" si="164"/>
        <v>0</v>
      </c>
      <c r="O185" s="68">
        <f t="shared" si="164"/>
        <v>0</v>
      </c>
      <c r="P185" s="68">
        <f t="shared" si="164"/>
        <v>0</v>
      </c>
      <c r="Q185" s="68">
        <f t="shared" si="164"/>
        <v>0</v>
      </c>
      <c r="R185" s="68">
        <f t="shared" si="164"/>
        <v>0</v>
      </c>
      <c r="S185" s="68">
        <f t="shared" si="164"/>
        <v>0</v>
      </c>
      <c r="T185" s="68">
        <f t="shared" si="164"/>
        <v>0</v>
      </c>
      <c r="U185" s="68">
        <f t="shared" si="164"/>
        <v>0</v>
      </c>
      <c r="V185" s="68">
        <f t="shared" si="164"/>
        <v>0</v>
      </c>
      <c r="W185" s="68">
        <f t="shared" si="164"/>
        <v>0</v>
      </c>
      <c r="X185" s="68">
        <f t="shared" si="164"/>
        <v>0</v>
      </c>
      <c r="Y185" s="68">
        <f t="shared" si="164"/>
        <v>0</v>
      </c>
      <c r="Z185" s="68">
        <f t="shared" si="164"/>
        <v>0</v>
      </c>
      <c r="AA185" s="68">
        <f t="shared" si="164"/>
        <v>0</v>
      </c>
      <c r="AB185" s="68">
        <f t="shared" si="164"/>
        <v>0</v>
      </c>
    </row>
    <row r="186" spans="2:28" hidden="1">
      <c r="B186" s="63" t="s">
        <v>635</v>
      </c>
      <c r="F186" s="68">
        <f t="shared" ref="F186:AB186" si="165">IF((F7+F8)&gt;0,(F7+F8)*4100/12*F18*F16,0)</f>
        <v>0</v>
      </c>
      <c r="G186" s="68">
        <f t="shared" si="165"/>
        <v>0</v>
      </c>
      <c r="H186" s="68">
        <f t="shared" si="165"/>
        <v>0</v>
      </c>
      <c r="I186" s="68">
        <f t="shared" si="165"/>
        <v>0</v>
      </c>
      <c r="J186" s="68">
        <f t="shared" si="165"/>
        <v>0</v>
      </c>
      <c r="K186" s="68">
        <f t="shared" si="165"/>
        <v>0</v>
      </c>
      <c r="L186" s="68">
        <f t="shared" si="165"/>
        <v>0</v>
      </c>
      <c r="M186" s="68">
        <f t="shared" si="165"/>
        <v>0</v>
      </c>
      <c r="N186" s="68">
        <f t="shared" si="165"/>
        <v>0</v>
      </c>
      <c r="O186" s="68">
        <f t="shared" si="165"/>
        <v>0</v>
      </c>
      <c r="P186" s="68">
        <f t="shared" si="165"/>
        <v>0</v>
      </c>
      <c r="Q186" s="68">
        <f t="shared" si="165"/>
        <v>0</v>
      </c>
      <c r="R186" s="68">
        <f t="shared" si="165"/>
        <v>0</v>
      </c>
      <c r="S186" s="68">
        <f t="shared" si="165"/>
        <v>0</v>
      </c>
      <c r="T186" s="68">
        <f t="shared" si="165"/>
        <v>0</v>
      </c>
      <c r="U186" s="68">
        <f t="shared" si="165"/>
        <v>0</v>
      </c>
      <c r="V186" s="68">
        <f t="shared" si="165"/>
        <v>0</v>
      </c>
      <c r="W186" s="68">
        <f t="shared" si="165"/>
        <v>0</v>
      </c>
      <c r="X186" s="68">
        <f t="shared" si="165"/>
        <v>0</v>
      </c>
      <c r="Y186" s="68">
        <f t="shared" si="165"/>
        <v>0</v>
      </c>
      <c r="Z186" s="68">
        <f t="shared" si="165"/>
        <v>0</v>
      </c>
      <c r="AA186" s="68">
        <f t="shared" si="165"/>
        <v>0</v>
      </c>
      <c r="AB186" s="68">
        <f t="shared" si="165"/>
        <v>0</v>
      </c>
    </row>
    <row r="187" spans="2:28" hidden="1">
      <c r="B187" s="63" t="s">
        <v>636</v>
      </c>
      <c r="F187" s="68">
        <f t="shared" ref="F187:AB187" si="166">IF(F9&gt;0,(F185+F186)/F9,0)</f>
        <v>0</v>
      </c>
      <c r="G187" s="68">
        <f t="shared" si="166"/>
        <v>0</v>
      </c>
      <c r="H187" s="68">
        <f t="shared" si="166"/>
        <v>0</v>
      </c>
      <c r="I187" s="68">
        <f t="shared" si="166"/>
        <v>0</v>
      </c>
      <c r="J187" s="68">
        <f t="shared" si="166"/>
        <v>0</v>
      </c>
      <c r="K187" s="68">
        <f t="shared" si="166"/>
        <v>0</v>
      </c>
      <c r="L187" s="68">
        <f t="shared" si="166"/>
        <v>0</v>
      </c>
      <c r="M187" s="68">
        <f t="shared" si="166"/>
        <v>0</v>
      </c>
      <c r="N187" s="68">
        <f t="shared" si="166"/>
        <v>0</v>
      </c>
      <c r="O187" s="68">
        <f t="shared" si="166"/>
        <v>0</v>
      </c>
      <c r="P187" s="68">
        <f t="shared" si="166"/>
        <v>0</v>
      </c>
      <c r="Q187" s="68">
        <f t="shared" si="166"/>
        <v>0</v>
      </c>
      <c r="R187" s="68">
        <f t="shared" si="166"/>
        <v>0</v>
      </c>
      <c r="S187" s="68">
        <f t="shared" si="166"/>
        <v>0</v>
      </c>
      <c r="T187" s="68">
        <f t="shared" si="166"/>
        <v>0</v>
      </c>
      <c r="U187" s="68">
        <f t="shared" si="166"/>
        <v>0</v>
      </c>
      <c r="V187" s="68">
        <f t="shared" si="166"/>
        <v>0</v>
      </c>
      <c r="W187" s="68">
        <f t="shared" si="166"/>
        <v>0</v>
      </c>
      <c r="X187" s="68">
        <f t="shared" si="166"/>
        <v>0</v>
      </c>
      <c r="Y187" s="68">
        <f t="shared" si="166"/>
        <v>0</v>
      </c>
      <c r="Z187" s="68">
        <f t="shared" si="166"/>
        <v>0</v>
      </c>
      <c r="AA187" s="68">
        <f t="shared" si="166"/>
        <v>0</v>
      </c>
      <c r="AB187" s="68">
        <f t="shared" si="166"/>
        <v>0</v>
      </c>
    </row>
    <row r="188" spans="2:28" hidden="1"/>
    <row r="189" spans="2:28" hidden="1">
      <c r="B189" s="63" t="s">
        <v>637</v>
      </c>
      <c r="F189" s="68">
        <f>IF(F6&gt;0,4100/12*F18*F6,0)</f>
        <v>0</v>
      </c>
      <c r="G189" s="68">
        <f t="shared" ref="G189:AB189" si="167">IF(G6&gt;0,4100/12*G18*G6,0)</f>
        <v>0</v>
      </c>
      <c r="H189" s="68">
        <f t="shared" si="167"/>
        <v>0</v>
      </c>
      <c r="I189" s="68">
        <f t="shared" si="167"/>
        <v>0</v>
      </c>
      <c r="J189" s="68">
        <f t="shared" si="167"/>
        <v>0</v>
      </c>
      <c r="K189" s="68">
        <f t="shared" si="167"/>
        <v>0</v>
      </c>
      <c r="L189" s="68">
        <f t="shared" si="167"/>
        <v>0</v>
      </c>
      <c r="M189" s="68">
        <f t="shared" si="167"/>
        <v>0</v>
      </c>
      <c r="N189" s="68">
        <f t="shared" si="167"/>
        <v>0</v>
      </c>
      <c r="O189" s="68">
        <f t="shared" si="167"/>
        <v>0</v>
      </c>
      <c r="P189" s="68">
        <f t="shared" si="167"/>
        <v>0</v>
      </c>
      <c r="Q189" s="68">
        <f t="shared" si="167"/>
        <v>0</v>
      </c>
      <c r="R189" s="68">
        <f t="shared" si="167"/>
        <v>0</v>
      </c>
      <c r="S189" s="68">
        <f t="shared" si="167"/>
        <v>0</v>
      </c>
      <c r="T189" s="68">
        <f t="shared" si="167"/>
        <v>0</v>
      </c>
      <c r="U189" s="68">
        <f t="shared" si="167"/>
        <v>0</v>
      </c>
      <c r="V189" s="68">
        <f t="shared" si="167"/>
        <v>0</v>
      </c>
      <c r="W189" s="68">
        <f t="shared" si="167"/>
        <v>0</v>
      </c>
      <c r="X189" s="68">
        <f t="shared" si="167"/>
        <v>0</v>
      </c>
      <c r="Y189" s="68">
        <f t="shared" si="167"/>
        <v>0</v>
      </c>
      <c r="Z189" s="68">
        <f t="shared" si="167"/>
        <v>0</v>
      </c>
      <c r="AA189" s="68">
        <f t="shared" si="167"/>
        <v>0</v>
      </c>
      <c r="AB189" s="68">
        <f t="shared" si="167"/>
        <v>0</v>
      </c>
    </row>
    <row r="190" spans="2:28" hidden="1">
      <c r="B190" s="63" t="s">
        <v>638</v>
      </c>
      <c r="F190" s="68">
        <f>F189-F185</f>
        <v>0</v>
      </c>
      <c r="G190" s="68">
        <f t="shared" ref="G190:AB190" si="168">G189-G185</f>
        <v>0</v>
      </c>
      <c r="H190" s="68">
        <f t="shared" si="168"/>
        <v>0</v>
      </c>
      <c r="I190" s="68">
        <f t="shared" si="168"/>
        <v>0</v>
      </c>
      <c r="J190" s="68">
        <f t="shared" si="168"/>
        <v>0</v>
      </c>
      <c r="K190" s="68">
        <f t="shared" si="168"/>
        <v>0</v>
      </c>
      <c r="L190" s="68">
        <f t="shared" si="168"/>
        <v>0</v>
      </c>
      <c r="M190" s="68">
        <f t="shared" si="168"/>
        <v>0</v>
      </c>
      <c r="N190" s="68">
        <f t="shared" si="168"/>
        <v>0</v>
      </c>
      <c r="O190" s="68">
        <f t="shared" si="168"/>
        <v>0</v>
      </c>
      <c r="P190" s="68">
        <f t="shared" si="168"/>
        <v>0</v>
      </c>
      <c r="Q190" s="68">
        <f t="shared" si="168"/>
        <v>0</v>
      </c>
      <c r="R190" s="68">
        <f t="shared" si="168"/>
        <v>0</v>
      </c>
      <c r="S190" s="68">
        <f t="shared" si="168"/>
        <v>0</v>
      </c>
      <c r="T190" s="68">
        <f t="shared" si="168"/>
        <v>0</v>
      </c>
      <c r="U190" s="68">
        <f t="shared" si="168"/>
        <v>0</v>
      </c>
      <c r="V190" s="68">
        <f t="shared" si="168"/>
        <v>0</v>
      </c>
      <c r="W190" s="68">
        <f t="shared" si="168"/>
        <v>0</v>
      </c>
      <c r="X190" s="68">
        <f t="shared" si="168"/>
        <v>0</v>
      </c>
      <c r="Y190" s="68">
        <f t="shared" si="168"/>
        <v>0</v>
      </c>
      <c r="Z190" s="68">
        <f t="shared" si="168"/>
        <v>0</v>
      </c>
      <c r="AA190" s="68">
        <f t="shared" si="168"/>
        <v>0</v>
      </c>
      <c r="AB190" s="68">
        <f t="shared" si="168"/>
        <v>0</v>
      </c>
    </row>
    <row r="191" spans="2:28" hidden="1">
      <c r="B191" s="63" t="s">
        <v>639</v>
      </c>
      <c r="F191" s="68">
        <f>F190*17.3%+F190</f>
        <v>0</v>
      </c>
      <c r="G191" s="68">
        <f t="shared" ref="G191:AB191" si="169">G190*17.3%+G190</f>
        <v>0</v>
      </c>
      <c r="H191" s="68">
        <f t="shared" si="169"/>
        <v>0</v>
      </c>
      <c r="I191" s="68">
        <f t="shared" si="169"/>
        <v>0</v>
      </c>
      <c r="J191" s="68">
        <f t="shared" si="169"/>
        <v>0</v>
      </c>
      <c r="K191" s="68">
        <f t="shared" si="169"/>
        <v>0</v>
      </c>
      <c r="L191" s="68">
        <f t="shared" si="169"/>
        <v>0</v>
      </c>
      <c r="M191" s="68">
        <f t="shared" si="169"/>
        <v>0</v>
      </c>
      <c r="N191" s="68">
        <f t="shared" si="169"/>
        <v>0</v>
      </c>
      <c r="O191" s="68">
        <f t="shared" si="169"/>
        <v>0</v>
      </c>
      <c r="P191" s="68">
        <f t="shared" si="169"/>
        <v>0</v>
      </c>
      <c r="Q191" s="68">
        <f t="shared" si="169"/>
        <v>0</v>
      </c>
      <c r="R191" s="68">
        <f t="shared" si="169"/>
        <v>0</v>
      </c>
      <c r="S191" s="68">
        <f t="shared" si="169"/>
        <v>0</v>
      </c>
      <c r="T191" s="68">
        <f t="shared" si="169"/>
        <v>0</v>
      </c>
      <c r="U191" s="68">
        <f t="shared" si="169"/>
        <v>0</v>
      </c>
      <c r="V191" s="68">
        <f t="shared" si="169"/>
        <v>0</v>
      </c>
      <c r="W191" s="68">
        <f t="shared" si="169"/>
        <v>0</v>
      </c>
      <c r="X191" s="68">
        <f t="shared" si="169"/>
        <v>0</v>
      </c>
      <c r="Y191" s="68">
        <f t="shared" si="169"/>
        <v>0</v>
      </c>
      <c r="Z191" s="68">
        <f t="shared" si="169"/>
        <v>0</v>
      </c>
      <c r="AA191" s="68">
        <f t="shared" si="169"/>
        <v>0</v>
      </c>
      <c r="AB191" s="68">
        <f t="shared" si="169"/>
        <v>0</v>
      </c>
    </row>
    <row r="192" spans="2:28"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sheetData>
  <sheetProtection sheet="1" formatCells="0" formatColumns="0" formatRows="0" insertColumns="0"/>
  <mergeCells count="83">
    <mergeCell ref="A13:B13"/>
    <mergeCell ref="A14:B14"/>
    <mergeCell ref="A39:B39"/>
    <mergeCell ref="A40:B40"/>
    <mergeCell ref="A41:B41"/>
    <mergeCell ref="A34:B34"/>
    <mergeCell ref="A35:B35"/>
    <mergeCell ref="A36:B36"/>
    <mergeCell ref="A37:B37"/>
    <mergeCell ref="A38:B38"/>
    <mergeCell ref="A19:B19"/>
    <mergeCell ref="A22:B22"/>
    <mergeCell ref="A95:A96"/>
    <mergeCell ref="A74:B74"/>
    <mergeCell ref="A75:B75"/>
    <mergeCell ref="A76:B76"/>
    <mergeCell ref="A78:B78"/>
    <mergeCell ref="A79:B79"/>
    <mergeCell ref="A80:B80"/>
    <mergeCell ref="A81:B81"/>
    <mergeCell ref="A85:AD85"/>
    <mergeCell ref="A93:A94"/>
    <mergeCell ref="A86:B86"/>
    <mergeCell ref="A91:A92"/>
    <mergeCell ref="A2:B2"/>
    <mergeCell ref="A72:AD72"/>
    <mergeCell ref="A4:B4"/>
    <mergeCell ref="A5:B5"/>
    <mergeCell ref="A6:B6"/>
    <mergeCell ref="A8:B8"/>
    <mergeCell ref="A9:B9"/>
    <mergeCell ref="A3:B3"/>
    <mergeCell ref="A10:B10"/>
    <mergeCell ref="A11:B11"/>
    <mergeCell ref="A15:B15"/>
    <mergeCell ref="A16:B16"/>
    <mergeCell ref="A17:B17"/>
    <mergeCell ref="A18:B18"/>
    <mergeCell ref="A20:B20"/>
    <mergeCell ref="A43:B43"/>
    <mergeCell ref="AG45:AH45"/>
    <mergeCell ref="AG46:AH46"/>
    <mergeCell ref="A84:AE84"/>
    <mergeCell ref="A51:B51"/>
    <mergeCell ref="A53:B53"/>
    <mergeCell ref="A54:B54"/>
    <mergeCell ref="A55:B55"/>
    <mergeCell ref="A52:B52"/>
    <mergeCell ref="A68:B68"/>
    <mergeCell ref="A66:B66"/>
    <mergeCell ref="A67:B67"/>
    <mergeCell ref="A56:B56"/>
    <mergeCell ref="A57:B57"/>
    <mergeCell ref="A58:B58"/>
    <mergeCell ref="A61:B61"/>
    <mergeCell ref="A45:B45"/>
    <mergeCell ref="A46:B46"/>
    <mergeCell ref="A48:B48"/>
    <mergeCell ref="A50:B50"/>
    <mergeCell ref="A73:B73"/>
    <mergeCell ref="A64:B64"/>
    <mergeCell ref="A63:B63"/>
    <mergeCell ref="A65:B65"/>
    <mergeCell ref="A59:B59"/>
    <mergeCell ref="A60:B60"/>
    <mergeCell ref="A62:B62"/>
    <mergeCell ref="A70:B70"/>
    <mergeCell ref="A12:B12"/>
    <mergeCell ref="A49:B49"/>
    <mergeCell ref="A47:B47"/>
    <mergeCell ref="A21:B21"/>
    <mergeCell ref="A23:B23"/>
    <mergeCell ref="A24:B24"/>
    <mergeCell ref="A25:B25"/>
    <mergeCell ref="A26:B26"/>
    <mergeCell ref="A27:B27"/>
    <mergeCell ref="A28:B28"/>
    <mergeCell ref="A29:B29"/>
    <mergeCell ref="A30:B30"/>
    <mergeCell ref="A31:B31"/>
    <mergeCell ref="A32:B32"/>
    <mergeCell ref="A33:B33"/>
    <mergeCell ref="A44:B44"/>
  </mergeCells>
  <phoneticPr fontId="55" type="noConversion"/>
  <conditionalFormatting sqref="C19:AB19">
    <cfRule type="expression" dxfId="57" priority="1">
      <formula>OR(C12="Ja",)</formula>
    </cfRule>
  </conditionalFormatting>
  <dataValidations count="13">
    <dataValidation type="decimal" allowBlank="1" showInputMessage="1" showErrorMessage="1" sqref="F18:G18 C19:AB19" xr:uid="{00000000-0002-0000-0700-000002000000}">
      <formula1>0</formula1>
      <formula2>42/37</formula2>
    </dataValidation>
    <dataValidation type="decimal" allowBlank="1" showInputMessage="1" showErrorMessage="1" sqref="C18:E18" xr:uid="{00000000-0002-0000-0700-000003000000}">
      <formula1>0.5</formula1>
      <formula2>1</formula2>
    </dataValidation>
    <dataValidation type="decimal" allowBlank="1" showInputMessage="1" showErrorMessage="1" sqref="AC21:AD23 AC25:AD26 AC44:AD44 AC58:AD60 F20:AD20 AC62:AD66 AC34:AD42" xr:uid="{00000000-0002-0000-0700-000004000000}">
      <formula1>0</formula1>
      <formula2>900</formula2>
    </dataValidation>
    <dataValidation type="decimal" allowBlank="1" showInputMessage="1" showErrorMessage="1" sqref="H81 H74:H79 I74:AD81 C83:AD83 C74:G81" xr:uid="{00000000-0002-0000-0700-000005000000}">
      <formula1>-500000</formula1>
      <formula2>-1</formula2>
    </dataValidation>
    <dataValidation allowBlank="1" showInputMessage="1" showErrorMessage="1" promptTitle="OBS" prompt="Timelønnen tastes i 12 kr." sqref="AC4:AD4" xr:uid="{00000000-0002-0000-0700-000007000000}"/>
    <dataValidation type="list" allowBlank="1" showInputMessage="1" showErrorMessage="1" sqref="AC15:AD15" xr:uid="{00000000-0002-0000-0700-000008000000}">
      <formula1>$AF$16:$AF$17</formula1>
    </dataValidation>
    <dataValidation type="list" allowBlank="1" showInputMessage="1" showErrorMessage="1" sqref="E4" xr:uid="{00000000-0002-0000-0700-000009000000}">
      <formula1>$AE$5:$AE$6</formula1>
    </dataValidation>
    <dataValidation type="decimal" allowBlank="1" showInputMessage="1" showErrorMessage="1" sqref="H80" xr:uid="{00000000-0002-0000-0700-00000C000000}">
      <formula1>-600000</formula1>
      <formula2>-1</formula2>
    </dataValidation>
    <dataValidation allowBlank="1" showInputMessage="1" showErrorMessage="1" promptTitle="OBS" prompt="Er den ansatte under flexrefusion, skrives her refusionssatsen. Dette bruges til korrekt udregning af feriepengeforpligtigelse." sqref="C94:AD94 C86:AD86 C96:AD96" xr:uid="{00000000-0002-0000-0700-00000A000000}"/>
    <dataValidation type="list" allowBlank="1" showInputMessage="1" showErrorMessage="1" sqref="AC11:AD12 C11:AB11" xr:uid="{00000000-0002-0000-0700-00000B000000}">
      <formula1>$AF$10:$AF$11</formula1>
    </dataValidation>
    <dataValidation type="decimal" allowBlank="1" showInputMessage="1" showErrorMessage="1" sqref="C6:AD6" xr:uid="{1C8B2674-F48A-8D47-B01E-5873123ED466}">
      <formula1>0</formula1>
      <formula2>3</formula2>
    </dataValidation>
    <dataValidation type="decimal" allowBlank="1" showInputMessage="1" showErrorMessage="1" sqref="C7:AD7" xr:uid="{C03E07B0-D004-EC4E-A9C8-99335E7C0467}">
      <formula1>0</formula1>
      <formula2>4</formula2>
    </dataValidation>
    <dataValidation type="decimal" allowBlank="1" showInputMessage="1" showErrorMessage="1" sqref="C8:AD8" xr:uid="{DFCB6B78-B60A-214C-BF39-03D445F5D63E}">
      <formula1>0</formula1>
      <formula2>5</formula2>
    </dataValidation>
  </dataValidations>
  <pageMargins left="0.35" right="0.35" top="0.59" bottom="0.59" header="0.31" footer="0.31"/>
  <pageSetup paperSize="9" scale="17" fitToHeight="0" orientation="portrait" r:id="rId1"/>
  <headerFooter alignWithMargins="0">
    <oddHeader>&amp;C&amp;"Helvetica,Fed"&amp;12Lærerløn</oddHeader>
    <oddFooter>&amp;L&amp;G&amp;R
&amp;D
&amp;A</oddFooter>
  </headerFooter>
  <rowBreaks count="1" manualBreakCount="1">
    <brk id="72" max="26" man="1"/>
  </rowBreaks>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D000000}">
          <x14:formula1>
            <xm:f>Grundlon!$A$63:$A$70</xm:f>
          </x14:formula1>
          <xm:sqref>F4:AB4</xm:sqref>
        </x14:dataValidation>
        <x14:dataValidation type="list" allowBlank="1" showInputMessage="1" showErrorMessage="1" xr:uid="{00000000-0002-0000-0800-00000E000000}">
          <x14:formula1>
            <xm:f>Grundlon!$A$90:$A$116</xm:f>
          </x14:formula1>
          <xm:sqref>F15:AB15</xm:sqref>
        </x14:dataValidation>
        <x14:dataValidation type="list" allowBlank="1" showInputMessage="1" showErrorMessage="1" xr:uid="{00000000-0002-0000-0800-00000F000000}">
          <x14:formula1>
            <xm:f>Grundlon!$C$90:$C$104</xm:f>
          </x14:formula1>
          <xm:sqref>E15</xm:sqref>
        </x14:dataValidation>
        <x14:dataValidation type="list" allowBlank="1" showInputMessage="1" showErrorMessage="1" xr:uid="{00000000-0002-0000-0800-000010000000}">
          <x14:formula1>
            <xm:f>Grundlon!$B$90:$B$91</xm:f>
          </x14:formula1>
          <xm:sqref>F39:AB41 C12:AB14 C39:E39</xm:sqref>
        </x14:dataValidation>
        <x14:dataValidation type="list" allowBlank="1" showInputMessage="1" showErrorMessage="1" xr:uid="{00000000-0002-0000-0800-000011000000}">
          <x14:formula1>
            <xm:f>Grundlon!$C$90:$C$105</xm:f>
          </x14:formula1>
          <xm:sqref>C15:D15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tabColor rgb="FFFF0000"/>
    <pageSetUpPr fitToPage="1"/>
  </sheetPr>
  <dimension ref="A2:EK212"/>
  <sheetViews>
    <sheetView zoomScale="110" zoomScaleNormal="100" zoomScaleSheetLayoutView="167" workbookViewId="0">
      <pane xSplit="2" ySplit="6" topLeftCell="C7" activePane="bottomRight" state="frozen"/>
      <selection pane="topRight" activeCell="A40" sqref="A40:B40"/>
      <selection pane="bottomLeft" activeCell="A40" sqref="A40:B40"/>
      <selection pane="bottomRight" activeCell="CP73" sqref="CP73"/>
    </sheetView>
  </sheetViews>
  <sheetFormatPr baseColWidth="10" defaultColWidth="20.83203125" defaultRowHeight="13"/>
  <cols>
    <col min="1" max="1" width="3.5" style="66" customWidth="1"/>
    <col min="2" max="2" width="76.1640625" style="63" customWidth="1"/>
    <col min="3" max="3" width="16" style="68" customWidth="1"/>
    <col min="4" max="4" width="12.1640625" style="68" customWidth="1"/>
    <col min="5" max="108" width="11.5" style="68" customWidth="1"/>
    <col min="109" max="109" width="28.1640625" style="63" bestFit="1" customWidth="1"/>
    <col min="110" max="110" width="15.5" style="63" customWidth="1"/>
    <col min="111" max="113" width="20.83203125" style="63"/>
    <col min="114" max="114" width="18.5" style="63" customWidth="1"/>
    <col min="115" max="115" width="10.83203125" style="63" customWidth="1"/>
    <col min="116" max="116" width="13.83203125" style="63" customWidth="1"/>
    <col min="117" max="117" width="18.5" style="63" customWidth="1"/>
    <col min="118" max="118" width="10.83203125" style="63" customWidth="1"/>
    <col min="119" max="119" width="13" style="63" customWidth="1"/>
    <col min="120" max="120" width="18.1640625" style="63" customWidth="1"/>
    <col min="121" max="121" width="10.83203125" style="63" customWidth="1"/>
    <col min="122" max="122" width="13.83203125" style="63" customWidth="1"/>
    <col min="123" max="123" width="18.5" style="63" customWidth="1"/>
    <col min="124" max="124" width="10.5" style="63" customWidth="1"/>
    <col min="125" max="125" width="13.83203125" style="63" customWidth="1"/>
    <col min="126" max="126" width="18.5" style="63" customWidth="1"/>
    <col min="127" max="127" width="11" style="63" customWidth="1"/>
    <col min="128" max="128" width="14" style="63" customWidth="1"/>
    <col min="129" max="129" width="18.5" style="63" customWidth="1"/>
    <col min="130" max="130" width="10.83203125" style="63" customWidth="1"/>
    <col min="131" max="131" width="13.83203125" style="63" customWidth="1"/>
    <col min="132" max="353" width="20.83203125" style="63"/>
    <col min="354" max="354" width="2.5" style="63" customWidth="1"/>
    <col min="355" max="355" width="30.5" style="63" customWidth="1"/>
    <col min="356" max="365" width="10" style="63" customWidth="1"/>
    <col min="366" max="366" width="28.1640625" style="63" bestFit="1" customWidth="1"/>
    <col min="367" max="367" width="7.5" style="63" customWidth="1"/>
    <col min="368" max="609" width="20.83203125" style="63"/>
    <col min="610" max="610" width="2.5" style="63" customWidth="1"/>
    <col min="611" max="611" width="30.5" style="63" customWidth="1"/>
    <col min="612" max="621" width="10" style="63" customWidth="1"/>
    <col min="622" max="622" width="28.1640625" style="63" bestFit="1" customWidth="1"/>
    <col min="623" max="623" width="7.5" style="63" customWidth="1"/>
    <col min="624" max="865" width="20.83203125" style="63"/>
    <col min="866" max="866" width="2.5" style="63" customWidth="1"/>
    <col min="867" max="867" width="30.5" style="63" customWidth="1"/>
    <col min="868" max="877" width="10" style="63" customWidth="1"/>
    <col min="878" max="878" width="28.1640625" style="63" bestFit="1" customWidth="1"/>
    <col min="879" max="879" width="7.5" style="63" customWidth="1"/>
    <col min="880" max="1121" width="20.83203125" style="63"/>
    <col min="1122" max="1122" width="2.5" style="63" customWidth="1"/>
    <col min="1123" max="1123" width="30.5" style="63" customWidth="1"/>
    <col min="1124" max="1133" width="10" style="63" customWidth="1"/>
    <col min="1134" max="1134" width="28.1640625" style="63" bestFit="1" customWidth="1"/>
    <col min="1135" max="1135" width="7.5" style="63" customWidth="1"/>
    <col min="1136" max="1377" width="20.83203125" style="63"/>
    <col min="1378" max="1378" width="2.5" style="63" customWidth="1"/>
    <col min="1379" max="1379" width="30.5" style="63" customWidth="1"/>
    <col min="1380" max="1389" width="10" style="63" customWidth="1"/>
    <col min="1390" max="1390" width="28.1640625" style="63" bestFit="1" customWidth="1"/>
    <col min="1391" max="1391" width="7.5" style="63" customWidth="1"/>
    <col min="1392" max="1633" width="20.83203125" style="63"/>
    <col min="1634" max="1634" width="2.5" style="63" customWidth="1"/>
    <col min="1635" max="1635" width="30.5" style="63" customWidth="1"/>
    <col min="1636" max="1645" width="10" style="63" customWidth="1"/>
    <col min="1646" max="1646" width="28.1640625" style="63" bestFit="1" customWidth="1"/>
    <col min="1647" max="1647" width="7.5" style="63" customWidth="1"/>
    <col min="1648" max="1889" width="20.83203125" style="63"/>
    <col min="1890" max="1890" width="2.5" style="63" customWidth="1"/>
    <col min="1891" max="1891" width="30.5" style="63" customWidth="1"/>
    <col min="1892" max="1901" width="10" style="63" customWidth="1"/>
    <col min="1902" max="1902" width="28.1640625" style="63" bestFit="1" customWidth="1"/>
    <col min="1903" max="1903" width="7.5" style="63" customWidth="1"/>
    <col min="1904" max="2145" width="20.83203125" style="63"/>
    <col min="2146" max="2146" width="2.5" style="63" customWidth="1"/>
    <col min="2147" max="2147" width="30.5" style="63" customWidth="1"/>
    <col min="2148" max="2157" width="10" style="63" customWidth="1"/>
    <col min="2158" max="2158" width="28.1640625" style="63" bestFit="1" customWidth="1"/>
    <col min="2159" max="2159" width="7.5" style="63" customWidth="1"/>
    <col min="2160" max="2401" width="20.83203125" style="63"/>
    <col min="2402" max="2402" width="2.5" style="63" customWidth="1"/>
    <col min="2403" max="2403" width="30.5" style="63" customWidth="1"/>
    <col min="2404" max="2413" width="10" style="63" customWidth="1"/>
    <col min="2414" max="2414" width="28.1640625" style="63" bestFit="1" customWidth="1"/>
    <col min="2415" max="2415" width="7.5" style="63" customWidth="1"/>
    <col min="2416" max="2657" width="20.83203125" style="63"/>
    <col min="2658" max="2658" width="2.5" style="63" customWidth="1"/>
    <col min="2659" max="2659" width="30.5" style="63" customWidth="1"/>
    <col min="2660" max="2669" width="10" style="63" customWidth="1"/>
    <col min="2670" max="2670" width="28.1640625" style="63" bestFit="1" customWidth="1"/>
    <col min="2671" max="2671" width="7.5" style="63" customWidth="1"/>
    <col min="2672" max="2913" width="20.83203125" style="63"/>
    <col min="2914" max="2914" width="2.5" style="63" customWidth="1"/>
    <col min="2915" max="2915" width="30.5" style="63" customWidth="1"/>
    <col min="2916" max="2925" width="10" style="63" customWidth="1"/>
    <col min="2926" max="2926" width="28.1640625" style="63" bestFit="1" customWidth="1"/>
    <col min="2927" max="2927" width="7.5" style="63" customWidth="1"/>
    <col min="2928" max="3169" width="20.83203125" style="63"/>
    <col min="3170" max="3170" width="2.5" style="63" customWidth="1"/>
    <col min="3171" max="3171" width="30.5" style="63" customWidth="1"/>
    <col min="3172" max="3181" width="10" style="63" customWidth="1"/>
    <col min="3182" max="3182" width="28.1640625" style="63" bestFit="1" customWidth="1"/>
    <col min="3183" max="3183" width="7.5" style="63" customWidth="1"/>
    <col min="3184" max="3425" width="20.83203125" style="63"/>
    <col min="3426" max="3426" width="2.5" style="63" customWidth="1"/>
    <col min="3427" max="3427" width="30.5" style="63" customWidth="1"/>
    <col min="3428" max="3437" width="10" style="63" customWidth="1"/>
    <col min="3438" max="3438" width="28.1640625" style="63" bestFit="1" customWidth="1"/>
    <col min="3439" max="3439" width="7.5" style="63" customWidth="1"/>
    <col min="3440" max="3681" width="20.83203125" style="63"/>
    <col min="3682" max="3682" width="2.5" style="63" customWidth="1"/>
    <col min="3683" max="3683" width="30.5" style="63" customWidth="1"/>
    <col min="3684" max="3693" width="10" style="63" customWidth="1"/>
    <col min="3694" max="3694" width="28.1640625" style="63" bestFit="1" customWidth="1"/>
    <col min="3695" max="3695" width="7.5" style="63" customWidth="1"/>
    <col min="3696" max="3937" width="20.83203125" style="63"/>
    <col min="3938" max="3938" width="2.5" style="63" customWidth="1"/>
    <col min="3939" max="3939" width="30.5" style="63" customWidth="1"/>
    <col min="3940" max="3949" width="10" style="63" customWidth="1"/>
    <col min="3950" max="3950" width="28.1640625" style="63" bestFit="1" customWidth="1"/>
    <col min="3951" max="3951" width="7.5" style="63" customWidth="1"/>
    <col min="3952" max="4193" width="20.83203125" style="63"/>
    <col min="4194" max="4194" width="2.5" style="63" customWidth="1"/>
    <col min="4195" max="4195" width="30.5" style="63" customWidth="1"/>
    <col min="4196" max="4205" width="10" style="63" customWidth="1"/>
    <col min="4206" max="4206" width="28.1640625" style="63" bestFit="1" customWidth="1"/>
    <col min="4207" max="4207" width="7.5" style="63" customWidth="1"/>
    <col min="4208" max="4449" width="20.83203125" style="63"/>
    <col min="4450" max="4450" width="2.5" style="63" customWidth="1"/>
    <col min="4451" max="4451" width="30.5" style="63" customWidth="1"/>
    <col min="4452" max="4461" width="10" style="63" customWidth="1"/>
    <col min="4462" max="4462" width="28.1640625" style="63" bestFit="1" customWidth="1"/>
    <col min="4463" max="4463" width="7.5" style="63" customWidth="1"/>
    <col min="4464" max="4705" width="20.83203125" style="63"/>
    <col min="4706" max="4706" width="2.5" style="63" customWidth="1"/>
    <col min="4707" max="4707" width="30.5" style="63" customWidth="1"/>
    <col min="4708" max="4717" width="10" style="63" customWidth="1"/>
    <col min="4718" max="4718" width="28.1640625" style="63" bestFit="1" customWidth="1"/>
    <col min="4719" max="4719" width="7.5" style="63" customWidth="1"/>
    <col min="4720" max="4961" width="20.83203125" style="63"/>
    <col min="4962" max="4962" width="2.5" style="63" customWidth="1"/>
    <col min="4963" max="4963" width="30.5" style="63" customWidth="1"/>
    <col min="4964" max="4973" width="10" style="63" customWidth="1"/>
    <col min="4974" max="4974" width="28.1640625" style="63" bestFit="1" customWidth="1"/>
    <col min="4975" max="4975" width="7.5" style="63" customWidth="1"/>
    <col min="4976" max="5217" width="20.83203125" style="63"/>
    <col min="5218" max="5218" width="2.5" style="63" customWidth="1"/>
    <col min="5219" max="5219" width="30.5" style="63" customWidth="1"/>
    <col min="5220" max="5229" width="10" style="63" customWidth="1"/>
    <col min="5230" max="5230" width="28.1640625" style="63" bestFit="1" customWidth="1"/>
    <col min="5231" max="5231" width="7.5" style="63" customWidth="1"/>
    <col min="5232" max="5473" width="20.83203125" style="63"/>
    <col min="5474" max="5474" width="2.5" style="63" customWidth="1"/>
    <col min="5475" max="5475" width="30.5" style="63" customWidth="1"/>
    <col min="5476" max="5485" width="10" style="63" customWidth="1"/>
    <col min="5486" max="5486" width="28.1640625" style="63" bestFit="1" customWidth="1"/>
    <col min="5487" max="5487" width="7.5" style="63" customWidth="1"/>
    <col min="5488" max="5729" width="20.83203125" style="63"/>
    <col min="5730" max="5730" width="2.5" style="63" customWidth="1"/>
    <col min="5731" max="5731" width="30.5" style="63" customWidth="1"/>
    <col min="5732" max="5741" width="10" style="63" customWidth="1"/>
    <col min="5742" max="5742" width="28.1640625" style="63" bestFit="1" customWidth="1"/>
    <col min="5743" max="5743" width="7.5" style="63" customWidth="1"/>
    <col min="5744" max="5985" width="20.83203125" style="63"/>
    <col min="5986" max="5986" width="2.5" style="63" customWidth="1"/>
    <col min="5987" max="5987" width="30.5" style="63" customWidth="1"/>
    <col min="5988" max="5997" width="10" style="63" customWidth="1"/>
    <col min="5998" max="5998" width="28.1640625" style="63" bestFit="1" customWidth="1"/>
    <col min="5999" max="5999" width="7.5" style="63" customWidth="1"/>
    <col min="6000" max="6241" width="20.83203125" style="63"/>
    <col min="6242" max="6242" width="2.5" style="63" customWidth="1"/>
    <col min="6243" max="6243" width="30.5" style="63" customWidth="1"/>
    <col min="6244" max="6253" width="10" style="63" customWidth="1"/>
    <col min="6254" max="6254" width="28.1640625" style="63" bestFit="1" customWidth="1"/>
    <col min="6255" max="6255" width="7.5" style="63" customWidth="1"/>
    <col min="6256" max="6497" width="20.83203125" style="63"/>
    <col min="6498" max="6498" width="2.5" style="63" customWidth="1"/>
    <col min="6499" max="6499" width="30.5" style="63" customWidth="1"/>
    <col min="6500" max="6509" width="10" style="63" customWidth="1"/>
    <col min="6510" max="6510" width="28.1640625" style="63" bestFit="1" customWidth="1"/>
    <col min="6511" max="6511" width="7.5" style="63" customWidth="1"/>
    <col min="6512" max="6753" width="20.83203125" style="63"/>
    <col min="6754" max="6754" width="2.5" style="63" customWidth="1"/>
    <col min="6755" max="6755" width="30.5" style="63" customWidth="1"/>
    <col min="6756" max="6765" width="10" style="63" customWidth="1"/>
    <col min="6766" max="6766" width="28.1640625" style="63" bestFit="1" customWidth="1"/>
    <col min="6767" max="6767" width="7.5" style="63" customWidth="1"/>
    <col min="6768" max="7009" width="20.83203125" style="63"/>
    <col min="7010" max="7010" width="2.5" style="63" customWidth="1"/>
    <col min="7011" max="7011" width="30.5" style="63" customWidth="1"/>
    <col min="7012" max="7021" width="10" style="63" customWidth="1"/>
    <col min="7022" max="7022" width="28.1640625" style="63" bestFit="1" customWidth="1"/>
    <col min="7023" max="7023" width="7.5" style="63" customWidth="1"/>
    <col min="7024" max="7265" width="20.83203125" style="63"/>
    <col min="7266" max="7266" width="2.5" style="63" customWidth="1"/>
    <col min="7267" max="7267" width="30.5" style="63" customWidth="1"/>
    <col min="7268" max="7277" width="10" style="63" customWidth="1"/>
    <col min="7278" max="7278" width="28.1640625" style="63" bestFit="1" customWidth="1"/>
    <col min="7279" max="7279" width="7.5" style="63" customWidth="1"/>
    <col min="7280" max="7521" width="20.83203125" style="63"/>
    <col min="7522" max="7522" width="2.5" style="63" customWidth="1"/>
    <col min="7523" max="7523" width="30.5" style="63" customWidth="1"/>
    <col min="7524" max="7533" width="10" style="63" customWidth="1"/>
    <col min="7534" max="7534" width="28.1640625" style="63" bestFit="1" customWidth="1"/>
    <col min="7535" max="7535" width="7.5" style="63" customWidth="1"/>
    <col min="7536" max="7777" width="20.83203125" style="63"/>
    <col min="7778" max="7778" width="2.5" style="63" customWidth="1"/>
    <col min="7779" max="7779" width="30.5" style="63" customWidth="1"/>
    <col min="7780" max="7789" width="10" style="63" customWidth="1"/>
    <col min="7790" max="7790" width="28.1640625" style="63" bestFit="1" customWidth="1"/>
    <col min="7791" max="7791" width="7.5" style="63" customWidth="1"/>
    <col min="7792" max="8033" width="20.83203125" style="63"/>
    <col min="8034" max="8034" width="2.5" style="63" customWidth="1"/>
    <col min="8035" max="8035" width="30.5" style="63" customWidth="1"/>
    <col min="8036" max="8045" width="10" style="63" customWidth="1"/>
    <col min="8046" max="8046" width="28.1640625" style="63" bestFit="1" customWidth="1"/>
    <col min="8047" max="8047" width="7.5" style="63" customWidth="1"/>
    <col min="8048" max="8289" width="20.83203125" style="63"/>
    <col min="8290" max="8290" width="2.5" style="63" customWidth="1"/>
    <col min="8291" max="8291" width="30.5" style="63" customWidth="1"/>
    <col min="8292" max="8301" width="10" style="63" customWidth="1"/>
    <col min="8302" max="8302" width="28.1640625" style="63" bestFit="1" customWidth="1"/>
    <col min="8303" max="8303" width="7.5" style="63" customWidth="1"/>
    <col min="8304" max="8545" width="20.83203125" style="63"/>
    <col min="8546" max="8546" width="2.5" style="63" customWidth="1"/>
    <col min="8547" max="8547" width="30.5" style="63" customWidth="1"/>
    <col min="8548" max="8557" width="10" style="63" customWidth="1"/>
    <col min="8558" max="8558" width="28.1640625" style="63" bestFit="1" customWidth="1"/>
    <col min="8559" max="8559" width="7.5" style="63" customWidth="1"/>
    <col min="8560" max="8801" width="20.83203125" style="63"/>
    <col min="8802" max="8802" width="2.5" style="63" customWidth="1"/>
    <col min="8803" max="8803" width="30.5" style="63" customWidth="1"/>
    <col min="8804" max="8813" width="10" style="63" customWidth="1"/>
    <col min="8814" max="8814" width="28.1640625" style="63" bestFit="1" customWidth="1"/>
    <col min="8815" max="8815" width="7.5" style="63" customWidth="1"/>
    <col min="8816" max="9057" width="20.83203125" style="63"/>
    <col min="9058" max="9058" width="2.5" style="63" customWidth="1"/>
    <col min="9059" max="9059" width="30.5" style="63" customWidth="1"/>
    <col min="9060" max="9069" width="10" style="63" customWidth="1"/>
    <col min="9070" max="9070" width="28.1640625" style="63" bestFit="1" customWidth="1"/>
    <col min="9071" max="9071" width="7.5" style="63" customWidth="1"/>
    <col min="9072" max="9313" width="20.83203125" style="63"/>
    <col min="9314" max="9314" width="2.5" style="63" customWidth="1"/>
    <col min="9315" max="9315" width="30.5" style="63" customWidth="1"/>
    <col min="9316" max="9325" width="10" style="63" customWidth="1"/>
    <col min="9326" max="9326" width="28.1640625" style="63" bestFit="1" customWidth="1"/>
    <col min="9327" max="9327" width="7.5" style="63" customWidth="1"/>
    <col min="9328" max="9569" width="20.83203125" style="63"/>
    <col min="9570" max="9570" width="2.5" style="63" customWidth="1"/>
    <col min="9571" max="9571" width="30.5" style="63" customWidth="1"/>
    <col min="9572" max="9581" width="10" style="63" customWidth="1"/>
    <col min="9582" max="9582" width="28.1640625" style="63" bestFit="1" customWidth="1"/>
    <col min="9583" max="9583" width="7.5" style="63" customWidth="1"/>
    <col min="9584" max="9825" width="20.83203125" style="63"/>
    <col min="9826" max="9826" width="2.5" style="63" customWidth="1"/>
    <col min="9827" max="9827" width="30.5" style="63" customWidth="1"/>
    <col min="9828" max="9837" width="10" style="63" customWidth="1"/>
    <col min="9838" max="9838" width="28.1640625" style="63" bestFit="1" customWidth="1"/>
    <col min="9839" max="9839" width="7.5" style="63" customWidth="1"/>
    <col min="9840" max="10081" width="20.83203125" style="63"/>
    <col min="10082" max="10082" width="2.5" style="63" customWidth="1"/>
    <col min="10083" max="10083" width="30.5" style="63" customWidth="1"/>
    <col min="10084" max="10093" width="10" style="63" customWidth="1"/>
    <col min="10094" max="10094" width="28.1640625" style="63" bestFit="1" customWidth="1"/>
    <col min="10095" max="10095" width="7.5" style="63" customWidth="1"/>
    <col min="10096" max="10337" width="20.83203125" style="63"/>
    <col min="10338" max="10338" width="2.5" style="63" customWidth="1"/>
    <col min="10339" max="10339" width="30.5" style="63" customWidth="1"/>
    <col min="10340" max="10349" width="10" style="63" customWidth="1"/>
    <col min="10350" max="10350" width="28.1640625" style="63" bestFit="1" customWidth="1"/>
    <col min="10351" max="10351" width="7.5" style="63" customWidth="1"/>
    <col min="10352" max="10593" width="20.83203125" style="63"/>
    <col min="10594" max="10594" width="2.5" style="63" customWidth="1"/>
    <col min="10595" max="10595" width="30.5" style="63" customWidth="1"/>
    <col min="10596" max="10605" width="10" style="63" customWidth="1"/>
    <col min="10606" max="10606" width="28.1640625" style="63" bestFit="1" customWidth="1"/>
    <col min="10607" max="10607" width="7.5" style="63" customWidth="1"/>
    <col min="10608" max="10849" width="20.83203125" style="63"/>
    <col min="10850" max="10850" width="2.5" style="63" customWidth="1"/>
    <col min="10851" max="10851" width="30.5" style="63" customWidth="1"/>
    <col min="10852" max="10861" width="10" style="63" customWidth="1"/>
    <col min="10862" max="10862" width="28.1640625" style="63" bestFit="1" customWidth="1"/>
    <col min="10863" max="10863" width="7.5" style="63" customWidth="1"/>
    <col min="10864" max="11105" width="20.83203125" style="63"/>
    <col min="11106" max="11106" width="2.5" style="63" customWidth="1"/>
    <col min="11107" max="11107" width="30.5" style="63" customWidth="1"/>
    <col min="11108" max="11117" width="10" style="63" customWidth="1"/>
    <col min="11118" max="11118" width="28.1640625" style="63" bestFit="1" customWidth="1"/>
    <col min="11119" max="11119" width="7.5" style="63" customWidth="1"/>
    <col min="11120" max="11361" width="20.83203125" style="63"/>
    <col min="11362" max="11362" width="2.5" style="63" customWidth="1"/>
    <col min="11363" max="11363" width="30.5" style="63" customWidth="1"/>
    <col min="11364" max="11373" width="10" style="63" customWidth="1"/>
    <col min="11374" max="11374" width="28.1640625" style="63" bestFit="1" customWidth="1"/>
    <col min="11375" max="11375" width="7.5" style="63" customWidth="1"/>
    <col min="11376" max="11617" width="20.83203125" style="63"/>
    <col min="11618" max="11618" width="2.5" style="63" customWidth="1"/>
    <col min="11619" max="11619" width="30.5" style="63" customWidth="1"/>
    <col min="11620" max="11629" width="10" style="63" customWidth="1"/>
    <col min="11630" max="11630" width="28.1640625" style="63" bestFit="1" customWidth="1"/>
    <col min="11631" max="11631" width="7.5" style="63" customWidth="1"/>
    <col min="11632" max="11873" width="20.83203125" style="63"/>
    <col min="11874" max="11874" width="2.5" style="63" customWidth="1"/>
    <col min="11875" max="11875" width="30.5" style="63" customWidth="1"/>
    <col min="11876" max="11885" width="10" style="63" customWidth="1"/>
    <col min="11886" max="11886" width="28.1640625" style="63" bestFit="1" customWidth="1"/>
    <col min="11887" max="11887" width="7.5" style="63" customWidth="1"/>
    <col min="11888" max="12129" width="20.83203125" style="63"/>
    <col min="12130" max="12130" width="2.5" style="63" customWidth="1"/>
    <col min="12131" max="12131" width="30.5" style="63" customWidth="1"/>
    <col min="12132" max="12141" width="10" style="63" customWidth="1"/>
    <col min="12142" max="12142" width="28.1640625" style="63" bestFit="1" customWidth="1"/>
    <col min="12143" max="12143" width="7.5" style="63" customWidth="1"/>
    <col min="12144" max="12385" width="20.83203125" style="63"/>
    <col min="12386" max="12386" width="2.5" style="63" customWidth="1"/>
    <col min="12387" max="12387" width="30.5" style="63" customWidth="1"/>
    <col min="12388" max="12397" width="10" style="63" customWidth="1"/>
    <col min="12398" max="12398" width="28.1640625" style="63" bestFit="1" customWidth="1"/>
    <col min="12399" max="12399" width="7.5" style="63" customWidth="1"/>
    <col min="12400" max="12641" width="20.83203125" style="63"/>
    <col min="12642" max="12642" width="2.5" style="63" customWidth="1"/>
    <col min="12643" max="12643" width="30.5" style="63" customWidth="1"/>
    <col min="12644" max="12653" width="10" style="63" customWidth="1"/>
    <col min="12654" max="12654" width="28.1640625" style="63" bestFit="1" customWidth="1"/>
    <col min="12655" max="12655" width="7.5" style="63" customWidth="1"/>
    <col min="12656" max="12897" width="20.83203125" style="63"/>
    <col min="12898" max="12898" width="2.5" style="63" customWidth="1"/>
    <col min="12899" max="12899" width="30.5" style="63" customWidth="1"/>
    <col min="12900" max="12909" width="10" style="63" customWidth="1"/>
    <col min="12910" max="12910" width="28.1640625" style="63" bestFit="1" customWidth="1"/>
    <col min="12911" max="12911" width="7.5" style="63" customWidth="1"/>
    <col min="12912" max="13153" width="20.83203125" style="63"/>
    <col min="13154" max="13154" width="2.5" style="63" customWidth="1"/>
    <col min="13155" max="13155" width="30.5" style="63" customWidth="1"/>
    <col min="13156" max="13165" width="10" style="63" customWidth="1"/>
    <col min="13166" max="13166" width="28.1640625" style="63" bestFit="1" customWidth="1"/>
    <col min="13167" max="13167" width="7.5" style="63" customWidth="1"/>
    <col min="13168" max="13409" width="20.83203125" style="63"/>
    <col min="13410" max="13410" width="2.5" style="63" customWidth="1"/>
    <col min="13411" max="13411" width="30.5" style="63" customWidth="1"/>
    <col min="13412" max="13421" width="10" style="63" customWidth="1"/>
    <col min="13422" max="13422" width="28.1640625" style="63" bestFit="1" customWidth="1"/>
    <col min="13423" max="13423" width="7.5" style="63" customWidth="1"/>
    <col min="13424" max="13665" width="20.83203125" style="63"/>
    <col min="13666" max="13666" width="2.5" style="63" customWidth="1"/>
    <col min="13667" max="13667" width="30.5" style="63" customWidth="1"/>
    <col min="13668" max="13677" width="10" style="63" customWidth="1"/>
    <col min="13678" max="13678" width="28.1640625" style="63" bestFit="1" customWidth="1"/>
    <col min="13679" max="13679" width="7.5" style="63" customWidth="1"/>
    <col min="13680" max="13921" width="20.83203125" style="63"/>
    <col min="13922" max="13922" width="2.5" style="63" customWidth="1"/>
    <col min="13923" max="13923" width="30.5" style="63" customWidth="1"/>
    <col min="13924" max="13933" width="10" style="63" customWidth="1"/>
    <col min="13934" max="13934" width="28.1640625" style="63" bestFit="1" customWidth="1"/>
    <col min="13935" max="13935" width="7.5" style="63" customWidth="1"/>
    <col min="13936" max="14177" width="20.83203125" style="63"/>
    <col min="14178" max="14178" width="2.5" style="63" customWidth="1"/>
    <col min="14179" max="14179" width="30.5" style="63" customWidth="1"/>
    <col min="14180" max="14189" width="10" style="63" customWidth="1"/>
    <col min="14190" max="14190" width="28.1640625" style="63" bestFit="1" customWidth="1"/>
    <col min="14191" max="14191" width="7.5" style="63" customWidth="1"/>
    <col min="14192" max="14433" width="20.83203125" style="63"/>
    <col min="14434" max="14434" width="2.5" style="63" customWidth="1"/>
    <col min="14435" max="14435" width="30.5" style="63" customWidth="1"/>
    <col min="14436" max="14445" width="10" style="63" customWidth="1"/>
    <col min="14446" max="14446" width="28.1640625" style="63" bestFit="1" customWidth="1"/>
    <col min="14447" max="14447" width="7.5" style="63" customWidth="1"/>
    <col min="14448" max="14689" width="20.83203125" style="63"/>
    <col min="14690" max="14690" width="2.5" style="63" customWidth="1"/>
    <col min="14691" max="14691" width="30.5" style="63" customWidth="1"/>
    <col min="14692" max="14701" width="10" style="63" customWidth="1"/>
    <col min="14702" max="14702" width="28.1640625" style="63" bestFit="1" customWidth="1"/>
    <col min="14703" max="14703" width="7.5" style="63" customWidth="1"/>
    <col min="14704" max="14945" width="20.83203125" style="63"/>
    <col min="14946" max="14946" width="2.5" style="63" customWidth="1"/>
    <col min="14947" max="14947" width="30.5" style="63" customWidth="1"/>
    <col min="14948" max="14957" width="10" style="63" customWidth="1"/>
    <col min="14958" max="14958" width="28.1640625" style="63" bestFit="1" customWidth="1"/>
    <col min="14959" max="14959" width="7.5" style="63" customWidth="1"/>
    <col min="14960" max="15201" width="20.83203125" style="63"/>
    <col min="15202" max="15202" width="2.5" style="63" customWidth="1"/>
    <col min="15203" max="15203" width="30.5" style="63" customWidth="1"/>
    <col min="15204" max="15213" width="10" style="63" customWidth="1"/>
    <col min="15214" max="15214" width="28.1640625" style="63" bestFit="1" customWidth="1"/>
    <col min="15215" max="15215" width="7.5" style="63" customWidth="1"/>
    <col min="15216" max="15457" width="20.83203125" style="63"/>
    <col min="15458" max="15458" width="2.5" style="63" customWidth="1"/>
    <col min="15459" max="15459" width="30.5" style="63" customWidth="1"/>
    <col min="15460" max="15469" width="10" style="63" customWidth="1"/>
    <col min="15470" max="15470" width="28.1640625" style="63" bestFit="1" customWidth="1"/>
    <col min="15471" max="15471" width="7.5" style="63" customWidth="1"/>
    <col min="15472" max="15713" width="20.83203125" style="63"/>
    <col min="15714" max="15714" width="2.5" style="63" customWidth="1"/>
    <col min="15715" max="15715" width="30.5" style="63" customWidth="1"/>
    <col min="15716" max="15725" width="10" style="63" customWidth="1"/>
    <col min="15726" max="15726" width="28.1640625" style="63" bestFit="1" customWidth="1"/>
    <col min="15727" max="15727" width="7.5" style="63" customWidth="1"/>
    <col min="15728" max="15969" width="20.83203125" style="63"/>
    <col min="15970" max="15970" width="2.5" style="63" customWidth="1"/>
    <col min="15971" max="15971" width="30.5" style="63" customWidth="1"/>
    <col min="15972" max="15981" width="10" style="63" customWidth="1"/>
    <col min="15982" max="15982" width="28.1640625" style="63" bestFit="1" customWidth="1"/>
    <col min="15983" max="15983" width="7.5" style="63" customWidth="1"/>
    <col min="15984" max="16225" width="20.83203125" style="63"/>
    <col min="16226" max="16226" width="2.5" style="63" customWidth="1"/>
    <col min="16227" max="16227" width="30.5" style="63" customWidth="1"/>
    <col min="16228" max="16237" width="10" style="63" customWidth="1"/>
    <col min="16238" max="16238" width="28.1640625" style="63" bestFit="1" customWidth="1"/>
    <col min="16239" max="16239" width="7.5" style="63" customWidth="1"/>
    <col min="16240" max="16384" width="20.83203125" style="63"/>
  </cols>
  <sheetData>
    <row r="2" spans="1:134" s="101" customFormat="1" ht="30" customHeight="1" thickBot="1">
      <c r="A2" s="342"/>
      <c r="B2" s="63"/>
      <c r="C2" s="2885" t="s">
        <v>640</v>
      </c>
      <c r="D2" s="2885"/>
      <c r="E2" s="2885"/>
      <c r="F2" s="2885"/>
      <c r="G2" s="2885"/>
      <c r="H2" s="2885"/>
      <c r="I2" s="2885"/>
      <c r="J2" s="2885"/>
      <c r="K2" s="2885"/>
      <c r="L2" s="2885"/>
      <c r="M2" s="2885"/>
      <c r="N2" s="2885"/>
      <c r="O2" s="2885"/>
      <c r="P2" s="2885"/>
      <c r="Q2" s="2885"/>
      <c r="R2" s="2885"/>
      <c r="S2" s="2885"/>
      <c r="T2" s="2885"/>
      <c r="U2" s="2885"/>
      <c r="V2" s="2885"/>
      <c r="W2" s="2885"/>
      <c r="X2" s="2885"/>
      <c r="Y2" s="2885"/>
      <c r="Z2" s="2885"/>
      <c r="AA2" s="2885"/>
      <c r="AB2" s="2885"/>
      <c r="AC2" s="2885"/>
      <c r="AD2" s="2885"/>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5"/>
      <c r="BC2" s="2885"/>
      <c r="BD2" s="2885"/>
      <c r="BE2" s="2885"/>
      <c r="BF2" s="2885"/>
      <c r="BG2" s="2885"/>
      <c r="BH2" s="2885"/>
      <c r="BI2" s="2885"/>
      <c r="BJ2" s="2885"/>
      <c r="BK2" s="2885"/>
      <c r="BL2" s="2885"/>
      <c r="BM2" s="2885"/>
      <c r="BN2" s="2885"/>
      <c r="BO2" s="2885"/>
      <c r="BP2" s="2885"/>
      <c r="BQ2" s="2885"/>
      <c r="BR2" s="2885"/>
      <c r="BS2" s="2885"/>
      <c r="BT2" s="2885"/>
      <c r="BU2" s="2885"/>
      <c r="BV2" s="2885"/>
      <c r="BW2" s="2885"/>
      <c r="BX2" s="2885"/>
      <c r="BY2" s="2885"/>
      <c r="BZ2" s="2885"/>
      <c r="CA2" s="2885"/>
      <c r="CB2" s="2885"/>
      <c r="CC2" s="2885"/>
      <c r="CD2" s="2885"/>
      <c r="CE2" s="2885"/>
      <c r="CF2" s="2885"/>
      <c r="CG2" s="2885"/>
      <c r="CH2" s="2885"/>
      <c r="CI2" s="2885"/>
      <c r="CJ2" s="2885"/>
      <c r="CK2" s="2885"/>
      <c r="CL2" s="2885"/>
      <c r="CM2" s="2885"/>
      <c r="CN2" s="2885"/>
      <c r="CO2" s="2885"/>
      <c r="CP2" s="2885"/>
      <c r="CQ2" s="2885"/>
      <c r="CR2" s="2885"/>
      <c r="CS2" s="2885"/>
      <c r="CT2" s="2885"/>
      <c r="CU2" s="2885"/>
      <c r="CV2" s="2885"/>
      <c r="CW2" s="2885"/>
      <c r="CX2" s="2885"/>
      <c r="CY2" s="2885"/>
      <c r="CZ2" s="2885"/>
      <c r="DA2" s="2885"/>
      <c r="DB2" s="2885"/>
      <c r="DC2" s="2885"/>
      <c r="DD2" s="2885"/>
      <c r="DE2" s="922"/>
      <c r="DF2" s="922"/>
      <c r="DG2" s="922"/>
      <c r="DH2" s="922"/>
      <c r="DI2" s="922"/>
      <c r="DJ2" s="922"/>
      <c r="DK2" s="922"/>
      <c r="DL2" s="922"/>
      <c r="DM2" s="922"/>
      <c r="DN2" s="922"/>
      <c r="DO2" s="922"/>
      <c r="DP2" s="922"/>
      <c r="DQ2" s="922"/>
      <c r="DR2" s="922"/>
      <c r="DS2" s="922"/>
      <c r="DT2" s="922"/>
      <c r="DU2" s="922"/>
      <c r="DV2" s="922"/>
      <c r="DW2" s="922"/>
      <c r="DX2" s="922"/>
      <c r="DY2" s="922"/>
      <c r="DZ2" s="922"/>
      <c r="EA2" s="922"/>
      <c r="EB2" s="922"/>
      <c r="EC2" s="922"/>
      <c r="ED2" s="922"/>
    </row>
    <row r="3" spans="1:134" ht="39.75" customHeight="1" thickBot="1">
      <c r="A3" s="2877" t="s">
        <v>641</v>
      </c>
      <c r="B3" s="2878"/>
      <c r="C3" s="2926" t="s">
        <v>642</v>
      </c>
      <c r="D3" s="2927"/>
      <c r="E3" s="2927"/>
      <c r="F3" s="2928"/>
      <c r="G3" s="2927"/>
      <c r="H3" s="2927"/>
      <c r="I3" s="2927"/>
      <c r="J3" s="2927"/>
      <c r="K3" s="2927"/>
      <c r="L3" s="2927"/>
      <c r="M3" s="2927"/>
      <c r="N3" s="2927"/>
      <c r="O3" s="2927"/>
      <c r="P3" s="2927"/>
      <c r="Q3" s="2927"/>
      <c r="R3" s="2927"/>
      <c r="S3" s="2927"/>
      <c r="T3" s="2927"/>
      <c r="U3" s="2927"/>
      <c r="V3" s="2927"/>
      <c r="W3" s="2927"/>
      <c r="X3" s="2927"/>
      <c r="Y3" s="2928"/>
      <c r="Z3" s="2927"/>
      <c r="AA3" s="2927"/>
      <c r="AB3" s="2927"/>
      <c r="AC3" s="2927"/>
      <c r="AD3" s="2927"/>
      <c r="AE3" s="2928"/>
      <c r="AF3" s="2927"/>
      <c r="AG3" s="2927"/>
      <c r="AH3" s="2927"/>
      <c r="AI3" s="2927"/>
      <c r="AJ3" s="2927"/>
      <c r="AK3" s="2927"/>
      <c r="AL3" s="2927"/>
      <c r="AM3" s="2927"/>
      <c r="AN3" s="2927"/>
      <c r="AO3" s="2927"/>
      <c r="AP3" s="2927"/>
      <c r="AQ3" s="2927"/>
      <c r="AR3" s="2927"/>
      <c r="AS3" s="2928"/>
      <c r="AT3" s="2928"/>
      <c r="AU3" s="2928"/>
      <c r="AV3" s="2928"/>
      <c r="AW3" s="2928"/>
      <c r="AX3" s="2928"/>
      <c r="AY3" s="2927"/>
      <c r="AZ3" s="2927"/>
      <c r="BA3" s="2927"/>
      <c r="BB3" s="2927"/>
      <c r="BC3" s="2928"/>
      <c r="BD3" s="2927"/>
      <c r="BE3" s="2927"/>
      <c r="BF3" s="2927"/>
      <c r="BG3" s="2927"/>
      <c r="BH3" s="2927"/>
      <c r="BI3" s="2927"/>
      <c r="BJ3" s="2927"/>
      <c r="BK3" s="2927"/>
      <c r="BL3" s="2927"/>
      <c r="BM3" s="2927"/>
      <c r="BN3" s="2927"/>
      <c r="BO3" s="2927"/>
      <c r="BP3" s="2927"/>
      <c r="BQ3" s="2927"/>
      <c r="BR3" s="2927"/>
      <c r="BS3" s="2927"/>
      <c r="BT3" s="2927"/>
      <c r="BU3" s="2927"/>
      <c r="BV3" s="2927"/>
      <c r="BW3" s="2927"/>
      <c r="BX3" s="2927"/>
      <c r="BY3" s="2927"/>
      <c r="BZ3" s="2929"/>
      <c r="CA3" s="2886" t="s">
        <v>643</v>
      </c>
      <c r="CB3" s="2887"/>
      <c r="CC3" s="2887"/>
      <c r="CD3" s="2887"/>
      <c r="CE3" s="2887"/>
      <c r="CF3" s="2887"/>
      <c r="CG3" s="2887"/>
      <c r="CH3" s="2887"/>
      <c r="CI3" s="2887"/>
      <c r="CJ3" s="2888"/>
      <c r="CK3" s="2889" t="s">
        <v>644</v>
      </c>
      <c r="CL3" s="2890"/>
      <c r="CM3" s="2891"/>
      <c r="CN3" s="2891"/>
      <c r="CO3" s="2891"/>
      <c r="CP3" s="2891"/>
      <c r="CQ3" s="2891"/>
      <c r="CR3" s="2891"/>
      <c r="CS3" s="2891"/>
      <c r="CT3" s="2891"/>
      <c r="CU3" s="2891"/>
      <c r="CV3" s="2891"/>
      <c r="CW3" s="2892"/>
      <c r="CX3" s="2886" t="s">
        <v>645</v>
      </c>
      <c r="CY3" s="2887"/>
      <c r="CZ3" s="2887"/>
      <c r="DA3" s="2887"/>
      <c r="DB3" s="2887"/>
      <c r="DC3" s="2887"/>
      <c r="DD3" s="2888"/>
    </row>
    <row r="4" spans="1:134" ht="58" customHeight="1" thickBot="1">
      <c r="A4" s="2879"/>
      <c r="B4" s="2880"/>
      <c r="C4" s="2900" t="s">
        <v>1549</v>
      </c>
      <c r="D4" s="2901"/>
      <c r="E4" s="2901"/>
      <c r="F4" s="2902"/>
      <c r="G4" s="2901"/>
      <c r="H4" s="2901"/>
      <c r="I4" s="2901"/>
      <c r="J4" s="2901"/>
      <c r="K4" s="2901"/>
      <c r="L4" s="2901"/>
      <c r="M4" s="2901"/>
      <c r="N4" s="2901"/>
      <c r="O4" s="2901"/>
      <c r="P4" s="2901"/>
      <c r="Q4" s="2901"/>
      <c r="R4" s="2901"/>
      <c r="S4" s="2901"/>
      <c r="T4" s="2901"/>
      <c r="U4" s="2901"/>
      <c r="V4" s="2901"/>
      <c r="W4" s="2903"/>
      <c r="X4" s="2904" t="s">
        <v>1550</v>
      </c>
      <c r="Y4" s="2905"/>
      <c r="Z4" s="2906"/>
      <c r="AA4" s="2906"/>
      <c r="AB4" s="2906"/>
      <c r="AC4" s="2906"/>
      <c r="AD4" s="2906"/>
      <c r="AE4" s="2907"/>
      <c r="AF4" s="2906"/>
      <c r="AG4" s="2906"/>
      <c r="AH4" s="2906"/>
      <c r="AI4" s="2906"/>
      <c r="AJ4" s="2906"/>
      <c r="AK4" s="2906"/>
      <c r="AL4" s="2906"/>
      <c r="AM4" s="2906"/>
      <c r="AN4" s="2906"/>
      <c r="AO4" s="2906"/>
      <c r="AP4" s="2906"/>
      <c r="AQ4" s="2906"/>
      <c r="AR4" s="2906"/>
      <c r="AS4" s="2907"/>
      <c r="AT4" s="2907"/>
      <c r="AU4" s="2907"/>
      <c r="AV4" s="2907"/>
      <c r="AW4" s="2907"/>
      <c r="AX4" s="2907"/>
      <c r="AY4" s="2906"/>
      <c r="AZ4" s="2906"/>
      <c r="BA4" s="2908"/>
      <c r="BB4" s="2909" t="s">
        <v>1551</v>
      </c>
      <c r="BC4" s="2910"/>
      <c r="BD4" s="2911"/>
      <c r="BE4" s="2911"/>
      <c r="BF4" s="2911"/>
      <c r="BG4" s="2911"/>
      <c r="BH4" s="2911"/>
      <c r="BI4" s="2911"/>
      <c r="BJ4" s="2911"/>
      <c r="BK4" s="2911"/>
      <c r="BL4" s="2911"/>
      <c r="BM4" s="2911"/>
      <c r="BN4" s="2912"/>
      <c r="BO4" s="2923" t="s">
        <v>1552</v>
      </c>
      <c r="BP4" s="2924"/>
      <c r="BQ4" s="2924"/>
      <c r="BR4" s="2924"/>
      <c r="BS4" s="2924"/>
      <c r="BT4" s="2924"/>
      <c r="BU4" s="2924"/>
      <c r="BV4" s="2924"/>
      <c r="BW4" s="2924"/>
      <c r="BX4" s="2924"/>
      <c r="BY4" s="2924"/>
      <c r="BZ4" s="2925"/>
      <c r="CA4" s="2913" t="s">
        <v>1553</v>
      </c>
      <c r="CB4" s="2914"/>
      <c r="CC4" s="2914"/>
      <c r="CD4" s="2914"/>
      <c r="CE4" s="2914"/>
      <c r="CF4" s="2914"/>
      <c r="CG4" s="2914"/>
      <c r="CH4" s="2914"/>
      <c r="CI4" s="2914"/>
      <c r="CJ4" s="2915"/>
      <c r="CK4" s="2916" t="s">
        <v>1554</v>
      </c>
      <c r="CL4" s="2917"/>
      <c r="CM4" s="2918"/>
      <c r="CN4" s="2918"/>
      <c r="CO4" s="2918"/>
      <c r="CP4" s="2918"/>
      <c r="CQ4" s="2918"/>
      <c r="CR4" s="2918"/>
      <c r="CS4" s="2918"/>
      <c r="CT4" s="2918"/>
      <c r="CU4" s="2918"/>
      <c r="CV4" s="2918"/>
      <c r="CW4" s="2919"/>
      <c r="CX4" s="2920" t="s">
        <v>1555</v>
      </c>
      <c r="CY4" s="2921"/>
      <c r="CZ4" s="2921"/>
      <c r="DA4" s="2921"/>
      <c r="DB4" s="2921"/>
      <c r="DC4" s="2921"/>
      <c r="DD4" s="2922"/>
    </row>
    <row r="5" spans="1:134" ht="35" customHeight="1" thickBot="1">
      <c r="A5" s="2879"/>
      <c r="B5" s="2880"/>
      <c r="C5" s="2873" t="s">
        <v>647</v>
      </c>
      <c r="D5" s="2874"/>
      <c r="E5" s="2875"/>
      <c r="F5" s="2876"/>
      <c r="G5" s="2875"/>
      <c r="H5" s="2875"/>
      <c r="I5" s="2875"/>
      <c r="J5" s="2875"/>
      <c r="K5" s="2875"/>
      <c r="L5" s="2875"/>
      <c r="M5" s="2875"/>
      <c r="N5" s="2875"/>
      <c r="O5" s="2875"/>
      <c r="P5" s="2875"/>
      <c r="Q5" s="2875"/>
      <c r="R5" s="2875"/>
      <c r="S5" s="2875"/>
      <c r="T5" s="2875"/>
      <c r="U5" s="2875"/>
      <c r="V5" s="2931" t="s">
        <v>648</v>
      </c>
      <c r="W5" s="2932"/>
      <c r="X5" s="2947" t="s">
        <v>649</v>
      </c>
      <c r="Y5" s="2948"/>
      <c r="Z5" s="2948"/>
      <c r="AA5" s="2948"/>
      <c r="AB5" s="2948"/>
      <c r="AC5" s="2948"/>
      <c r="AD5" s="2948"/>
      <c r="AE5" s="2948"/>
      <c r="AF5" s="2948"/>
      <c r="AG5" s="2948"/>
      <c r="AH5" s="2948"/>
      <c r="AI5" s="2948"/>
      <c r="AJ5" s="2948"/>
      <c r="AK5" s="2948"/>
      <c r="AL5" s="2948"/>
      <c r="AM5" s="2948"/>
      <c r="AN5" s="2948"/>
      <c r="AO5" s="2948"/>
      <c r="AP5" s="2948"/>
      <c r="AQ5" s="2949"/>
      <c r="AR5" s="2946" t="s">
        <v>1564</v>
      </c>
      <c r="AS5" s="2944"/>
      <c r="AT5" s="2944"/>
      <c r="AU5" s="2945"/>
      <c r="AV5" s="2944" t="s">
        <v>1565</v>
      </c>
      <c r="AW5" s="2944"/>
      <c r="AX5" s="2944"/>
      <c r="AY5" s="2945"/>
      <c r="AZ5" s="2933" t="s">
        <v>650</v>
      </c>
      <c r="BA5" s="2934"/>
      <c r="BB5" s="2938" t="s">
        <v>651</v>
      </c>
      <c r="BC5" s="2939"/>
      <c r="BD5" s="2938"/>
      <c r="BE5" s="2938"/>
      <c r="BF5" s="2938"/>
      <c r="BG5" s="2938"/>
      <c r="BH5" s="2938"/>
      <c r="BI5" s="2938"/>
      <c r="BJ5" s="2938"/>
      <c r="BK5" s="2938"/>
      <c r="BL5" s="2938"/>
      <c r="BM5" s="2940" t="s">
        <v>652</v>
      </c>
      <c r="BN5" s="2941"/>
      <c r="BO5" s="2866" t="s">
        <v>653</v>
      </c>
      <c r="BP5" s="2866"/>
      <c r="BQ5" s="2866"/>
      <c r="BR5" s="2866"/>
      <c r="BS5" s="2866"/>
      <c r="BT5" s="2866"/>
      <c r="BU5" s="2866"/>
      <c r="BV5" s="2866"/>
      <c r="BW5" s="2866"/>
      <c r="BX5" s="2866"/>
      <c r="BY5" s="2867" t="s">
        <v>654</v>
      </c>
      <c r="BZ5" s="2868"/>
      <c r="CA5" s="2937" t="s">
        <v>655</v>
      </c>
      <c r="CB5" s="2937"/>
      <c r="CC5" s="2937"/>
      <c r="CD5" s="2937"/>
      <c r="CE5" s="2937"/>
      <c r="CF5" s="2937"/>
      <c r="CG5" s="2937"/>
      <c r="CH5" s="2937"/>
      <c r="CI5" s="2935" t="s">
        <v>656</v>
      </c>
      <c r="CJ5" s="2936"/>
      <c r="CK5" s="2895" t="s">
        <v>657</v>
      </c>
      <c r="CL5" s="2895"/>
      <c r="CM5" s="2895"/>
      <c r="CN5" s="2895"/>
      <c r="CO5" s="2895"/>
      <c r="CP5" s="2895"/>
      <c r="CQ5" s="2895"/>
      <c r="CR5" s="2895"/>
      <c r="CS5" s="2895"/>
      <c r="CT5" s="2895"/>
      <c r="CU5" s="2895"/>
      <c r="CV5" s="2893" t="s">
        <v>658</v>
      </c>
      <c r="CW5" s="2894"/>
      <c r="CX5" s="2898" t="s">
        <v>659</v>
      </c>
      <c r="CY5" s="2898"/>
      <c r="CZ5" s="2898"/>
      <c r="DA5" s="2898"/>
      <c r="DB5" s="2899"/>
      <c r="DC5" s="2896" t="s">
        <v>660</v>
      </c>
      <c r="DD5" s="2897"/>
      <c r="DE5" s="374"/>
      <c r="DF5" s="374"/>
      <c r="DG5" s="374"/>
      <c r="DH5" s="374"/>
      <c r="DI5" s="374"/>
    </row>
    <row r="6" spans="1:134" s="633" customFormat="1" ht="35" customHeight="1">
      <c r="A6" s="2883" t="s">
        <v>99</v>
      </c>
      <c r="B6" s="2884"/>
      <c r="C6" s="2395" t="s">
        <v>661</v>
      </c>
      <c r="D6" s="2396" t="s">
        <v>661</v>
      </c>
      <c r="E6" s="2442" t="s">
        <v>662</v>
      </c>
      <c r="F6" s="2443" t="s">
        <v>662</v>
      </c>
      <c r="G6" s="2443" t="s">
        <v>662</v>
      </c>
      <c r="H6" s="2443" t="s">
        <v>662</v>
      </c>
      <c r="I6" s="2443" t="s">
        <v>662</v>
      </c>
      <c r="J6" s="2443" t="s">
        <v>662</v>
      </c>
      <c r="K6" s="2443" t="s">
        <v>662</v>
      </c>
      <c r="L6" s="1613" t="s">
        <v>662</v>
      </c>
      <c r="M6" s="1613" t="s">
        <v>662</v>
      </c>
      <c r="N6" s="1613" t="s">
        <v>662</v>
      </c>
      <c r="O6" s="1613" t="s">
        <v>662</v>
      </c>
      <c r="P6" s="1613" t="s">
        <v>662</v>
      </c>
      <c r="Q6" s="1613" t="s">
        <v>662</v>
      </c>
      <c r="R6" s="1613" t="s">
        <v>662</v>
      </c>
      <c r="S6" s="1613" t="s">
        <v>662</v>
      </c>
      <c r="T6" s="1613" t="s">
        <v>662</v>
      </c>
      <c r="U6" s="1611" t="s">
        <v>662</v>
      </c>
      <c r="V6" s="1610" t="s">
        <v>663</v>
      </c>
      <c r="W6" s="1611" t="s">
        <v>664</v>
      </c>
      <c r="X6" s="2337" t="s">
        <v>683</v>
      </c>
      <c r="Y6" s="2465" t="s">
        <v>683</v>
      </c>
      <c r="Z6" s="923" t="s">
        <v>683</v>
      </c>
      <c r="AA6" s="2325" t="s">
        <v>1562</v>
      </c>
      <c r="AB6" s="1614" t="s">
        <v>1562</v>
      </c>
      <c r="AC6" s="1614" t="s">
        <v>1562</v>
      </c>
      <c r="AD6" s="1614" t="s">
        <v>1562</v>
      </c>
      <c r="AE6" s="1614" t="s">
        <v>1562</v>
      </c>
      <c r="AF6" s="924" t="s">
        <v>1562</v>
      </c>
      <c r="AG6" s="1614" t="s">
        <v>662</v>
      </c>
      <c r="AH6" s="1614" t="s">
        <v>662</v>
      </c>
      <c r="AI6" s="1614" t="s">
        <v>662</v>
      </c>
      <c r="AJ6" s="1614" t="s">
        <v>662</v>
      </c>
      <c r="AK6" s="1614" t="s">
        <v>662</v>
      </c>
      <c r="AL6" s="1614" t="s">
        <v>662</v>
      </c>
      <c r="AM6" s="1614" t="s">
        <v>662</v>
      </c>
      <c r="AN6" s="1614" t="s">
        <v>662</v>
      </c>
      <c r="AO6" s="1614" t="s">
        <v>662</v>
      </c>
      <c r="AP6" s="1614" t="s">
        <v>662</v>
      </c>
      <c r="AQ6" s="2316" t="s">
        <v>662</v>
      </c>
      <c r="AR6" s="2337" t="s">
        <v>1538</v>
      </c>
      <c r="AS6" s="2465" t="s">
        <v>1538</v>
      </c>
      <c r="AT6" s="2465" t="s">
        <v>1538</v>
      </c>
      <c r="AU6" s="2484" t="s">
        <v>1538</v>
      </c>
      <c r="AV6" s="2341" t="s">
        <v>1539</v>
      </c>
      <c r="AW6" s="2341" t="s">
        <v>1539</v>
      </c>
      <c r="AX6" s="2341" t="s">
        <v>1539</v>
      </c>
      <c r="AY6" s="2485" t="s">
        <v>1539</v>
      </c>
      <c r="AZ6" s="2487" t="s">
        <v>663</v>
      </c>
      <c r="BA6" s="2488" t="s">
        <v>664</v>
      </c>
      <c r="BB6" s="924" t="s">
        <v>662</v>
      </c>
      <c r="BC6" s="924" t="s">
        <v>662</v>
      </c>
      <c r="BD6" s="924" t="s">
        <v>662</v>
      </c>
      <c r="BE6" s="924" t="s">
        <v>662</v>
      </c>
      <c r="BF6" s="924" t="s">
        <v>662</v>
      </c>
      <c r="BG6" s="924" t="s">
        <v>662</v>
      </c>
      <c r="BH6" s="924" t="s">
        <v>662</v>
      </c>
      <c r="BI6" s="924" t="s">
        <v>662</v>
      </c>
      <c r="BJ6" s="924" t="s">
        <v>662</v>
      </c>
      <c r="BK6" s="924" t="s">
        <v>662</v>
      </c>
      <c r="BL6" s="925" t="s">
        <v>662</v>
      </c>
      <c r="BM6" s="1612" t="s">
        <v>665</v>
      </c>
      <c r="BN6" s="1611" t="s">
        <v>664</v>
      </c>
      <c r="BO6" s="1612" t="s">
        <v>662</v>
      </c>
      <c r="BP6" s="1610" t="s">
        <v>662</v>
      </c>
      <c r="BQ6" s="1610" t="s">
        <v>662</v>
      </c>
      <c r="BR6" s="1610" t="s">
        <v>662</v>
      </c>
      <c r="BS6" s="1610" t="s">
        <v>662</v>
      </c>
      <c r="BT6" s="1610" t="s">
        <v>662</v>
      </c>
      <c r="BU6" s="1610" t="s">
        <v>662</v>
      </c>
      <c r="BV6" s="1610" t="s">
        <v>662</v>
      </c>
      <c r="BW6" s="1610" t="s">
        <v>662</v>
      </c>
      <c r="BX6" s="1615" t="s">
        <v>662</v>
      </c>
      <c r="BY6" s="1612" t="s">
        <v>665</v>
      </c>
      <c r="BZ6" s="1611" t="s">
        <v>664</v>
      </c>
      <c r="CA6" s="1612" t="s">
        <v>666</v>
      </c>
      <c r="CB6" s="1610" t="s">
        <v>666</v>
      </c>
      <c r="CC6" s="1610" t="s">
        <v>666</v>
      </c>
      <c r="CD6" s="1610" t="s">
        <v>666</v>
      </c>
      <c r="CE6" s="1610" t="s">
        <v>666</v>
      </c>
      <c r="CF6" s="1610" t="s">
        <v>666</v>
      </c>
      <c r="CG6" s="1610" t="s">
        <v>666</v>
      </c>
      <c r="CH6" s="1616" t="s">
        <v>666</v>
      </c>
      <c r="CI6" s="1617" t="s">
        <v>667</v>
      </c>
      <c r="CJ6" s="1618" t="s">
        <v>668</v>
      </c>
      <c r="CK6" s="1612" t="s">
        <v>669</v>
      </c>
      <c r="CL6" s="1610" t="s">
        <v>669</v>
      </c>
      <c r="CM6" s="1610" t="s">
        <v>669</v>
      </c>
      <c r="CN6" s="1610" t="s">
        <v>669</v>
      </c>
      <c r="CO6" s="1613" t="s">
        <v>669</v>
      </c>
      <c r="CP6" s="1613" t="s">
        <v>669</v>
      </c>
      <c r="CQ6" s="1613" t="s">
        <v>669</v>
      </c>
      <c r="CR6" s="1613" t="s">
        <v>669</v>
      </c>
      <c r="CS6" s="1613" t="s">
        <v>669</v>
      </c>
      <c r="CT6" s="1613" t="s">
        <v>669</v>
      </c>
      <c r="CU6" s="1619" t="s">
        <v>669</v>
      </c>
      <c r="CV6" s="1617" t="s">
        <v>1563</v>
      </c>
      <c r="CW6" s="1618" t="s">
        <v>670</v>
      </c>
      <c r="CX6" s="1612" t="s">
        <v>671</v>
      </c>
      <c r="CY6" s="1613" t="s">
        <v>671</v>
      </c>
      <c r="CZ6" s="1613" t="s">
        <v>671</v>
      </c>
      <c r="DA6" s="1613" t="s">
        <v>671</v>
      </c>
      <c r="DB6" s="1611" t="s">
        <v>671</v>
      </c>
      <c r="DC6" s="1617" t="s">
        <v>672</v>
      </c>
      <c r="DD6" s="1620" t="s">
        <v>673</v>
      </c>
      <c r="DE6" s="632"/>
      <c r="DF6" s="632"/>
      <c r="DG6" s="632"/>
      <c r="DH6" s="632"/>
      <c r="DI6" s="632"/>
      <c r="DJ6" s="1621" t="s">
        <v>674</v>
      </c>
      <c r="DK6" s="1622" t="s">
        <v>487</v>
      </c>
      <c r="DL6" s="1622" t="s">
        <v>675</v>
      </c>
      <c r="DM6" s="1623" t="s">
        <v>676</v>
      </c>
      <c r="DN6" s="1624" t="s">
        <v>487</v>
      </c>
      <c r="DO6" s="1624" t="s">
        <v>675</v>
      </c>
      <c r="DP6" s="1625" t="s">
        <v>677</v>
      </c>
      <c r="DQ6" s="1626" t="s">
        <v>487</v>
      </c>
      <c r="DR6" s="1626" t="s">
        <v>675</v>
      </c>
      <c r="DS6" s="1627" t="s">
        <v>678</v>
      </c>
      <c r="DT6" s="1628" t="s">
        <v>487</v>
      </c>
      <c r="DU6" s="1629" t="s">
        <v>675</v>
      </c>
      <c r="DV6" s="1630" t="s">
        <v>679</v>
      </c>
      <c r="DW6" s="1631" t="s">
        <v>487</v>
      </c>
      <c r="DX6" s="1632" t="s">
        <v>675</v>
      </c>
      <c r="DY6" s="1633" t="s">
        <v>680</v>
      </c>
      <c r="DZ6" s="1634" t="s">
        <v>487</v>
      </c>
      <c r="EA6" s="1635" t="s">
        <v>675</v>
      </c>
      <c r="EB6" s="1623" t="s">
        <v>681</v>
      </c>
      <c r="EC6" s="1636" t="s">
        <v>487</v>
      </c>
      <c r="ED6" s="1624" t="s">
        <v>675</v>
      </c>
    </row>
    <row r="7" spans="1:134" ht="27" customHeight="1">
      <c r="A7" s="2964" t="s">
        <v>682</v>
      </c>
      <c r="B7" s="2965"/>
      <c r="C7" s="2397" t="s">
        <v>683</v>
      </c>
      <c r="D7" s="2398" t="s">
        <v>683</v>
      </c>
      <c r="E7" s="2323" t="s">
        <v>662</v>
      </c>
      <c r="F7" s="1639" t="s">
        <v>662</v>
      </c>
      <c r="G7" s="1639" t="s">
        <v>662</v>
      </c>
      <c r="H7" s="1639" t="s">
        <v>662</v>
      </c>
      <c r="I7" s="1639" t="s">
        <v>662</v>
      </c>
      <c r="J7" s="1639" t="s">
        <v>662</v>
      </c>
      <c r="K7" s="1639" t="s">
        <v>662</v>
      </c>
      <c r="L7" s="1639" t="s">
        <v>662</v>
      </c>
      <c r="M7" s="1639" t="s">
        <v>662</v>
      </c>
      <c r="N7" s="1639" t="s">
        <v>662</v>
      </c>
      <c r="O7" s="1639" t="s">
        <v>662</v>
      </c>
      <c r="P7" s="1639" t="s">
        <v>662</v>
      </c>
      <c r="Q7" s="1639" t="s">
        <v>662</v>
      </c>
      <c r="R7" s="1639" t="s">
        <v>662</v>
      </c>
      <c r="S7" s="1639" t="s">
        <v>662</v>
      </c>
      <c r="T7" s="1639" t="s">
        <v>662</v>
      </c>
      <c r="U7" s="1640" t="s">
        <v>662</v>
      </c>
      <c r="V7" s="1641"/>
      <c r="W7" s="1642"/>
      <c r="X7" s="2326" t="s">
        <v>683</v>
      </c>
      <c r="Y7" s="1639" t="s">
        <v>683</v>
      </c>
      <c r="Z7" s="1643" t="s">
        <v>683</v>
      </c>
      <c r="AA7" s="1638" t="s">
        <v>662</v>
      </c>
      <c r="AB7" s="1639" t="s">
        <v>662</v>
      </c>
      <c r="AC7" s="1639" t="s">
        <v>662</v>
      </c>
      <c r="AD7" s="1639" t="s">
        <v>662</v>
      </c>
      <c r="AE7" s="1639" t="s">
        <v>662</v>
      </c>
      <c r="AF7" s="1639" t="s">
        <v>662</v>
      </c>
      <c r="AG7" s="1639" t="s">
        <v>662</v>
      </c>
      <c r="AH7" s="1639" t="s">
        <v>662</v>
      </c>
      <c r="AI7" s="1639" t="s">
        <v>662</v>
      </c>
      <c r="AJ7" s="1639" t="s">
        <v>662</v>
      </c>
      <c r="AK7" s="1639" t="s">
        <v>662</v>
      </c>
      <c r="AL7" s="1639" t="s">
        <v>662</v>
      </c>
      <c r="AM7" s="1639" t="s">
        <v>662</v>
      </c>
      <c r="AN7" s="1639" t="s">
        <v>662</v>
      </c>
      <c r="AO7" s="1639" t="s">
        <v>662</v>
      </c>
      <c r="AP7" s="1639" t="s">
        <v>662</v>
      </c>
      <c r="AQ7" s="1643" t="s">
        <v>662</v>
      </c>
      <c r="AR7" s="2326" t="s">
        <v>1538</v>
      </c>
      <c r="AS7" s="1639" t="s">
        <v>1538</v>
      </c>
      <c r="AT7" s="1639" t="s">
        <v>1538</v>
      </c>
      <c r="AU7" s="2327" t="s">
        <v>1538</v>
      </c>
      <c r="AV7" s="2323" t="s">
        <v>1539</v>
      </c>
      <c r="AW7" s="2323" t="s">
        <v>1539</v>
      </c>
      <c r="AX7" s="2323" t="s">
        <v>1539</v>
      </c>
      <c r="AY7" s="2486" t="s">
        <v>1539</v>
      </c>
      <c r="AZ7" s="2330"/>
      <c r="BA7" s="2331"/>
      <c r="BB7" s="2536" t="s">
        <v>662</v>
      </c>
      <c r="BC7" s="2533" t="s">
        <v>662</v>
      </c>
      <c r="BD7" s="1639" t="s">
        <v>662</v>
      </c>
      <c r="BE7" s="1639" t="s">
        <v>662</v>
      </c>
      <c r="BF7" s="1639" t="s">
        <v>685</v>
      </c>
      <c r="BG7" s="1639" t="s">
        <v>685</v>
      </c>
      <c r="BH7" s="1639" t="s">
        <v>685</v>
      </c>
      <c r="BI7" s="1639" t="s">
        <v>684</v>
      </c>
      <c r="BJ7" s="1639" t="s">
        <v>684</v>
      </c>
      <c r="BK7" s="1639" t="s">
        <v>684</v>
      </c>
      <c r="BL7" s="1640" t="s">
        <v>683</v>
      </c>
      <c r="BM7" s="1646"/>
      <c r="BN7" s="1645"/>
      <c r="BO7" s="1637" t="s">
        <v>662</v>
      </c>
      <c r="BP7" s="1647" t="s">
        <v>662</v>
      </c>
      <c r="BQ7" s="1647" t="s">
        <v>662</v>
      </c>
      <c r="BR7" s="1647" t="s">
        <v>662</v>
      </c>
      <c r="BS7" s="1647" t="s">
        <v>662</v>
      </c>
      <c r="BT7" s="1647" t="s">
        <v>662</v>
      </c>
      <c r="BU7" s="1647" t="s">
        <v>662</v>
      </c>
      <c r="BV7" s="1647" t="s">
        <v>662</v>
      </c>
      <c r="BW7" s="1647" t="s">
        <v>662</v>
      </c>
      <c r="BX7" s="1648" t="s">
        <v>662</v>
      </c>
      <c r="BY7" s="1649"/>
      <c r="BZ7" s="1650"/>
      <c r="CA7" s="1646"/>
      <c r="CB7" s="1651"/>
      <c r="CC7" s="1651"/>
      <c r="CD7" s="1651"/>
      <c r="CE7" s="1651"/>
      <c r="CF7" s="1651"/>
      <c r="CG7" s="1651"/>
      <c r="CH7" s="1645"/>
      <c r="CI7" s="1649"/>
      <c r="CJ7" s="1650"/>
      <c r="CK7" s="1646"/>
      <c r="CL7" s="1651"/>
      <c r="CM7" s="1651"/>
      <c r="CN7" s="1651"/>
      <c r="CO7" s="1651"/>
      <c r="CP7" s="1651"/>
      <c r="CQ7" s="1651"/>
      <c r="CR7" s="1651"/>
      <c r="CS7" s="1651"/>
      <c r="CT7" s="1651"/>
      <c r="CU7" s="1652"/>
      <c r="CV7" s="1649"/>
      <c r="CW7" s="1650"/>
      <c r="CX7" s="1646"/>
      <c r="CY7" s="1651"/>
      <c r="CZ7" s="1651"/>
      <c r="DA7" s="1651"/>
      <c r="DB7" s="1645"/>
      <c r="DC7" s="1649"/>
      <c r="DD7" s="1650"/>
      <c r="DE7" s="343" t="s">
        <v>683</v>
      </c>
      <c r="DF7" s="343"/>
      <c r="DG7" s="343"/>
      <c r="DH7" s="343"/>
      <c r="DI7" s="343"/>
      <c r="DJ7" s="1653"/>
      <c r="DK7" s="1654"/>
      <c r="DL7" s="1655"/>
      <c r="DM7" s="1656"/>
      <c r="DN7" s="1654"/>
      <c r="DO7" s="1657"/>
      <c r="DP7" s="1538"/>
      <c r="DQ7" s="1504"/>
      <c r="DR7" s="1658"/>
      <c r="DS7" s="1659"/>
      <c r="DT7" s="1504"/>
      <c r="DU7" s="1660"/>
      <c r="DV7" s="1661"/>
      <c r="DW7" s="1504"/>
      <c r="DX7" s="1662"/>
      <c r="DY7" s="1663"/>
      <c r="DZ7" s="1504"/>
      <c r="EA7" s="1664"/>
      <c r="EB7" s="1665"/>
      <c r="EC7" s="1504"/>
      <c r="ED7" s="1666"/>
    </row>
    <row r="8" spans="1:134" ht="24" customHeight="1" thickBot="1">
      <c r="A8" s="2850" t="s">
        <v>686</v>
      </c>
      <c r="B8" s="2851"/>
      <c r="C8" s="2399"/>
      <c r="D8" s="2400"/>
      <c r="E8" s="2383"/>
      <c r="F8" s="2444"/>
      <c r="G8" s="1496"/>
      <c r="H8" s="1496"/>
      <c r="I8" s="1496"/>
      <c r="J8" s="1496"/>
      <c r="K8" s="1496"/>
      <c r="L8" s="1496"/>
      <c r="M8" s="1496"/>
      <c r="N8" s="1496"/>
      <c r="O8" s="1496"/>
      <c r="P8" s="1496"/>
      <c r="Q8" s="1496"/>
      <c r="R8" s="1496"/>
      <c r="S8" s="1496"/>
      <c r="T8" s="1496"/>
      <c r="U8" s="1669"/>
      <c r="V8" s="1641"/>
      <c r="W8" s="1642"/>
      <c r="X8" s="2330"/>
      <c r="Y8" s="1651"/>
      <c r="Z8" s="1652"/>
      <c r="AA8" s="1670"/>
      <c r="AB8" s="1496"/>
      <c r="AC8" s="1496"/>
      <c r="AD8" s="1496"/>
      <c r="AE8" s="1496"/>
      <c r="AF8" s="1496"/>
      <c r="AG8" s="1496"/>
      <c r="AH8" s="1496"/>
      <c r="AI8" s="1496"/>
      <c r="AJ8" s="1496"/>
      <c r="AK8" s="1496"/>
      <c r="AL8" s="1496"/>
      <c r="AM8" s="1496"/>
      <c r="AN8" s="1496"/>
      <c r="AO8" s="1496"/>
      <c r="AP8" s="1496"/>
      <c r="AQ8" s="2319"/>
      <c r="AR8" s="2492"/>
      <c r="AS8" s="2492"/>
      <c r="AT8" s="2492"/>
      <c r="AU8" s="2492"/>
      <c r="AV8" s="2494"/>
      <c r="AW8" s="2493"/>
      <c r="AX8" s="2493"/>
      <c r="AY8" s="2495"/>
      <c r="AZ8" s="1641"/>
      <c r="BA8" s="1642"/>
      <c r="BB8" s="2468"/>
      <c r="BC8" s="2383"/>
      <c r="BD8" s="1496"/>
      <c r="BE8" s="1496"/>
      <c r="BF8" s="1496"/>
      <c r="BG8" s="1496"/>
      <c r="BH8" s="1496"/>
      <c r="BI8" s="1496"/>
      <c r="BJ8" s="1496"/>
      <c r="BK8" s="1496"/>
      <c r="BL8" s="1669"/>
      <c r="BM8" s="1671"/>
      <c r="BN8" s="1672"/>
      <c r="BO8" s="1670"/>
      <c r="BP8" s="1496"/>
      <c r="BQ8" s="1496"/>
      <c r="BR8" s="1496"/>
      <c r="BS8" s="1496"/>
      <c r="BT8" s="1496"/>
      <c r="BU8" s="1496"/>
      <c r="BV8" s="1496"/>
      <c r="BW8" s="1496"/>
      <c r="BX8" s="1669"/>
      <c r="BY8" s="1671"/>
      <c r="BZ8" s="1672"/>
      <c r="CA8" s="1670"/>
      <c r="CB8" s="1668"/>
      <c r="CC8" s="1668"/>
      <c r="CD8" s="1668"/>
      <c r="CE8" s="1668"/>
      <c r="CF8" s="1668"/>
      <c r="CG8" s="1668"/>
      <c r="CH8" s="1673"/>
      <c r="CI8" s="1671"/>
      <c r="CJ8" s="1672"/>
      <c r="CK8" s="1668"/>
      <c r="CL8" s="1668"/>
      <c r="CM8" s="1668"/>
      <c r="CN8" s="1668"/>
      <c r="CO8" s="1668"/>
      <c r="CP8" s="1668"/>
      <c r="CQ8" s="1668"/>
      <c r="CR8" s="1668"/>
      <c r="CS8" s="1668"/>
      <c r="CT8" s="1496"/>
      <c r="CU8" s="1674"/>
      <c r="CV8" s="1671"/>
      <c r="CW8" s="1675"/>
      <c r="CX8" s="1668"/>
      <c r="CY8" s="1668"/>
      <c r="CZ8" s="1668"/>
      <c r="DA8" s="1668"/>
      <c r="DB8" s="1673"/>
      <c r="DC8" s="1671"/>
      <c r="DD8" s="1672"/>
      <c r="DE8" s="343" t="s">
        <v>662</v>
      </c>
      <c r="DF8" s="343"/>
      <c r="DG8" s="343"/>
      <c r="DH8" s="343" t="s">
        <v>687</v>
      </c>
      <c r="DI8" s="343"/>
      <c r="DJ8" s="1518" t="s">
        <v>688</v>
      </c>
      <c r="DK8" s="1504"/>
      <c r="DL8" s="1655">
        <f>SUM(C97:D97)</f>
        <v>0</v>
      </c>
      <c r="DM8" s="1676" t="s">
        <v>688</v>
      </c>
      <c r="DN8" s="1504"/>
      <c r="DO8" s="1657">
        <f>SUM(X97:Z97)</f>
        <v>0</v>
      </c>
      <c r="DP8" s="1677" t="s">
        <v>689</v>
      </c>
      <c r="DQ8" s="1654"/>
      <c r="DR8" s="1658">
        <f>SUM(BB96:BL96)</f>
        <v>0</v>
      </c>
      <c r="DS8" s="1678" t="s">
        <v>690</v>
      </c>
      <c r="DT8" s="1654"/>
      <c r="DU8" s="1660">
        <f>SUM(CA96:CH96)</f>
        <v>0</v>
      </c>
      <c r="DV8" s="1679" t="s">
        <v>690</v>
      </c>
      <c r="DW8" s="1654"/>
      <c r="DX8" s="1662">
        <f>SUM(CK96:CU96)</f>
        <v>0</v>
      </c>
      <c r="DY8" s="1680" t="s">
        <v>690</v>
      </c>
      <c r="DZ8" s="1654"/>
      <c r="EA8" s="1664">
        <f>SUM(CX96:DB96)</f>
        <v>0</v>
      </c>
      <c r="EB8" s="1681" t="s">
        <v>690</v>
      </c>
      <c r="EC8" s="1654"/>
      <c r="ED8" s="1666">
        <f>SUM(BO96:BX96)</f>
        <v>0</v>
      </c>
    </row>
    <row r="9" spans="1:134" ht="24" customHeight="1">
      <c r="A9" s="2850" t="s">
        <v>691</v>
      </c>
      <c r="B9" s="2851"/>
      <c r="C9" s="2401"/>
      <c r="D9" s="2402"/>
      <c r="E9" s="1682"/>
      <c r="F9" s="1685"/>
      <c r="G9" s="1685"/>
      <c r="H9" s="1685"/>
      <c r="I9" s="1685"/>
      <c r="J9" s="1685"/>
      <c r="K9" s="1685"/>
      <c r="L9" s="1685"/>
      <c r="M9" s="1685"/>
      <c r="N9" s="1685"/>
      <c r="O9" s="1685"/>
      <c r="P9" s="1685"/>
      <c r="Q9" s="1685"/>
      <c r="R9" s="1685"/>
      <c r="S9" s="1685"/>
      <c r="T9" s="1685"/>
      <c r="U9" s="1683"/>
      <c r="V9" s="1686"/>
      <c r="W9" s="1687"/>
      <c r="X9" s="2328"/>
      <c r="Y9" s="1685"/>
      <c r="Z9" s="1688"/>
      <c r="AA9" s="1684"/>
      <c r="AB9" s="1685"/>
      <c r="AC9" s="1685"/>
      <c r="AD9" s="1685"/>
      <c r="AE9" s="1685"/>
      <c r="AF9" s="1685"/>
      <c r="AG9" s="1685"/>
      <c r="AH9" s="1685"/>
      <c r="AI9" s="1685"/>
      <c r="AJ9" s="1685"/>
      <c r="AK9" s="1685"/>
      <c r="AL9" s="1685"/>
      <c r="AM9" s="1685"/>
      <c r="AN9" s="1685"/>
      <c r="AO9" s="1685"/>
      <c r="AP9" s="1685"/>
      <c r="AQ9" s="1688"/>
      <c r="AR9" s="2328"/>
      <c r="AS9" s="1685"/>
      <c r="AT9" s="1685"/>
      <c r="AU9" s="2329"/>
      <c r="AV9" s="1682"/>
      <c r="AW9" s="1685"/>
      <c r="AX9" s="1685"/>
      <c r="AY9" s="2329"/>
      <c r="AZ9" s="1689"/>
      <c r="BA9" s="1687"/>
      <c r="BB9" s="2537"/>
      <c r="BC9" s="2534"/>
      <c r="BD9" s="1685"/>
      <c r="BE9" s="1685"/>
      <c r="BF9" s="1685"/>
      <c r="BG9" s="1685"/>
      <c r="BH9" s="1685"/>
      <c r="BI9" s="1685"/>
      <c r="BJ9" s="1685"/>
      <c r="BK9" s="1685"/>
      <c r="BL9" s="1683"/>
      <c r="BM9" s="1690"/>
      <c r="BN9" s="1691"/>
      <c r="BO9" s="1684"/>
      <c r="BP9" s="1685"/>
      <c r="BQ9" s="1685"/>
      <c r="BR9" s="1685"/>
      <c r="BS9" s="1685"/>
      <c r="BT9" s="1685"/>
      <c r="BU9" s="1685"/>
      <c r="BV9" s="1685"/>
      <c r="BW9" s="1685"/>
      <c r="BX9" s="1683"/>
      <c r="BY9" s="1690"/>
      <c r="BZ9" s="1691"/>
      <c r="CA9" s="1684"/>
      <c r="CB9" s="1685"/>
      <c r="CC9" s="1685"/>
      <c r="CD9" s="1685"/>
      <c r="CE9" s="1685"/>
      <c r="CF9" s="1685"/>
      <c r="CG9" s="1685"/>
      <c r="CH9" s="1683"/>
      <c r="CI9" s="1690"/>
      <c r="CJ9" s="1691"/>
      <c r="CK9" s="1684"/>
      <c r="CL9" s="1682"/>
      <c r="CM9" s="1685"/>
      <c r="CN9" s="1685"/>
      <c r="CO9" s="1685"/>
      <c r="CP9" s="1685"/>
      <c r="CQ9" s="1685"/>
      <c r="CR9" s="1685"/>
      <c r="CS9" s="1685"/>
      <c r="CT9" s="1685"/>
      <c r="CU9" s="1688"/>
      <c r="CV9" s="1670"/>
      <c r="CW9" s="1673"/>
      <c r="CX9" s="1684"/>
      <c r="CY9" s="1685"/>
      <c r="CZ9" s="1685"/>
      <c r="DA9" s="1685"/>
      <c r="DB9" s="1683"/>
      <c r="DC9" s="1670"/>
      <c r="DD9" s="1669"/>
      <c r="DE9" s="343" t="s">
        <v>685</v>
      </c>
      <c r="DF9" s="343"/>
      <c r="DG9" s="343"/>
      <c r="DH9" s="343">
        <v>137</v>
      </c>
      <c r="DI9" s="343"/>
      <c r="DJ9" s="1518" t="s">
        <v>692</v>
      </c>
      <c r="DK9" s="1504"/>
      <c r="DL9" s="1655">
        <f>SUM(C100:D100)</f>
        <v>0</v>
      </c>
      <c r="DM9" s="1676" t="s">
        <v>692</v>
      </c>
      <c r="DN9" s="1504"/>
      <c r="DO9" s="1657">
        <f>SUM(X100:Z100)</f>
        <v>0</v>
      </c>
      <c r="DP9" s="1677" t="s">
        <v>693</v>
      </c>
      <c r="DQ9" s="1654"/>
      <c r="DR9" s="1658">
        <f>SUM(BB112:BL112)</f>
        <v>0</v>
      </c>
      <c r="DS9" s="1659" t="s">
        <v>529</v>
      </c>
      <c r="DT9" s="1504"/>
      <c r="DU9" s="1660">
        <f>SUM(CA101:CH101)</f>
        <v>0</v>
      </c>
      <c r="DV9" s="1661" t="s">
        <v>529</v>
      </c>
      <c r="DW9" s="1504"/>
      <c r="DX9" s="1662">
        <f>SUM(CK101:CU101)</f>
        <v>0</v>
      </c>
      <c r="DY9" s="1663" t="s">
        <v>529</v>
      </c>
      <c r="DZ9" s="1504"/>
      <c r="EA9" s="1664">
        <f>SUM(CX101:DB101)</f>
        <v>0</v>
      </c>
      <c r="EB9" s="1681" t="s">
        <v>694</v>
      </c>
      <c r="EC9" s="1654"/>
      <c r="ED9" s="1666">
        <f>SUM(BO112:BX112)</f>
        <v>0</v>
      </c>
    </row>
    <row r="10" spans="1:134" ht="24" customHeight="1">
      <c r="A10" s="2850" t="s">
        <v>695</v>
      </c>
      <c r="B10" s="2851"/>
      <c r="C10" s="2401"/>
      <c r="D10" s="2402"/>
      <c r="E10" s="1682"/>
      <c r="F10" s="1685"/>
      <c r="G10" s="1685"/>
      <c r="H10" s="1685"/>
      <c r="I10" s="1685"/>
      <c r="J10" s="1685"/>
      <c r="K10" s="1685"/>
      <c r="L10" s="1685"/>
      <c r="M10" s="1685"/>
      <c r="N10" s="1685"/>
      <c r="O10" s="1685"/>
      <c r="P10" s="1685"/>
      <c r="Q10" s="1685"/>
      <c r="R10" s="1685"/>
      <c r="S10" s="1685"/>
      <c r="T10" s="1685"/>
      <c r="U10" s="1683"/>
      <c r="V10" s="1692"/>
      <c r="W10" s="1693"/>
      <c r="X10" s="2328"/>
      <c r="Y10" s="1685"/>
      <c r="Z10" s="1688"/>
      <c r="AA10" s="1684"/>
      <c r="AB10" s="1685"/>
      <c r="AC10" s="1685"/>
      <c r="AD10" s="1685"/>
      <c r="AE10" s="1685"/>
      <c r="AF10" s="1685"/>
      <c r="AG10" s="1685"/>
      <c r="AH10" s="1685"/>
      <c r="AI10" s="1685"/>
      <c r="AJ10" s="1685"/>
      <c r="AK10" s="1685"/>
      <c r="AL10" s="1685"/>
      <c r="AM10" s="1685"/>
      <c r="AN10" s="1685"/>
      <c r="AO10" s="1685"/>
      <c r="AP10" s="1685"/>
      <c r="AQ10" s="1688"/>
      <c r="AR10" s="2328"/>
      <c r="AS10" s="1685"/>
      <c r="AT10" s="1685"/>
      <c r="AU10" s="2329"/>
      <c r="AV10" s="1682"/>
      <c r="AW10" s="1685"/>
      <c r="AX10" s="1685"/>
      <c r="AY10" s="2329"/>
      <c r="AZ10" s="1694"/>
      <c r="BA10" s="1693"/>
      <c r="BB10" s="2537"/>
      <c r="BC10" s="2534"/>
      <c r="BD10" s="1685"/>
      <c r="BE10" s="1685"/>
      <c r="BF10" s="1685"/>
      <c r="BG10" s="1685"/>
      <c r="BH10" s="1685"/>
      <c r="BI10" s="1685"/>
      <c r="BJ10" s="1685"/>
      <c r="BK10" s="1685"/>
      <c r="BL10" s="1683"/>
      <c r="BM10" s="1695"/>
      <c r="BN10" s="1693"/>
      <c r="BO10" s="1684"/>
      <c r="BP10" s="1685"/>
      <c r="BQ10" s="1685"/>
      <c r="BR10" s="1685"/>
      <c r="BS10" s="1685"/>
      <c r="BT10" s="1685"/>
      <c r="BU10" s="1685"/>
      <c r="BV10" s="1685"/>
      <c r="BW10" s="1685"/>
      <c r="BX10" s="1683"/>
      <c r="BY10" s="1695"/>
      <c r="BZ10" s="1693"/>
      <c r="CA10" s="1684"/>
      <c r="CB10" s="1685"/>
      <c r="CC10" s="1685"/>
      <c r="CD10" s="1685"/>
      <c r="CE10" s="1685"/>
      <c r="CF10" s="1685"/>
      <c r="CG10" s="1685"/>
      <c r="CH10" s="1683"/>
      <c r="CI10" s="1695"/>
      <c r="CJ10" s="1693"/>
      <c r="CK10" s="1684"/>
      <c r="CL10" s="1682"/>
      <c r="CM10" s="1685"/>
      <c r="CN10" s="1685"/>
      <c r="CO10" s="1685"/>
      <c r="CP10" s="1685"/>
      <c r="CQ10" s="1685"/>
      <c r="CR10" s="1685"/>
      <c r="CS10" s="1685"/>
      <c r="CT10" s="1685"/>
      <c r="CU10" s="1688"/>
      <c r="CV10" s="1646"/>
      <c r="CW10" s="1696"/>
      <c r="CX10" s="1684"/>
      <c r="CY10" s="1685"/>
      <c r="CZ10" s="1685"/>
      <c r="DA10" s="1685"/>
      <c r="DB10" s="1683"/>
      <c r="DC10" s="1646"/>
      <c r="DD10" s="1645"/>
      <c r="DE10" s="343" t="s">
        <v>684</v>
      </c>
      <c r="DF10" s="343"/>
      <c r="DG10" s="343"/>
      <c r="DH10" s="343">
        <v>183</v>
      </c>
      <c r="DI10" s="343"/>
      <c r="DJ10" s="1518" t="s">
        <v>529</v>
      </c>
      <c r="DK10" s="1504"/>
      <c r="DL10" s="1655">
        <f>SUM(C101:D101)</f>
        <v>0</v>
      </c>
      <c r="DM10" s="1676" t="s">
        <v>529</v>
      </c>
      <c r="DN10" s="1504"/>
      <c r="DO10" s="1657">
        <f>SUM(X101:Z101)</f>
        <v>0</v>
      </c>
      <c r="DP10" s="1538" t="s">
        <v>529</v>
      </c>
      <c r="DQ10" s="1504"/>
      <c r="DR10" s="1658">
        <f>SUM(BB101:BL101)</f>
        <v>0</v>
      </c>
      <c r="DS10" s="1659" t="s">
        <v>627</v>
      </c>
      <c r="DT10" s="1504"/>
      <c r="DU10" s="1660">
        <f>SUM(CA102:CH102)</f>
        <v>0</v>
      </c>
      <c r="DV10" s="1661" t="s">
        <v>627</v>
      </c>
      <c r="DW10" s="1504"/>
      <c r="DX10" s="1662">
        <f>SUM(CK102:CU102)</f>
        <v>0</v>
      </c>
      <c r="DY10" s="1663" t="s">
        <v>627</v>
      </c>
      <c r="DZ10" s="1504"/>
      <c r="EA10" s="1664">
        <f>SUM(CX102:DB102)</f>
        <v>0</v>
      </c>
      <c r="EB10" s="1665" t="s">
        <v>529</v>
      </c>
      <c r="EC10" s="1504"/>
      <c r="ED10" s="1666">
        <f>SUM(BO101:BZ101)</f>
        <v>0</v>
      </c>
    </row>
    <row r="11" spans="1:134" ht="24" customHeight="1">
      <c r="A11" s="2850" t="str">
        <f>"Antal måneder ansat januar til og med marts"&amp; budgetår&amp;" (Hvis alle skriv 3)"</f>
        <v>Antal måneder ansat januar til og med marts2025 (Hvis alle skriv 3)</v>
      </c>
      <c r="B11" s="2851"/>
      <c r="C11" s="2403"/>
      <c r="D11" s="2404"/>
      <c r="E11" s="1644"/>
      <c r="F11" s="1651"/>
      <c r="G11" s="1651"/>
      <c r="H11" s="1651"/>
      <c r="I11" s="1651"/>
      <c r="J11" s="1651"/>
      <c r="K11" s="1651"/>
      <c r="L11" s="1651"/>
      <c r="M11" s="1651"/>
      <c r="N11" s="1651"/>
      <c r="O11" s="1651"/>
      <c r="P11" s="1651"/>
      <c r="Q11" s="1651"/>
      <c r="R11" s="1651"/>
      <c r="S11" s="1651"/>
      <c r="T11" s="1651"/>
      <c r="U11" s="1645"/>
      <c r="V11" s="1692"/>
      <c r="W11" s="1693"/>
      <c r="X11" s="2330"/>
      <c r="Y11" s="1651"/>
      <c r="Z11" s="1652"/>
      <c r="AA11" s="1646"/>
      <c r="AB11" s="1651"/>
      <c r="AC11" s="1651"/>
      <c r="AD11" s="1651"/>
      <c r="AE11" s="1651"/>
      <c r="AF11" s="1651"/>
      <c r="AG11" s="1651"/>
      <c r="AH11" s="1651"/>
      <c r="AI11" s="1651"/>
      <c r="AJ11" s="1651"/>
      <c r="AK11" s="1651"/>
      <c r="AL11" s="1651"/>
      <c r="AM11" s="1651"/>
      <c r="AN11" s="1651"/>
      <c r="AO11" s="1651"/>
      <c r="AP11" s="1651"/>
      <c r="AQ11" s="1652"/>
      <c r="AR11" s="2330"/>
      <c r="AS11" s="1651"/>
      <c r="AT11" s="1651"/>
      <c r="AU11" s="2331"/>
      <c r="AV11" s="1644"/>
      <c r="AW11" s="1651"/>
      <c r="AX11" s="1651"/>
      <c r="AY11" s="2331"/>
      <c r="AZ11" s="1697"/>
      <c r="BA11" s="1693"/>
      <c r="BB11" s="2538"/>
      <c r="BC11" s="2535"/>
      <c r="BD11" s="1651"/>
      <c r="BE11" s="1651"/>
      <c r="BF11" s="1651"/>
      <c r="BG11" s="1651"/>
      <c r="BH11" s="1651"/>
      <c r="BI11" s="1651"/>
      <c r="BJ11" s="1651"/>
      <c r="BK11" s="1651"/>
      <c r="BL11" s="1645"/>
      <c r="BM11" s="1695"/>
      <c r="BN11" s="1693"/>
      <c r="BO11" s="1646"/>
      <c r="BP11" s="1651"/>
      <c r="BQ11" s="1651"/>
      <c r="BR11" s="1651"/>
      <c r="BS11" s="1651"/>
      <c r="BT11" s="1651"/>
      <c r="BU11" s="1651"/>
      <c r="BV11" s="1651"/>
      <c r="BW11" s="1651"/>
      <c r="BX11" s="1645"/>
      <c r="BY11" s="1695"/>
      <c r="BZ11" s="1693"/>
      <c r="CA11" s="1698"/>
      <c r="CB11" s="1699"/>
      <c r="CC11" s="1699"/>
      <c r="CD11" s="1699"/>
      <c r="CE11" s="1699"/>
      <c r="CF11" s="1699"/>
      <c r="CG11" s="1699"/>
      <c r="CH11" s="1693"/>
      <c r="CI11" s="1695"/>
      <c r="CJ11" s="1693"/>
      <c r="CK11" s="1700"/>
      <c r="CL11" s="1652"/>
      <c r="CM11" s="1652"/>
      <c r="CN11" s="1652"/>
      <c r="CO11" s="1652"/>
      <c r="CP11" s="1652"/>
      <c r="CQ11" s="1652"/>
      <c r="CR11" s="1652"/>
      <c r="CS11" s="1652"/>
      <c r="CT11" s="1652"/>
      <c r="CU11" s="1652"/>
      <c r="CV11" s="1646"/>
      <c r="CW11" s="1696"/>
      <c r="CX11" s="1700"/>
      <c r="CY11" s="1652"/>
      <c r="CZ11" s="1652"/>
      <c r="DA11" s="1651"/>
      <c r="DB11" s="1645"/>
      <c r="DC11" s="1646"/>
      <c r="DD11" s="1645"/>
      <c r="DE11" s="343"/>
      <c r="DF11" s="343"/>
      <c r="DG11" s="343"/>
      <c r="DH11" s="343"/>
      <c r="DI11" s="343"/>
      <c r="DJ11" s="1518" t="s">
        <v>627</v>
      </c>
      <c r="DK11" s="1504"/>
      <c r="DL11" s="1655">
        <f>SUM(C102:D102)</f>
        <v>0</v>
      </c>
      <c r="DM11" s="1676" t="s">
        <v>627</v>
      </c>
      <c r="DN11" s="1504"/>
      <c r="DO11" s="1657">
        <f>SUM(X102:Z102)</f>
        <v>0</v>
      </c>
      <c r="DP11" s="1538" t="s">
        <v>627</v>
      </c>
      <c r="DQ11" s="1504"/>
      <c r="DR11" s="1658">
        <f>SUM(BB102:BL102)</f>
        <v>0</v>
      </c>
      <c r="DS11" s="1659" t="s">
        <v>696</v>
      </c>
      <c r="DT11" s="1504"/>
      <c r="DU11" s="1660">
        <f>SUM(CA103:CH103)</f>
        <v>0</v>
      </c>
      <c r="DV11" s="1661" t="s">
        <v>696</v>
      </c>
      <c r="DW11" s="1504"/>
      <c r="DX11" s="1662">
        <f>SUM(CK103:CU103)</f>
        <v>0</v>
      </c>
      <c r="DY11" s="1663" t="s">
        <v>696</v>
      </c>
      <c r="DZ11" s="1504"/>
      <c r="EA11" s="1664">
        <f>SUM(CX103:DB103)</f>
        <v>0</v>
      </c>
      <c r="EB11" s="1665" t="s">
        <v>627</v>
      </c>
      <c r="EC11" s="1504"/>
      <c r="ED11" s="1666">
        <f>SUM(BO102:BZ102)</f>
        <v>0</v>
      </c>
    </row>
    <row r="12" spans="1:134" ht="24" customHeight="1">
      <c r="A12" s="1667" t="str">
        <f>"Antal måneder ansat april til og med juli "&amp;budgetår&amp;" (Hvis alle skriv 4)"</f>
        <v>Antal måneder ansat april til og med juli 2025 (Hvis alle skriv 4)</v>
      </c>
      <c r="B12" s="2382"/>
      <c r="C12" s="2405"/>
      <c r="D12" s="2406"/>
      <c r="E12" s="625"/>
      <c r="F12" s="2445"/>
      <c r="G12" s="1701"/>
      <c r="H12" s="1701"/>
      <c r="I12" s="1701"/>
      <c r="J12" s="1701"/>
      <c r="K12" s="1701"/>
      <c r="L12" s="1701"/>
      <c r="M12" s="1701"/>
      <c r="N12" s="1701"/>
      <c r="O12" s="1701"/>
      <c r="P12" s="1701"/>
      <c r="Q12" s="1701"/>
      <c r="R12" s="1701"/>
      <c r="S12" s="1701"/>
      <c r="T12" s="1701"/>
      <c r="U12" s="1650"/>
      <c r="V12" s="1702"/>
      <c r="W12" s="1691"/>
      <c r="X12" s="2466"/>
      <c r="Y12" s="2445"/>
      <c r="Z12" s="1703"/>
      <c r="AA12" s="1649"/>
      <c r="AB12" s="1701"/>
      <c r="AC12" s="1701"/>
      <c r="AD12" s="1701"/>
      <c r="AE12" s="1701"/>
      <c r="AF12" s="1701"/>
      <c r="AG12" s="1701"/>
      <c r="AH12" s="1701"/>
      <c r="AI12" s="1701"/>
      <c r="AJ12" s="1701"/>
      <c r="AK12" s="1701"/>
      <c r="AL12" s="1701"/>
      <c r="AM12" s="1701"/>
      <c r="AN12" s="1701"/>
      <c r="AO12" s="1701"/>
      <c r="AP12" s="1701"/>
      <c r="AQ12" s="1703"/>
      <c r="AR12" s="2466"/>
      <c r="AS12" s="2445"/>
      <c r="AT12" s="2445"/>
      <c r="AU12" s="2496"/>
      <c r="AV12" s="625"/>
      <c r="AW12" s="2445"/>
      <c r="AX12" s="2445"/>
      <c r="AY12" s="2496"/>
      <c r="AZ12" s="1697"/>
      <c r="BA12" s="1704"/>
      <c r="BB12" s="2466"/>
      <c r="BC12" s="625"/>
      <c r="BD12" s="1701"/>
      <c r="BE12" s="1701"/>
      <c r="BF12" s="1701"/>
      <c r="BG12" s="1701"/>
      <c r="BH12" s="1701"/>
      <c r="BI12" s="1701"/>
      <c r="BJ12" s="1701"/>
      <c r="BK12" s="1701"/>
      <c r="BL12" s="1650"/>
      <c r="BM12" s="1690"/>
      <c r="BN12" s="1691"/>
      <c r="BO12" s="1649"/>
      <c r="BP12" s="1701"/>
      <c r="BQ12" s="1701"/>
      <c r="BR12" s="1701"/>
      <c r="BS12" s="1701"/>
      <c r="BT12" s="1701"/>
      <c r="BU12" s="1701"/>
      <c r="BV12" s="1701"/>
      <c r="BW12" s="1701"/>
      <c r="BX12" s="1650"/>
      <c r="BY12" s="1690"/>
      <c r="BZ12" s="1691"/>
      <c r="CA12" s="1705"/>
      <c r="CB12" s="1699"/>
      <c r="CC12" s="1699"/>
      <c r="CD12" s="1699"/>
      <c r="CE12" s="1699"/>
      <c r="CF12" s="1699"/>
      <c r="CG12" s="1699"/>
      <c r="CH12" s="1691"/>
      <c r="CI12" s="1690"/>
      <c r="CJ12" s="1691"/>
      <c r="CK12" s="861"/>
      <c r="CL12" s="1703"/>
      <c r="CM12" s="1703"/>
      <c r="CN12" s="1703"/>
      <c r="CO12" s="1703"/>
      <c r="CP12" s="1703"/>
      <c r="CQ12" s="1703"/>
      <c r="CR12" s="1703"/>
      <c r="CS12" s="1703"/>
      <c r="CT12" s="1703"/>
      <c r="CU12" s="1703"/>
      <c r="CV12" s="1649"/>
      <c r="CW12" s="626"/>
      <c r="CX12" s="861"/>
      <c r="CY12" s="1703"/>
      <c r="CZ12" s="1703"/>
      <c r="DA12" s="1701"/>
      <c r="DB12" s="1650"/>
      <c r="DC12" s="1649"/>
      <c r="DD12" s="1650"/>
      <c r="DE12" s="343"/>
      <c r="DF12" s="343"/>
      <c r="DG12" s="343"/>
      <c r="DH12" s="343"/>
      <c r="DI12" s="343"/>
      <c r="DJ12" s="1518" t="s">
        <v>697</v>
      </c>
      <c r="DK12" s="1504"/>
      <c r="DL12" s="1655">
        <f>SUM(C99:W99)</f>
        <v>0</v>
      </c>
      <c r="DM12" s="1676" t="s">
        <v>697</v>
      </c>
      <c r="DN12" s="1504"/>
      <c r="DO12" s="1657">
        <f>SUM(X99:BA99)</f>
        <v>0</v>
      </c>
      <c r="DP12" s="1538" t="s">
        <v>696</v>
      </c>
      <c r="DQ12" s="1504"/>
      <c r="DR12" s="1658">
        <f>SUM(BB103:BL103)</f>
        <v>0</v>
      </c>
      <c r="DS12" s="1659"/>
      <c r="DT12" s="1504"/>
      <c r="DU12" s="1660"/>
      <c r="DV12" s="1661" t="s">
        <v>698</v>
      </c>
      <c r="DW12" s="1504"/>
      <c r="DX12" s="1662">
        <f>SUM(CK99:CW99)</f>
        <v>0</v>
      </c>
      <c r="DY12" s="1663" t="s">
        <v>698</v>
      </c>
      <c r="DZ12" s="1504"/>
      <c r="EA12" s="1664">
        <f>SUM(CX99:DD99)</f>
        <v>0</v>
      </c>
      <c r="EB12" s="1665" t="s">
        <v>696</v>
      </c>
      <c r="EC12" s="1504"/>
      <c r="ED12" s="1666">
        <f>SUM(BO103:BZ103)</f>
        <v>0</v>
      </c>
    </row>
    <row r="13" spans="1:134" ht="24" customHeight="1" thickBot="1">
      <c r="A13" s="2850" t="str">
        <f>"Ansat antal måneder august til december "&amp;budgetår&amp;" (Hvis alle skriv 5)"</f>
        <v>Ansat antal måneder august til december 2025 (Hvis alle skriv 5)</v>
      </c>
      <c r="B13" s="2851"/>
      <c r="C13" s="2407"/>
      <c r="D13" s="2408"/>
      <c r="E13" s="2446"/>
      <c r="F13" s="2322"/>
      <c r="G13" s="1708"/>
      <c r="H13" s="1708"/>
      <c r="I13" s="1708"/>
      <c r="J13" s="1708"/>
      <c r="K13" s="1708"/>
      <c r="L13" s="1708"/>
      <c r="M13" s="1708"/>
      <c r="N13" s="1708"/>
      <c r="O13" s="1708"/>
      <c r="P13" s="1708"/>
      <c r="Q13" s="1708"/>
      <c r="R13" s="1708"/>
      <c r="S13" s="1708"/>
      <c r="T13" s="1708"/>
      <c r="U13" s="1706"/>
      <c r="V13" s="1709"/>
      <c r="W13" s="1710"/>
      <c r="X13" s="1707"/>
      <c r="Y13" s="2322"/>
      <c r="Z13" s="1711"/>
      <c r="AA13" s="1707"/>
      <c r="AB13" s="1708"/>
      <c r="AC13" s="1708"/>
      <c r="AD13" s="1708"/>
      <c r="AE13" s="1708"/>
      <c r="AF13" s="1708"/>
      <c r="AG13" s="1708"/>
      <c r="AH13" s="1708"/>
      <c r="AI13" s="1708"/>
      <c r="AJ13" s="1708"/>
      <c r="AK13" s="1708"/>
      <c r="AL13" s="1708"/>
      <c r="AM13" s="1708"/>
      <c r="AN13" s="1708"/>
      <c r="AO13" s="1708"/>
      <c r="AP13" s="1708"/>
      <c r="AQ13" s="2317"/>
      <c r="AR13" s="1707"/>
      <c r="AS13" s="2322"/>
      <c r="AT13" s="2322"/>
      <c r="AU13" s="2332"/>
      <c r="AV13" s="2446"/>
      <c r="AW13" s="2322"/>
      <c r="AX13" s="2322"/>
      <c r="AY13" s="2332"/>
      <c r="AZ13" s="926"/>
      <c r="BA13" s="927"/>
      <c r="BB13" s="2539"/>
      <c r="BC13" s="2446"/>
      <c r="BD13" s="1708"/>
      <c r="BE13" s="1708"/>
      <c r="BF13" s="1708"/>
      <c r="BG13" s="1708"/>
      <c r="BH13" s="1708"/>
      <c r="BI13" s="1708"/>
      <c r="BJ13" s="1708"/>
      <c r="BK13" s="1708"/>
      <c r="BL13" s="1706"/>
      <c r="BM13" s="1712"/>
      <c r="BN13" s="1710"/>
      <c r="BO13" s="1707"/>
      <c r="BP13" s="1708"/>
      <c r="BQ13" s="1708"/>
      <c r="BR13" s="1708"/>
      <c r="BS13" s="1708"/>
      <c r="BT13" s="1708"/>
      <c r="BU13" s="1708"/>
      <c r="BV13" s="1708"/>
      <c r="BW13" s="1708"/>
      <c r="BX13" s="1706"/>
      <c r="BY13" s="1712"/>
      <c r="BZ13" s="1710"/>
      <c r="CA13" s="1713"/>
      <c r="CB13" s="1714"/>
      <c r="CC13" s="1714"/>
      <c r="CD13" s="1714"/>
      <c r="CE13" s="1714"/>
      <c r="CF13" s="1714"/>
      <c r="CG13" s="1714"/>
      <c r="CH13" s="1710"/>
      <c r="CI13" s="1712"/>
      <c r="CJ13" s="1710"/>
      <c r="CK13" s="1715"/>
      <c r="CL13" s="1711"/>
      <c r="CM13" s="1711"/>
      <c r="CN13" s="1711"/>
      <c r="CO13" s="1711"/>
      <c r="CP13" s="1711"/>
      <c r="CQ13" s="1711"/>
      <c r="CR13" s="1711"/>
      <c r="CS13" s="1711"/>
      <c r="CT13" s="1711"/>
      <c r="CU13" s="1711"/>
      <c r="CV13" s="1707"/>
      <c r="CW13" s="1716"/>
      <c r="CX13" s="1715"/>
      <c r="CY13" s="1711"/>
      <c r="CZ13" s="1711"/>
      <c r="DA13" s="1708"/>
      <c r="DB13" s="1706"/>
      <c r="DC13" s="1707"/>
      <c r="DD13" s="1706"/>
      <c r="DE13" s="343"/>
      <c r="DF13" s="343"/>
      <c r="DG13" s="343" t="s">
        <v>494</v>
      </c>
      <c r="DH13" s="343"/>
      <c r="DI13" s="343"/>
      <c r="DJ13" s="1518" t="s">
        <v>696</v>
      </c>
      <c r="DK13" s="1504"/>
      <c r="DL13" s="1655">
        <f>SUM(C103:D103)</f>
        <v>0</v>
      </c>
      <c r="DM13" s="1676" t="s">
        <v>696</v>
      </c>
      <c r="DN13" s="1504"/>
      <c r="DO13" s="1657">
        <f>SUM(X103:Z103)</f>
        <v>0</v>
      </c>
      <c r="DP13" s="1538" t="s">
        <v>697</v>
      </c>
      <c r="DQ13" s="1504"/>
      <c r="DR13" s="1658">
        <f>SUM(BB99:BN99)</f>
        <v>0</v>
      </c>
      <c r="DS13" s="1659" t="s">
        <v>699</v>
      </c>
      <c r="DT13" s="1504"/>
      <c r="DU13" s="1660">
        <f>SUM(CA104:CH104)</f>
        <v>0</v>
      </c>
      <c r="DV13" s="1661" t="s">
        <v>699</v>
      </c>
      <c r="DW13" s="1504"/>
      <c r="DX13" s="1662">
        <f>SUM(CK104:CU104)</f>
        <v>0</v>
      </c>
      <c r="DY13" s="1663" t="s">
        <v>699</v>
      </c>
      <c r="DZ13" s="1504"/>
      <c r="EA13" s="1664">
        <f>SUM(CX104:DB104)</f>
        <v>0</v>
      </c>
      <c r="EB13" s="1665" t="s">
        <v>698</v>
      </c>
      <c r="EC13" s="1504"/>
      <c r="ED13" s="1666">
        <f>SUM(BO99:BZ99)</f>
        <v>0</v>
      </c>
    </row>
    <row r="14" spans="1:134" ht="24" customHeight="1" thickBot="1">
      <c r="A14" s="2850" t="s">
        <v>492</v>
      </c>
      <c r="B14" s="2851"/>
      <c r="C14" s="2409">
        <f>+C11+C13+C12</f>
        <v>0</v>
      </c>
      <c r="D14" s="2410">
        <f>+D11+D13+D12</f>
        <v>0</v>
      </c>
      <c r="E14" s="928">
        <f t="shared" ref="E14:DD14" si="0">+E11+E13+E12</f>
        <v>0</v>
      </c>
      <c r="F14" s="1718">
        <f t="shared" ref="F14" si="1">+F11+F13+F12</f>
        <v>0</v>
      </c>
      <c r="G14" s="1718">
        <f t="shared" si="0"/>
        <v>0</v>
      </c>
      <c r="H14" s="1718">
        <f t="shared" ref="H14:I14" si="2">+H11+H13+H12</f>
        <v>0</v>
      </c>
      <c r="I14" s="1718">
        <f t="shared" si="2"/>
        <v>0</v>
      </c>
      <c r="J14" s="1718">
        <f t="shared" si="0"/>
        <v>0</v>
      </c>
      <c r="K14" s="1718">
        <f t="shared" si="0"/>
        <v>0</v>
      </c>
      <c r="L14" s="1718">
        <f t="shared" ref="L14" si="3">+L11+L13+L12</f>
        <v>0</v>
      </c>
      <c r="M14" s="1718">
        <f t="shared" si="0"/>
        <v>0</v>
      </c>
      <c r="N14" s="1718">
        <f t="shared" si="0"/>
        <v>0</v>
      </c>
      <c r="O14" s="1718">
        <f t="shared" si="0"/>
        <v>0</v>
      </c>
      <c r="P14" s="1718">
        <f t="shared" si="0"/>
        <v>0</v>
      </c>
      <c r="Q14" s="1718">
        <f t="shared" si="0"/>
        <v>0</v>
      </c>
      <c r="R14" s="1718">
        <f t="shared" si="0"/>
        <v>0</v>
      </c>
      <c r="S14" s="1718">
        <f t="shared" si="0"/>
        <v>0</v>
      </c>
      <c r="T14" s="1718">
        <f t="shared" si="0"/>
        <v>0</v>
      </c>
      <c r="U14" s="1719">
        <f t="shared" si="0"/>
        <v>0</v>
      </c>
      <c r="V14" s="928">
        <f t="shared" si="0"/>
        <v>0</v>
      </c>
      <c r="W14" s="1719">
        <f t="shared" si="0"/>
        <v>0</v>
      </c>
      <c r="X14" s="2333">
        <f t="shared" si="0"/>
        <v>0</v>
      </c>
      <c r="Y14" s="1718">
        <f t="shared" ref="Y14" si="4">+Y11+Y13+Y12</f>
        <v>0</v>
      </c>
      <c r="Z14" s="921">
        <f t="shared" si="0"/>
        <v>0</v>
      </c>
      <c r="AA14" s="1717">
        <f t="shared" si="0"/>
        <v>0</v>
      </c>
      <c r="AB14" s="1718">
        <f t="shared" si="0"/>
        <v>0</v>
      </c>
      <c r="AC14" s="1718">
        <f t="shared" si="0"/>
        <v>0</v>
      </c>
      <c r="AD14" s="1718">
        <f t="shared" si="0"/>
        <v>0</v>
      </c>
      <c r="AE14" s="1718">
        <f t="shared" ref="AE14" si="5">+AE11+AE13+AE12</f>
        <v>0</v>
      </c>
      <c r="AF14" s="1718">
        <f t="shared" si="0"/>
        <v>0</v>
      </c>
      <c r="AG14" s="1718">
        <f t="shared" si="0"/>
        <v>0</v>
      </c>
      <c r="AH14" s="1718">
        <f t="shared" si="0"/>
        <v>0</v>
      </c>
      <c r="AI14" s="1718">
        <f t="shared" si="0"/>
        <v>0</v>
      </c>
      <c r="AJ14" s="1718">
        <f t="shared" si="0"/>
        <v>0</v>
      </c>
      <c r="AK14" s="1718">
        <f t="shared" ref="AK14:AN14" si="6">+AK11+AK13+AK12</f>
        <v>0</v>
      </c>
      <c r="AL14" s="1718">
        <f t="shared" si="6"/>
        <v>0</v>
      </c>
      <c r="AM14" s="1718">
        <f t="shared" si="6"/>
        <v>0</v>
      </c>
      <c r="AN14" s="1718">
        <f t="shared" si="6"/>
        <v>0</v>
      </c>
      <c r="AO14" s="1718">
        <f t="shared" ref="AO14:AY14" si="7">+AO11+AO13+AO12</f>
        <v>0</v>
      </c>
      <c r="AP14" s="1718">
        <f t="shared" si="7"/>
        <v>0</v>
      </c>
      <c r="AQ14" s="921">
        <f t="shared" si="7"/>
        <v>0</v>
      </c>
      <c r="AR14" s="2333">
        <f t="shared" si="7"/>
        <v>0</v>
      </c>
      <c r="AS14" s="1718">
        <f t="shared" si="7"/>
        <v>0</v>
      </c>
      <c r="AT14" s="1718">
        <f t="shared" si="7"/>
        <v>0</v>
      </c>
      <c r="AU14" s="1719">
        <f t="shared" si="7"/>
        <v>0</v>
      </c>
      <c r="AV14" s="928">
        <f t="shared" si="7"/>
        <v>0</v>
      </c>
      <c r="AW14" s="1718">
        <f t="shared" si="7"/>
        <v>0</v>
      </c>
      <c r="AX14" s="1718">
        <f t="shared" si="7"/>
        <v>0</v>
      </c>
      <c r="AY14" s="1719">
        <f t="shared" si="7"/>
        <v>0</v>
      </c>
      <c r="AZ14" s="928">
        <f t="shared" si="0"/>
        <v>0</v>
      </c>
      <c r="BA14" s="1719">
        <f t="shared" si="0"/>
        <v>0</v>
      </c>
      <c r="BB14" s="2333">
        <f t="shared" si="0"/>
        <v>0</v>
      </c>
      <c r="BC14" s="928">
        <f t="shared" ref="BC14" si="8">+BC11+BC13+BC12</f>
        <v>0</v>
      </c>
      <c r="BD14" s="1718">
        <f t="shared" si="0"/>
        <v>0</v>
      </c>
      <c r="BE14" s="1718">
        <f t="shared" si="0"/>
        <v>0</v>
      </c>
      <c r="BF14" s="1718">
        <f t="shared" si="0"/>
        <v>0</v>
      </c>
      <c r="BG14" s="1718">
        <f t="shared" si="0"/>
        <v>0</v>
      </c>
      <c r="BH14" s="1718">
        <f t="shared" si="0"/>
        <v>0</v>
      </c>
      <c r="BI14" s="1718">
        <f t="shared" si="0"/>
        <v>0</v>
      </c>
      <c r="BJ14" s="1718">
        <f t="shared" si="0"/>
        <v>0</v>
      </c>
      <c r="BK14" s="1718">
        <f t="shared" si="0"/>
        <v>0</v>
      </c>
      <c r="BL14" s="1719">
        <f t="shared" si="0"/>
        <v>0</v>
      </c>
      <c r="BM14" s="1717">
        <f t="shared" si="0"/>
        <v>0</v>
      </c>
      <c r="BN14" s="929">
        <f t="shared" si="0"/>
        <v>0</v>
      </c>
      <c r="BO14" s="1717">
        <f t="shared" ref="BO14:BZ14" si="9">+BO11+BO13+BO12</f>
        <v>0</v>
      </c>
      <c r="BP14" s="1718">
        <f t="shared" si="9"/>
        <v>0</v>
      </c>
      <c r="BQ14" s="1718">
        <f t="shared" si="9"/>
        <v>0</v>
      </c>
      <c r="BR14" s="1718">
        <f t="shared" si="9"/>
        <v>0</v>
      </c>
      <c r="BS14" s="1718">
        <f t="shared" si="9"/>
        <v>0</v>
      </c>
      <c r="BT14" s="1718">
        <f t="shared" si="9"/>
        <v>0</v>
      </c>
      <c r="BU14" s="1718">
        <f t="shared" si="9"/>
        <v>0</v>
      </c>
      <c r="BV14" s="1718">
        <f t="shared" si="9"/>
        <v>0</v>
      </c>
      <c r="BW14" s="1718">
        <f t="shared" si="9"/>
        <v>0</v>
      </c>
      <c r="BX14" s="1719">
        <f t="shared" si="9"/>
        <v>0</v>
      </c>
      <c r="BY14" s="1717">
        <f t="shared" si="9"/>
        <v>0</v>
      </c>
      <c r="BZ14" s="929">
        <f t="shared" si="9"/>
        <v>0</v>
      </c>
      <c r="CA14" s="930">
        <f t="shared" si="0"/>
        <v>0</v>
      </c>
      <c r="CB14" s="1718">
        <f t="shared" si="0"/>
        <v>0</v>
      </c>
      <c r="CC14" s="1718">
        <f t="shared" si="0"/>
        <v>0</v>
      </c>
      <c r="CD14" s="1718">
        <f t="shared" ref="CD14" si="10">+CD11+CD13+CD12</f>
        <v>0</v>
      </c>
      <c r="CE14" s="1718">
        <f t="shared" si="0"/>
        <v>0</v>
      </c>
      <c r="CF14" s="1718">
        <f t="shared" ref="CF14:CG14" si="11">+CF11+CF13+CF12</f>
        <v>0</v>
      </c>
      <c r="CG14" s="1718">
        <f t="shared" si="11"/>
        <v>0</v>
      </c>
      <c r="CH14" s="929">
        <f t="shared" si="0"/>
        <v>0</v>
      </c>
      <c r="CI14" s="1717">
        <f t="shared" si="0"/>
        <v>0</v>
      </c>
      <c r="CJ14" s="929">
        <f t="shared" si="0"/>
        <v>0</v>
      </c>
      <c r="CK14" s="1717">
        <f t="shared" si="0"/>
        <v>0</v>
      </c>
      <c r="CL14" s="931">
        <f t="shared" ref="CL14" si="12">+CL11+CL13+CL12</f>
        <v>0</v>
      </c>
      <c r="CM14" s="1718">
        <f t="shared" si="0"/>
        <v>0</v>
      </c>
      <c r="CN14" s="1718">
        <f t="shared" ref="CN14" si="13">+CN11+CN13+CN12</f>
        <v>0</v>
      </c>
      <c r="CO14" s="1718">
        <f t="shared" si="0"/>
        <v>0</v>
      </c>
      <c r="CP14" s="1718">
        <f t="shared" ref="CP14" si="14">+CP11+CP13+CP12</f>
        <v>0</v>
      </c>
      <c r="CQ14" s="1718">
        <f t="shared" si="0"/>
        <v>0</v>
      </c>
      <c r="CR14" s="1718">
        <f t="shared" ref="CR14" si="15">+CR11+CR13+CR12</f>
        <v>0</v>
      </c>
      <c r="CS14" s="1718">
        <f t="shared" si="0"/>
        <v>0</v>
      </c>
      <c r="CT14" s="1718">
        <f t="shared" si="0"/>
        <v>0</v>
      </c>
      <c r="CU14" s="931">
        <f>+CU11+CU13+CU12</f>
        <v>0</v>
      </c>
      <c r="CV14" s="1717">
        <f t="shared" si="0"/>
        <v>0</v>
      </c>
      <c r="CW14" s="929">
        <f t="shared" si="0"/>
        <v>0</v>
      </c>
      <c r="CX14" s="930">
        <f t="shared" si="0"/>
        <v>0</v>
      </c>
      <c r="CY14" s="1718">
        <f t="shared" si="0"/>
        <v>0</v>
      </c>
      <c r="CZ14" s="1718">
        <f t="shared" si="0"/>
        <v>0</v>
      </c>
      <c r="DA14" s="1718">
        <f t="shared" si="0"/>
        <v>0</v>
      </c>
      <c r="DB14" s="929">
        <f t="shared" si="0"/>
        <v>0</v>
      </c>
      <c r="DC14" s="1717">
        <f t="shared" si="0"/>
        <v>0</v>
      </c>
      <c r="DD14" s="929">
        <f t="shared" si="0"/>
        <v>0</v>
      </c>
      <c r="DE14" s="343"/>
      <c r="DF14" s="343"/>
      <c r="DG14" s="343" t="s">
        <v>497</v>
      </c>
      <c r="DH14" s="343"/>
      <c r="DI14" s="343"/>
      <c r="DJ14" s="1518" t="s">
        <v>699</v>
      </c>
      <c r="DK14" s="1504"/>
      <c r="DL14" s="1655">
        <f>SUM(C104:D104)</f>
        <v>0</v>
      </c>
      <c r="DM14" s="1676" t="s">
        <v>699</v>
      </c>
      <c r="DN14" s="1504"/>
      <c r="DO14" s="1657">
        <f>SUM(X104:Z104)</f>
        <v>0</v>
      </c>
      <c r="DP14" s="1538" t="s">
        <v>699</v>
      </c>
      <c r="DQ14" s="1504"/>
      <c r="DR14" s="1658">
        <f>SUM(BB104:BL104)</f>
        <v>0</v>
      </c>
      <c r="DS14" s="2860" t="s">
        <v>700</v>
      </c>
      <c r="DT14" s="2861"/>
      <c r="DU14" s="1660"/>
      <c r="DV14" s="2862" t="s">
        <v>701</v>
      </c>
      <c r="DW14" s="2863"/>
      <c r="DX14" s="1662"/>
      <c r="DY14" s="2854" t="s">
        <v>702</v>
      </c>
      <c r="DZ14" s="2855"/>
      <c r="EA14" s="1664"/>
      <c r="EB14" s="1665" t="s">
        <v>699</v>
      </c>
      <c r="EC14" s="1504"/>
      <c r="ED14" s="1666">
        <f>SUM(BO104:BZ104)</f>
        <v>0</v>
      </c>
    </row>
    <row r="15" spans="1:134" ht="24" customHeight="1">
      <c r="A15" s="2850" t="str">
        <f>'lon undervisning'!A10</f>
        <v>Antal måneder ansat i 2026</v>
      </c>
      <c r="B15" s="2851"/>
      <c r="C15" s="2411"/>
      <c r="D15" s="2412"/>
      <c r="E15" s="2447"/>
      <c r="F15" s="2448"/>
      <c r="G15" s="1723"/>
      <c r="H15" s="1723"/>
      <c r="I15" s="1723"/>
      <c r="J15" s="1723"/>
      <c r="K15" s="1723"/>
      <c r="L15" s="1723"/>
      <c r="M15" s="1723"/>
      <c r="N15" s="1723"/>
      <c r="O15" s="1723"/>
      <c r="P15" s="1723"/>
      <c r="Q15" s="1723"/>
      <c r="R15" s="1723"/>
      <c r="S15" s="1723"/>
      <c r="T15" s="1723"/>
      <c r="U15" s="1721"/>
      <c r="V15" s="1720"/>
      <c r="W15" s="1723"/>
      <c r="X15" s="2467"/>
      <c r="Y15" s="2448"/>
      <c r="Z15" s="1724"/>
      <c r="AA15" s="1722"/>
      <c r="AB15" s="1723"/>
      <c r="AC15" s="1723"/>
      <c r="AD15" s="1723"/>
      <c r="AE15" s="1723"/>
      <c r="AF15" s="1723"/>
      <c r="AG15" s="1723"/>
      <c r="AH15" s="1723"/>
      <c r="AI15" s="1723"/>
      <c r="AJ15" s="1723"/>
      <c r="AK15" s="1723"/>
      <c r="AL15" s="1723"/>
      <c r="AM15" s="1723"/>
      <c r="AN15" s="1723"/>
      <c r="AO15" s="1723"/>
      <c r="AP15" s="1723"/>
      <c r="AQ15" s="2318"/>
      <c r="AR15" s="2467"/>
      <c r="AS15" s="2448"/>
      <c r="AT15" s="2448"/>
      <c r="AU15" s="2497"/>
      <c r="AV15" s="2447"/>
      <c r="AW15" s="2448"/>
      <c r="AX15" s="2448"/>
      <c r="AY15" s="2497"/>
      <c r="AZ15" s="1720"/>
      <c r="BA15" s="1721"/>
      <c r="BB15" s="2467"/>
      <c r="BC15" s="2447"/>
      <c r="BD15" s="1723"/>
      <c r="BE15" s="1723"/>
      <c r="BF15" s="1723"/>
      <c r="BG15" s="1723"/>
      <c r="BH15" s="1723"/>
      <c r="BI15" s="1723"/>
      <c r="BJ15" s="1723"/>
      <c r="BK15" s="1723"/>
      <c r="BL15" s="1721"/>
      <c r="BM15" s="1722"/>
      <c r="BN15" s="1721"/>
      <c r="BO15" s="1722"/>
      <c r="BP15" s="1723"/>
      <c r="BQ15" s="1723"/>
      <c r="BR15" s="1723"/>
      <c r="BS15" s="1723"/>
      <c r="BT15" s="1723"/>
      <c r="BU15" s="1723"/>
      <c r="BV15" s="1723"/>
      <c r="BW15" s="1723"/>
      <c r="BX15" s="1721"/>
      <c r="BY15" s="1722"/>
      <c r="BZ15" s="1721"/>
      <c r="CA15" s="1722"/>
      <c r="CB15" s="1723"/>
      <c r="CC15" s="1723"/>
      <c r="CD15" s="1723"/>
      <c r="CE15" s="1723"/>
      <c r="CF15" s="1723"/>
      <c r="CG15" s="1723"/>
      <c r="CH15" s="1721"/>
      <c r="CI15" s="1722"/>
      <c r="CJ15" s="1721"/>
      <c r="CK15" s="1722"/>
      <c r="CL15" s="1723"/>
      <c r="CM15" s="1723"/>
      <c r="CN15" s="1723"/>
      <c r="CO15" s="1723"/>
      <c r="CP15" s="1723"/>
      <c r="CQ15" s="1723"/>
      <c r="CR15" s="1723"/>
      <c r="CS15" s="1723"/>
      <c r="CT15" s="1723"/>
      <c r="CU15" s="1724"/>
      <c r="CV15" s="1722"/>
      <c r="CW15" s="1721"/>
      <c r="CX15" s="1722"/>
      <c r="CY15" s="1723"/>
      <c r="CZ15" s="1723"/>
      <c r="DA15" s="1723"/>
      <c r="DB15" s="1721"/>
      <c r="DC15" s="1722"/>
      <c r="DD15" s="1721"/>
      <c r="DE15" s="343"/>
      <c r="DF15" s="343"/>
      <c r="DG15" s="343"/>
      <c r="DH15" s="343"/>
      <c r="DI15" s="343"/>
      <c r="DJ15" s="1653" t="s">
        <v>689</v>
      </c>
      <c r="DK15" s="1654"/>
      <c r="DL15" s="1655">
        <f>SUM(E96:U96)</f>
        <v>0</v>
      </c>
      <c r="DM15" s="1656" t="s">
        <v>689</v>
      </c>
      <c r="DN15" s="1654"/>
      <c r="DO15" s="1657">
        <f>SUM(AA96:AY96)</f>
        <v>0</v>
      </c>
      <c r="DP15" s="2858" t="s">
        <v>703</v>
      </c>
      <c r="DQ15" s="2859"/>
      <c r="DR15" s="1658"/>
      <c r="DS15" s="1659" t="s">
        <v>542</v>
      </c>
      <c r="DT15" s="1504"/>
      <c r="DU15" s="1660">
        <f>SUM(CA105:CJ105)</f>
        <v>0</v>
      </c>
      <c r="DV15" s="1661" t="s">
        <v>542</v>
      </c>
      <c r="DW15" s="1504"/>
      <c r="DX15" s="1662">
        <f>SUM(CK105:CW105)</f>
        <v>0</v>
      </c>
      <c r="DY15" s="1663" t="s">
        <v>542</v>
      </c>
      <c r="DZ15" s="1504"/>
      <c r="EA15" s="1664">
        <f>SUM(CX105:DD105)</f>
        <v>0</v>
      </c>
      <c r="EB15" s="2864" t="s">
        <v>704</v>
      </c>
      <c r="EC15" s="2865"/>
      <c r="ED15" s="1666"/>
    </row>
    <row r="16" spans="1:134" ht="27" customHeight="1">
      <c r="A16" s="2848" t="s">
        <v>705</v>
      </c>
      <c r="B16" s="2849"/>
      <c r="C16" s="2399" t="s">
        <v>494</v>
      </c>
      <c r="D16" s="2400" t="s">
        <v>494</v>
      </c>
      <c r="E16" s="2383" t="s">
        <v>494</v>
      </c>
      <c r="F16" s="2444" t="s">
        <v>494</v>
      </c>
      <c r="G16" s="1496" t="s">
        <v>494</v>
      </c>
      <c r="H16" s="1496" t="s">
        <v>494</v>
      </c>
      <c r="I16" s="1496" t="s">
        <v>494</v>
      </c>
      <c r="J16" s="1496" t="s">
        <v>494</v>
      </c>
      <c r="K16" s="1496" t="s">
        <v>494</v>
      </c>
      <c r="L16" s="1496" t="s">
        <v>494</v>
      </c>
      <c r="M16" s="1496" t="s">
        <v>494</v>
      </c>
      <c r="N16" s="1496" t="s">
        <v>494</v>
      </c>
      <c r="O16" s="1496" t="s">
        <v>494</v>
      </c>
      <c r="P16" s="1496" t="s">
        <v>494</v>
      </c>
      <c r="Q16" s="1496" t="s">
        <v>494</v>
      </c>
      <c r="R16" s="1496" t="s">
        <v>494</v>
      </c>
      <c r="S16" s="1496" t="s">
        <v>494</v>
      </c>
      <c r="T16" s="1496" t="s">
        <v>494</v>
      </c>
      <c r="U16" s="1669" t="s">
        <v>494</v>
      </c>
      <c r="V16" s="1668" t="s">
        <v>494</v>
      </c>
      <c r="W16" s="1669" t="s">
        <v>494</v>
      </c>
      <c r="X16" s="2468" t="s">
        <v>494</v>
      </c>
      <c r="Y16" s="2444" t="s">
        <v>494</v>
      </c>
      <c r="Z16" s="1674" t="s">
        <v>494</v>
      </c>
      <c r="AA16" s="1670" t="s">
        <v>494</v>
      </c>
      <c r="AB16" s="1496" t="s">
        <v>494</v>
      </c>
      <c r="AC16" s="1496" t="s">
        <v>494</v>
      </c>
      <c r="AD16" s="1496" t="s">
        <v>494</v>
      </c>
      <c r="AE16" s="1496" t="s">
        <v>494</v>
      </c>
      <c r="AF16" s="1496" t="s">
        <v>494</v>
      </c>
      <c r="AG16" s="1496" t="s">
        <v>494</v>
      </c>
      <c r="AH16" s="1496" t="s">
        <v>494</v>
      </c>
      <c r="AI16" s="1496" t="s">
        <v>494</v>
      </c>
      <c r="AJ16" s="1496" t="s">
        <v>494</v>
      </c>
      <c r="AK16" s="1496" t="s">
        <v>494</v>
      </c>
      <c r="AL16" s="1496" t="s">
        <v>494</v>
      </c>
      <c r="AM16" s="1496" t="s">
        <v>494</v>
      </c>
      <c r="AN16" s="1496" t="s">
        <v>494</v>
      </c>
      <c r="AO16" s="1496" t="s">
        <v>494</v>
      </c>
      <c r="AP16" s="1496" t="s">
        <v>494</v>
      </c>
      <c r="AQ16" s="2319" t="s">
        <v>494</v>
      </c>
      <c r="AR16" s="2468" t="s">
        <v>494</v>
      </c>
      <c r="AS16" s="2444" t="s">
        <v>494</v>
      </c>
      <c r="AT16" s="2444" t="s">
        <v>494</v>
      </c>
      <c r="AU16" s="2498" t="s">
        <v>494</v>
      </c>
      <c r="AV16" s="2383" t="s">
        <v>494</v>
      </c>
      <c r="AW16" s="2444" t="s">
        <v>494</v>
      </c>
      <c r="AX16" s="2444" t="s">
        <v>494</v>
      </c>
      <c r="AY16" s="2498" t="s">
        <v>494</v>
      </c>
      <c r="AZ16" s="1668" t="s">
        <v>494</v>
      </c>
      <c r="BA16" s="1669" t="s">
        <v>494</v>
      </c>
      <c r="BB16" s="2468" t="s">
        <v>494</v>
      </c>
      <c r="BC16" s="2383" t="s">
        <v>494</v>
      </c>
      <c r="BD16" s="1496" t="s">
        <v>494</v>
      </c>
      <c r="BE16" s="1496" t="s">
        <v>494</v>
      </c>
      <c r="BF16" s="1496" t="s">
        <v>494</v>
      </c>
      <c r="BG16" s="1496" t="s">
        <v>494</v>
      </c>
      <c r="BH16" s="1496" t="s">
        <v>494</v>
      </c>
      <c r="BI16" s="1496" t="s">
        <v>494</v>
      </c>
      <c r="BJ16" s="1496" t="s">
        <v>494</v>
      </c>
      <c r="BK16" s="1496" t="s">
        <v>494</v>
      </c>
      <c r="BL16" s="1669" t="s">
        <v>494</v>
      </c>
      <c r="BM16" s="1670" t="s">
        <v>494</v>
      </c>
      <c r="BN16" s="1669" t="s">
        <v>494</v>
      </c>
      <c r="BO16" s="1670" t="s">
        <v>494</v>
      </c>
      <c r="BP16" s="1496" t="s">
        <v>494</v>
      </c>
      <c r="BQ16" s="1496" t="s">
        <v>494</v>
      </c>
      <c r="BR16" s="1496" t="s">
        <v>494</v>
      </c>
      <c r="BS16" s="1496" t="s">
        <v>494</v>
      </c>
      <c r="BT16" s="1496" t="s">
        <v>494</v>
      </c>
      <c r="BU16" s="1496" t="s">
        <v>494</v>
      </c>
      <c r="BV16" s="1496" t="s">
        <v>494</v>
      </c>
      <c r="BW16" s="1496" t="s">
        <v>494</v>
      </c>
      <c r="BX16" s="1669" t="s">
        <v>494</v>
      </c>
      <c r="BY16" s="1646" t="s">
        <v>494</v>
      </c>
      <c r="BZ16" s="1645" t="s">
        <v>494</v>
      </c>
      <c r="CA16" s="1670" t="s">
        <v>494</v>
      </c>
      <c r="CB16" s="1496" t="s">
        <v>494</v>
      </c>
      <c r="CC16" s="1496" t="s">
        <v>494</v>
      </c>
      <c r="CD16" s="1496" t="s">
        <v>494</v>
      </c>
      <c r="CE16" s="1496" t="s">
        <v>494</v>
      </c>
      <c r="CF16" s="1496" t="s">
        <v>494</v>
      </c>
      <c r="CG16" s="1496" t="s">
        <v>494</v>
      </c>
      <c r="CH16" s="1669" t="s">
        <v>494</v>
      </c>
      <c r="CI16" s="1646" t="s">
        <v>494</v>
      </c>
      <c r="CJ16" s="1645" t="s">
        <v>494</v>
      </c>
      <c r="CK16" s="1670" t="s">
        <v>494</v>
      </c>
      <c r="CL16" s="1496" t="s">
        <v>494</v>
      </c>
      <c r="CM16" s="1496" t="s">
        <v>494</v>
      </c>
      <c r="CN16" s="1496" t="s">
        <v>494</v>
      </c>
      <c r="CO16" s="1496" t="s">
        <v>494</v>
      </c>
      <c r="CP16" s="1496" t="s">
        <v>494</v>
      </c>
      <c r="CQ16" s="1496" t="s">
        <v>494</v>
      </c>
      <c r="CR16" s="1496" t="s">
        <v>494</v>
      </c>
      <c r="CS16" s="1496" t="s">
        <v>494</v>
      </c>
      <c r="CT16" s="1496" t="s">
        <v>494</v>
      </c>
      <c r="CU16" s="1674" t="s">
        <v>494</v>
      </c>
      <c r="CV16" s="1646" t="s">
        <v>494</v>
      </c>
      <c r="CW16" s="1645" t="s">
        <v>494</v>
      </c>
      <c r="CX16" s="1670" t="s">
        <v>494</v>
      </c>
      <c r="CY16" s="1496" t="s">
        <v>494</v>
      </c>
      <c r="CZ16" s="1496" t="s">
        <v>494</v>
      </c>
      <c r="DA16" s="1496" t="s">
        <v>494</v>
      </c>
      <c r="DB16" s="1669" t="s">
        <v>494</v>
      </c>
      <c r="DC16" s="1646" t="s">
        <v>494</v>
      </c>
      <c r="DD16" s="1645" t="s">
        <v>494</v>
      </c>
      <c r="DE16" s="343" t="s">
        <v>706</v>
      </c>
      <c r="DF16" s="343"/>
      <c r="DG16" s="343"/>
      <c r="DH16" s="343"/>
      <c r="DI16" s="343"/>
      <c r="DJ16" s="1518" t="s">
        <v>529</v>
      </c>
      <c r="DK16" s="1504"/>
      <c r="DL16" s="1655">
        <f>SUM(E101:U101)</f>
        <v>0</v>
      </c>
      <c r="DM16" s="1676" t="s">
        <v>529</v>
      </c>
      <c r="DN16" s="1504"/>
      <c r="DO16" s="1657">
        <f>SUM(AA101:AY101)</f>
        <v>0</v>
      </c>
      <c r="DP16" s="1538" t="s">
        <v>542</v>
      </c>
      <c r="DQ16" s="1504"/>
      <c r="DR16" s="1658">
        <f>SUM(BB105:BN105)</f>
        <v>0</v>
      </c>
      <c r="DS16" s="1659" t="s">
        <v>543</v>
      </c>
      <c r="DT16" s="1504"/>
      <c r="DU16" s="1660">
        <f>SUM(CA107:CJ107)</f>
        <v>0</v>
      </c>
      <c r="DV16" s="1661" t="s">
        <v>543</v>
      </c>
      <c r="DW16" s="1504"/>
      <c r="DX16" s="1662">
        <f>SUM(CK107:CW107)</f>
        <v>0</v>
      </c>
      <c r="DY16" s="1663" t="s">
        <v>543</v>
      </c>
      <c r="DZ16" s="1504"/>
      <c r="EA16" s="1664">
        <f>SUM(CX107:DD107)</f>
        <v>0</v>
      </c>
      <c r="EB16" s="1665" t="s">
        <v>542</v>
      </c>
      <c r="EC16" s="1504"/>
      <c r="ED16" s="1666">
        <f>SUM(BO105:BZ105)</f>
        <v>0</v>
      </c>
    </row>
    <row r="17" spans="1:141" ht="27" customHeight="1">
      <c r="A17" s="2848" t="s">
        <v>707</v>
      </c>
      <c r="B17" s="2849"/>
      <c r="C17" s="2399" t="s">
        <v>494</v>
      </c>
      <c r="D17" s="2400" t="s">
        <v>494</v>
      </c>
      <c r="E17" s="2383" t="s">
        <v>494</v>
      </c>
      <c r="F17" s="2444" t="s">
        <v>494</v>
      </c>
      <c r="G17" s="1496" t="s">
        <v>494</v>
      </c>
      <c r="H17" s="1496" t="s">
        <v>494</v>
      </c>
      <c r="I17" s="1496" t="s">
        <v>494</v>
      </c>
      <c r="J17" s="1496" t="s">
        <v>494</v>
      </c>
      <c r="K17" s="1496" t="s">
        <v>494</v>
      </c>
      <c r="L17" s="1496" t="s">
        <v>494</v>
      </c>
      <c r="M17" s="1496" t="s">
        <v>494</v>
      </c>
      <c r="N17" s="1496" t="s">
        <v>494</v>
      </c>
      <c r="O17" s="1496" t="s">
        <v>494</v>
      </c>
      <c r="P17" s="1496" t="s">
        <v>494</v>
      </c>
      <c r="Q17" s="1496" t="s">
        <v>494</v>
      </c>
      <c r="R17" s="1496" t="s">
        <v>494</v>
      </c>
      <c r="S17" s="1496" t="s">
        <v>494</v>
      </c>
      <c r="T17" s="1496" t="s">
        <v>494</v>
      </c>
      <c r="U17" s="1669" t="s">
        <v>494</v>
      </c>
      <c r="V17" s="1668" t="s">
        <v>494</v>
      </c>
      <c r="W17" s="1669" t="s">
        <v>494</v>
      </c>
      <c r="X17" s="2468" t="s">
        <v>494</v>
      </c>
      <c r="Y17" s="2444" t="s">
        <v>494</v>
      </c>
      <c r="Z17" s="1674" t="s">
        <v>494</v>
      </c>
      <c r="AA17" s="1670" t="s">
        <v>494</v>
      </c>
      <c r="AB17" s="1496" t="s">
        <v>494</v>
      </c>
      <c r="AC17" s="1496" t="s">
        <v>494</v>
      </c>
      <c r="AD17" s="1496" t="s">
        <v>494</v>
      </c>
      <c r="AE17" s="1496" t="s">
        <v>494</v>
      </c>
      <c r="AF17" s="1496" t="s">
        <v>494</v>
      </c>
      <c r="AG17" s="1496" t="s">
        <v>494</v>
      </c>
      <c r="AH17" s="1496" t="s">
        <v>494</v>
      </c>
      <c r="AI17" s="1496" t="s">
        <v>494</v>
      </c>
      <c r="AJ17" s="1496" t="s">
        <v>494</v>
      </c>
      <c r="AK17" s="1496" t="s">
        <v>494</v>
      </c>
      <c r="AL17" s="1496" t="s">
        <v>494</v>
      </c>
      <c r="AM17" s="1496" t="s">
        <v>494</v>
      </c>
      <c r="AN17" s="1496" t="s">
        <v>494</v>
      </c>
      <c r="AO17" s="1496" t="s">
        <v>494</v>
      </c>
      <c r="AP17" s="1496" t="s">
        <v>494</v>
      </c>
      <c r="AQ17" s="2319" t="s">
        <v>494</v>
      </c>
      <c r="AR17" s="2468" t="s">
        <v>494</v>
      </c>
      <c r="AS17" s="2444" t="s">
        <v>494</v>
      </c>
      <c r="AT17" s="2444" t="s">
        <v>494</v>
      </c>
      <c r="AU17" s="2498" t="s">
        <v>494</v>
      </c>
      <c r="AV17" s="2383" t="s">
        <v>494</v>
      </c>
      <c r="AW17" s="2444" t="s">
        <v>494</v>
      </c>
      <c r="AX17" s="2444" t="s">
        <v>494</v>
      </c>
      <c r="AY17" s="2498" t="s">
        <v>494</v>
      </c>
      <c r="AZ17" s="1668" t="s">
        <v>494</v>
      </c>
      <c r="BA17" s="1669" t="s">
        <v>494</v>
      </c>
      <c r="BB17" s="2468" t="s">
        <v>494</v>
      </c>
      <c r="BC17" s="2383" t="s">
        <v>494</v>
      </c>
      <c r="BD17" s="1496" t="s">
        <v>494</v>
      </c>
      <c r="BE17" s="1496" t="s">
        <v>494</v>
      </c>
      <c r="BF17" s="1496" t="s">
        <v>494</v>
      </c>
      <c r="BG17" s="1496" t="s">
        <v>494</v>
      </c>
      <c r="BH17" s="1496" t="s">
        <v>494</v>
      </c>
      <c r="BI17" s="1496" t="s">
        <v>494</v>
      </c>
      <c r="BJ17" s="1496" t="s">
        <v>494</v>
      </c>
      <c r="BK17" s="1496" t="s">
        <v>494</v>
      </c>
      <c r="BL17" s="1669" t="s">
        <v>494</v>
      </c>
      <c r="BM17" s="1670" t="s">
        <v>494</v>
      </c>
      <c r="BN17" s="1669" t="s">
        <v>494</v>
      </c>
      <c r="BO17" s="1670" t="s">
        <v>494</v>
      </c>
      <c r="BP17" s="1496" t="s">
        <v>494</v>
      </c>
      <c r="BQ17" s="1496" t="s">
        <v>494</v>
      </c>
      <c r="BR17" s="1496" t="s">
        <v>494</v>
      </c>
      <c r="BS17" s="1496" t="s">
        <v>494</v>
      </c>
      <c r="BT17" s="1496" t="s">
        <v>494</v>
      </c>
      <c r="BU17" s="1496" t="s">
        <v>494</v>
      </c>
      <c r="BV17" s="1496" t="s">
        <v>494</v>
      </c>
      <c r="BW17" s="1496" t="s">
        <v>494</v>
      </c>
      <c r="BX17" s="1669" t="s">
        <v>494</v>
      </c>
      <c r="BY17" s="1670" t="s">
        <v>494</v>
      </c>
      <c r="BZ17" s="1669" t="s">
        <v>494</v>
      </c>
      <c r="CA17" s="1670" t="s">
        <v>494</v>
      </c>
      <c r="CB17" s="1496" t="s">
        <v>494</v>
      </c>
      <c r="CC17" s="1496" t="s">
        <v>494</v>
      </c>
      <c r="CD17" s="1496" t="s">
        <v>494</v>
      </c>
      <c r="CE17" s="1496" t="s">
        <v>494</v>
      </c>
      <c r="CF17" s="1496" t="s">
        <v>494</v>
      </c>
      <c r="CG17" s="1496" t="s">
        <v>494</v>
      </c>
      <c r="CH17" s="1669" t="s">
        <v>494</v>
      </c>
      <c r="CI17" s="1670" t="s">
        <v>494</v>
      </c>
      <c r="CJ17" s="1669" t="s">
        <v>494</v>
      </c>
      <c r="CK17" s="1670" t="s">
        <v>494</v>
      </c>
      <c r="CL17" s="1496" t="s">
        <v>494</v>
      </c>
      <c r="CM17" s="1496" t="s">
        <v>494</v>
      </c>
      <c r="CN17" s="1496" t="s">
        <v>494</v>
      </c>
      <c r="CO17" s="1496" t="s">
        <v>494</v>
      </c>
      <c r="CP17" s="1496" t="s">
        <v>494</v>
      </c>
      <c r="CQ17" s="1496" t="s">
        <v>494</v>
      </c>
      <c r="CR17" s="1496" t="s">
        <v>494</v>
      </c>
      <c r="CS17" s="1496" t="s">
        <v>494</v>
      </c>
      <c r="CT17" s="1496" t="s">
        <v>494</v>
      </c>
      <c r="CU17" s="1674" t="s">
        <v>494</v>
      </c>
      <c r="CV17" s="1670" t="s">
        <v>494</v>
      </c>
      <c r="CW17" s="1669" t="s">
        <v>494</v>
      </c>
      <c r="CX17" s="1670" t="s">
        <v>494</v>
      </c>
      <c r="CY17" s="1496" t="s">
        <v>494</v>
      </c>
      <c r="CZ17" s="1496" t="s">
        <v>494</v>
      </c>
      <c r="DA17" s="1496" t="s">
        <v>494</v>
      </c>
      <c r="DB17" s="1669" t="s">
        <v>500</v>
      </c>
      <c r="DC17" s="1670" t="s">
        <v>494</v>
      </c>
      <c r="DD17" s="1669" t="s">
        <v>494</v>
      </c>
      <c r="DE17" s="343"/>
      <c r="DF17" s="343"/>
      <c r="DG17" s="343"/>
      <c r="DH17" s="343"/>
      <c r="DI17" s="343"/>
      <c r="DJ17" s="1518" t="s">
        <v>693</v>
      </c>
      <c r="DK17" s="1504"/>
      <c r="DL17" s="1655">
        <f>SUM(C112:U112)</f>
        <v>0</v>
      </c>
      <c r="DM17" s="1676" t="str">
        <f>DJ17</f>
        <v>Trepart</v>
      </c>
      <c r="DN17" s="1504"/>
      <c r="DO17" s="1657">
        <f>SUM(X112:AY112)</f>
        <v>0</v>
      </c>
      <c r="DP17" s="1538" t="s">
        <v>543</v>
      </c>
      <c r="DQ17" s="1504"/>
      <c r="DR17" s="1658">
        <f>SUM(BB107:BN107)</f>
        <v>0</v>
      </c>
      <c r="DS17" s="1659" t="str">
        <f>DP18</f>
        <v>Diæter</v>
      </c>
      <c r="DT17" s="1504"/>
      <c r="DU17" s="1660">
        <f>SUM(CA109:CJ109)</f>
        <v>0</v>
      </c>
      <c r="DV17" s="1661" t="str">
        <f>DS17</f>
        <v>Diæter</v>
      </c>
      <c r="DW17" s="1504"/>
      <c r="DX17" s="1662">
        <f>SUM(CK109:CW109)</f>
        <v>0</v>
      </c>
      <c r="DY17" s="1663" t="str">
        <f>DV17</f>
        <v>Diæter</v>
      </c>
      <c r="DZ17" s="1504"/>
      <c r="EA17" s="1664">
        <f>SUM(CX109:DD109)</f>
        <v>0</v>
      </c>
      <c r="EB17" s="1665" t="s">
        <v>543</v>
      </c>
      <c r="EC17" s="1504"/>
      <c r="ED17" s="1666">
        <f>SUM(BO107:BZ107)</f>
        <v>0</v>
      </c>
    </row>
    <row r="18" spans="1:141" ht="27" customHeight="1">
      <c r="A18" s="2871" t="str">
        <f>"SENIORBONUS. Er den ansatte omfattet af seniorbonusordningen og er eller fylder den ansatte 62 år i "&amp;budgetår&amp;" (Vælg: Ja) BEMÆRK SENIORBONUS ER IKKE AFTALT I BUPL/FOA OVERENSKOMST"</f>
        <v>SENIORBONUS. Er den ansatte omfattet af seniorbonusordningen og er eller fylder den ansatte 62 år i 2025 (Vælg: Ja) BEMÆRK SENIORBONUS ER IKKE AFTALT I BUPL/FOA OVERENSKOMST</v>
      </c>
      <c r="B18" s="2872"/>
      <c r="C18" s="2413" t="s">
        <v>494</v>
      </c>
      <c r="D18" s="2414" t="s">
        <v>494</v>
      </c>
      <c r="E18" s="2384" t="s">
        <v>494</v>
      </c>
      <c r="F18" s="2449" t="s">
        <v>494</v>
      </c>
      <c r="G18" s="1725" t="s">
        <v>494</v>
      </c>
      <c r="H18" s="1725" t="s">
        <v>494</v>
      </c>
      <c r="I18" s="1725" t="s">
        <v>494</v>
      </c>
      <c r="J18" s="1725" t="s">
        <v>494</v>
      </c>
      <c r="K18" s="1725" t="s">
        <v>494</v>
      </c>
      <c r="L18" s="1725" t="s">
        <v>494</v>
      </c>
      <c r="M18" s="1725" t="s">
        <v>494</v>
      </c>
      <c r="N18" s="1725" t="s">
        <v>494</v>
      </c>
      <c r="O18" s="1725" t="s">
        <v>494</v>
      </c>
      <c r="P18" s="1725" t="s">
        <v>494</v>
      </c>
      <c r="Q18" s="1725" t="s">
        <v>494</v>
      </c>
      <c r="R18" s="1725" t="s">
        <v>494</v>
      </c>
      <c r="S18" s="1725" t="s">
        <v>494</v>
      </c>
      <c r="T18" s="1725" t="s">
        <v>494</v>
      </c>
      <c r="U18" s="1726" t="s">
        <v>494</v>
      </c>
      <c r="V18" s="1728"/>
      <c r="W18" s="1729"/>
      <c r="X18" s="2469" t="s">
        <v>494</v>
      </c>
      <c r="Y18" s="2449" t="s">
        <v>494</v>
      </c>
      <c r="Z18" s="1730" t="s">
        <v>494</v>
      </c>
      <c r="AA18" s="1727" t="s">
        <v>494</v>
      </c>
      <c r="AB18" s="1725" t="s">
        <v>494</v>
      </c>
      <c r="AC18" s="1725" t="s">
        <v>494</v>
      </c>
      <c r="AD18" s="1725" t="s">
        <v>494</v>
      </c>
      <c r="AE18" s="1725" t="s">
        <v>494</v>
      </c>
      <c r="AF18" s="1725" t="s">
        <v>494</v>
      </c>
      <c r="AG18" s="1725" t="s">
        <v>494</v>
      </c>
      <c r="AH18" s="1725" t="s">
        <v>494</v>
      </c>
      <c r="AI18" s="1725" t="s">
        <v>494</v>
      </c>
      <c r="AJ18" s="1725" t="s">
        <v>494</v>
      </c>
      <c r="AK18" s="1725" t="s">
        <v>494</v>
      </c>
      <c r="AL18" s="1725" t="s">
        <v>494</v>
      </c>
      <c r="AM18" s="1725" t="s">
        <v>494</v>
      </c>
      <c r="AN18" s="1725" t="s">
        <v>494</v>
      </c>
      <c r="AO18" s="1725" t="s">
        <v>494</v>
      </c>
      <c r="AP18" s="1725" t="s">
        <v>494</v>
      </c>
      <c r="AQ18" s="1730" t="s">
        <v>494</v>
      </c>
      <c r="AR18" s="2469" t="s">
        <v>494</v>
      </c>
      <c r="AS18" s="2449" t="s">
        <v>494</v>
      </c>
      <c r="AT18" s="2449" t="s">
        <v>494</v>
      </c>
      <c r="AU18" s="2499" t="s">
        <v>494</v>
      </c>
      <c r="AV18" s="2384" t="s">
        <v>494</v>
      </c>
      <c r="AW18" s="2449" t="s">
        <v>494</v>
      </c>
      <c r="AX18" s="2449" t="s">
        <v>494</v>
      </c>
      <c r="AY18" s="2499" t="s">
        <v>494</v>
      </c>
      <c r="AZ18" s="1731"/>
      <c r="BA18" s="1732"/>
      <c r="BB18" s="2469" t="s">
        <v>494</v>
      </c>
      <c r="BC18" s="2384" t="s">
        <v>494</v>
      </c>
      <c r="BD18" s="1725" t="s">
        <v>494</v>
      </c>
      <c r="BE18" s="1725" t="s">
        <v>494</v>
      </c>
      <c r="BF18" s="1725" t="s">
        <v>494</v>
      </c>
      <c r="BG18" s="1725" t="s">
        <v>494</v>
      </c>
      <c r="BH18" s="1725" t="s">
        <v>494</v>
      </c>
      <c r="BI18" s="1725" t="s">
        <v>494</v>
      </c>
      <c r="BJ18" s="1725" t="s">
        <v>494</v>
      </c>
      <c r="BK18" s="1725" t="s">
        <v>494</v>
      </c>
      <c r="BL18" s="1726" t="s">
        <v>494</v>
      </c>
      <c r="BM18" s="1733"/>
      <c r="BN18" s="1732"/>
      <c r="BO18" s="1727" t="s">
        <v>494</v>
      </c>
      <c r="BP18" s="1725" t="s">
        <v>494</v>
      </c>
      <c r="BQ18" s="1725" t="s">
        <v>494</v>
      </c>
      <c r="BR18" s="1725" t="s">
        <v>494</v>
      </c>
      <c r="BS18" s="1725" t="s">
        <v>494</v>
      </c>
      <c r="BT18" s="1725" t="s">
        <v>494</v>
      </c>
      <c r="BU18" s="1725" t="s">
        <v>494</v>
      </c>
      <c r="BV18" s="1725" t="s">
        <v>494</v>
      </c>
      <c r="BW18" s="1725" t="s">
        <v>494</v>
      </c>
      <c r="BX18" s="1726" t="s">
        <v>494</v>
      </c>
      <c r="BY18" s="1733"/>
      <c r="BZ18" s="1732"/>
      <c r="CA18" s="1725" t="s">
        <v>494</v>
      </c>
      <c r="CB18" s="1725" t="s">
        <v>494</v>
      </c>
      <c r="CC18" s="1725" t="s">
        <v>494</v>
      </c>
      <c r="CD18" s="1725" t="s">
        <v>494</v>
      </c>
      <c r="CE18" s="1725" t="s">
        <v>494</v>
      </c>
      <c r="CF18" s="1725" t="s">
        <v>494</v>
      </c>
      <c r="CG18" s="1725" t="s">
        <v>494</v>
      </c>
      <c r="CH18" s="1725" t="s">
        <v>494</v>
      </c>
      <c r="CI18" s="1733"/>
      <c r="CJ18" s="1732"/>
      <c r="CK18" s="1725" t="s">
        <v>494</v>
      </c>
      <c r="CL18" s="1725" t="s">
        <v>494</v>
      </c>
      <c r="CM18" s="1725" t="s">
        <v>494</v>
      </c>
      <c r="CN18" s="1725" t="s">
        <v>494</v>
      </c>
      <c r="CO18" s="1725" t="s">
        <v>494</v>
      </c>
      <c r="CP18" s="1725" t="s">
        <v>494</v>
      </c>
      <c r="CQ18" s="1725" t="s">
        <v>494</v>
      </c>
      <c r="CR18" s="1725" t="s">
        <v>494</v>
      </c>
      <c r="CS18" s="1725" t="s">
        <v>494</v>
      </c>
      <c r="CT18" s="1725" t="s">
        <v>494</v>
      </c>
      <c r="CU18" s="1725" t="s">
        <v>494</v>
      </c>
      <c r="CV18" s="1733"/>
      <c r="CW18" s="1732"/>
      <c r="CX18" s="1725" t="s">
        <v>494</v>
      </c>
      <c r="CY18" s="1725" t="s">
        <v>494</v>
      </c>
      <c r="CZ18" s="1725" t="s">
        <v>494</v>
      </c>
      <c r="DA18" s="1725" t="s">
        <v>494</v>
      </c>
      <c r="DB18" s="1725" t="s">
        <v>494</v>
      </c>
      <c r="DC18" s="1733"/>
      <c r="DD18" s="1732"/>
      <c r="DJ18" s="1518" t="s">
        <v>627</v>
      </c>
      <c r="DK18" s="1504"/>
      <c r="DL18" s="1655">
        <f>SUM(E102:U102)</f>
        <v>0</v>
      </c>
      <c r="DM18" s="1676" t="s">
        <v>627</v>
      </c>
      <c r="DN18" s="1504"/>
      <c r="DO18" s="1657">
        <f>SUM(AA102:AY102)</f>
        <v>0</v>
      </c>
      <c r="DP18" s="1538" t="s">
        <v>631</v>
      </c>
      <c r="DQ18" s="1504"/>
      <c r="DR18" s="1658">
        <f>SUM(BB109:BN109)</f>
        <v>0</v>
      </c>
      <c r="DS18" s="1659" t="s">
        <v>103</v>
      </c>
      <c r="DT18" s="1504"/>
      <c r="DU18" s="1660">
        <f>SUM(CA108:CJ108)</f>
        <v>0</v>
      </c>
      <c r="DV18" s="1661" t="s">
        <v>103</v>
      </c>
      <c r="DW18" s="1504"/>
      <c r="DX18" s="1662">
        <f>SUM(CK108:CW108)</f>
        <v>0</v>
      </c>
      <c r="DY18" s="1663" t="s">
        <v>103</v>
      </c>
      <c r="DZ18" s="1504"/>
      <c r="EA18" s="1664">
        <f>SUM(CX108:DD108)</f>
        <v>0</v>
      </c>
      <c r="EB18" s="1665" t="str">
        <f>DY17</f>
        <v>Diæter</v>
      </c>
      <c r="EC18" s="1504"/>
      <c r="ED18" s="1666">
        <f>SUM(BO109:BZ109)</f>
        <v>0</v>
      </c>
    </row>
    <row r="19" spans="1:141" ht="27" customHeight="1">
      <c r="A19" s="2871" t="str">
        <f>"SENIORBONUS. Er den ansatte omfattet af seniorbonusordningen og er eller fylder den ansatte 62 år i "&amp;budgetår+1&amp;" (Vælg: Ja) BEMÆRK SENIORBONUS ER IKKE AFTALT I BUPL/FOA OVERENSKOMST"</f>
        <v>SENIORBONUS. Er den ansatte omfattet af seniorbonusordningen og er eller fylder den ansatte 62 år i 2026 (Vælg: Ja) BEMÆRK SENIORBONUS ER IKKE AFTALT I BUPL/FOA OVERENSKOMST</v>
      </c>
      <c r="B19" s="2872"/>
      <c r="C19" s="2413" t="s">
        <v>494</v>
      </c>
      <c r="D19" s="2414" t="s">
        <v>494</v>
      </c>
      <c r="E19" s="2384" t="s">
        <v>494</v>
      </c>
      <c r="F19" s="2449" t="s">
        <v>494</v>
      </c>
      <c r="G19" s="1725" t="s">
        <v>494</v>
      </c>
      <c r="H19" s="1725" t="s">
        <v>494</v>
      </c>
      <c r="I19" s="1725" t="s">
        <v>494</v>
      </c>
      <c r="J19" s="1725" t="s">
        <v>494</v>
      </c>
      <c r="K19" s="1725" t="s">
        <v>494</v>
      </c>
      <c r="L19" s="1725" t="s">
        <v>494</v>
      </c>
      <c r="M19" s="1725" t="s">
        <v>494</v>
      </c>
      <c r="N19" s="1725" t="s">
        <v>494</v>
      </c>
      <c r="O19" s="1725" t="s">
        <v>494</v>
      </c>
      <c r="P19" s="1725" t="s">
        <v>494</v>
      </c>
      <c r="Q19" s="1725" t="s">
        <v>494</v>
      </c>
      <c r="R19" s="1725" t="s">
        <v>494</v>
      </c>
      <c r="S19" s="1725" t="s">
        <v>494</v>
      </c>
      <c r="T19" s="1725" t="s">
        <v>494</v>
      </c>
      <c r="U19" s="1726" t="s">
        <v>494</v>
      </c>
      <c r="V19" s="1731"/>
      <c r="W19" s="1732"/>
      <c r="X19" s="2469" t="s">
        <v>494</v>
      </c>
      <c r="Y19" s="2449" t="s">
        <v>494</v>
      </c>
      <c r="Z19" s="1730" t="s">
        <v>494</v>
      </c>
      <c r="AA19" s="1727" t="s">
        <v>494</v>
      </c>
      <c r="AB19" s="1725" t="s">
        <v>494</v>
      </c>
      <c r="AC19" s="1725" t="s">
        <v>494</v>
      </c>
      <c r="AD19" s="1725" t="s">
        <v>494</v>
      </c>
      <c r="AE19" s="1725" t="s">
        <v>494</v>
      </c>
      <c r="AF19" s="1725" t="s">
        <v>494</v>
      </c>
      <c r="AG19" s="1725" t="s">
        <v>494</v>
      </c>
      <c r="AH19" s="1725" t="s">
        <v>494</v>
      </c>
      <c r="AI19" s="1725" t="s">
        <v>494</v>
      </c>
      <c r="AJ19" s="1725" t="s">
        <v>494</v>
      </c>
      <c r="AK19" s="1725" t="s">
        <v>494</v>
      </c>
      <c r="AL19" s="1725" t="s">
        <v>494</v>
      </c>
      <c r="AM19" s="1725" t="s">
        <v>494</v>
      </c>
      <c r="AN19" s="1725" t="s">
        <v>494</v>
      </c>
      <c r="AO19" s="1725" t="s">
        <v>494</v>
      </c>
      <c r="AP19" s="1725" t="s">
        <v>494</v>
      </c>
      <c r="AQ19" s="1730" t="s">
        <v>494</v>
      </c>
      <c r="AR19" s="2469" t="s">
        <v>494</v>
      </c>
      <c r="AS19" s="2449" t="s">
        <v>494</v>
      </c>
      <c r="AT19" s="2449" t="s">
        <v>494</v>
      </c>
      <c r="AU19" s="2499" t="s">
        <v>494</v>
      </c>
      <c r="AV19" s="2384" t="s">
        <v>494</v>
      </c>
      <c r="AW19" s="2449" t="s">
        <v>494</v>
      </c>
      <c r="AX19" s="2449" t="s">
        <v>494</v>
      </c>
      <c r="AY19" s="2499" t="s">
        <v>494</v>
      </c>
      <c r="AZ19" s="1731"/>
      <c r="BA19" s="1732"/>
      <c r="BB19" s="2469" t="s">
        <v>494</v>
      </c>
      <c r="BC19" s="2384" t="s">
        <v>494</v>
      </c>
      <c r="BD19" s="1725" t="s">
        <v>494</v>
      </c>
      <c r="BE19" s="1725" t="s">
        <v>494</v>
      </c>
      <c r="BF19" s="1725" t="s">
        <v>494</v>
      </c>
      <c r="BG19" s="1725" t="s">
        <v>494</v>
      </c>
      <c r="BH19" s="1725" t="s">
        <v>494</v>
      </c>
      <c r="BI19" s="1725" t="s">
        <v>494</v>
      </c>
      <c r="BJ19" s="1725" t="s">
        <v>494</v>
      </c>
      <c r="BK19" s="1725" t="s">
        <v>494</v>
      </c>
      <c r="BL19" s="1726" t="s">
        <v>494</v>
      </c>
      <c r="BM19" s="1733"/>
      <c r="BN19" s="1732"/>
      <c r="BO19" s="1727" t="s">
        <v>494</v>
      </c>
      <c r="BP19" s="1725" t="s">
        <v>494</v>
      </c>
      <c r="BQ19" s="1725" t="s">
        <v>494</v>
      </c>
      <c r="BR19" s="1725" t="s">
        <v>494</v>
      </c>
      <c r="BS19" s="1725" t="s">
        <v>494</v>
      </c>
      <c r="BT19" s="1725" t="s">
        <v>494</v>
      </c>
      <c r="BU19" s="1725" t="s">
        <v>494</v>
      </c>
      <c r="BV19" s="1725" t="s">
        <v>494</v>
      </c>
      <c r="BW19" s="1725" t="s">
        <v>494</v>
      </c>
      <c r="BX19" s="1726" t="s">
        <v>494</v>
      </c>
      <c r="BY19" s="1733"/>
      <c r="BZ19" s="1732"/>
      <c r="CA19" s="1725" t="s">
        <v>494</v>
      </c>
      <c r="CB19" s="1725" t="s">
        <v>494</v>
      </c>
      <c r="CC19" s="1725" t="s">
        <v>494</v>
      </c>
      <c r="CD19" s="1725" t="s">
        <v>494</v>
      </c>
      <c r="CE19" s="1725" t="s">
        <v>494</v>
      </c>
      <c r="CF19" s="1725" t="s">
        <v>494</v>
      </c>
      <c r="CG19" s="1725" t="s">
        <v>494</v>
      </c>
      <c r="CH19" s="1725" t="s">
        <v>494</v>
      </c>
      <c r="CI19" s="1733"/>
      <c r="CJ19" s="1732"/>
      <c r="CK19" s="1725" t="s">
        <v>494</v>
      </c>
      <c r="CL19" s="1725" t="s">
        <v>494</v>
      </c>
      <c r="CM19" s="1725" t="s">
        <v>494</v>
      </c>
      <c r="CN19" s="1725" t="s">
        <v>494</v>
      </c>
      <c r="CO19" s="1725" t="s">
        <v>494</v>
      </c>
      <c r="CP19" s="1725" t="s">
        <v>494</v>
      </c>
      <c r="CQ19" s="1725" t="s">
        <v>494</v>
      </c>
      <c r="CR19" s="1725" t="s">
        <v>494</v>
      </c>
      <c r="CS19" s="1725" t="s">
        <v>494</v>
      </c>
      <c r="CT19" s="1725" t="s">
        <v>494</v>
      </c>
      <c r="CU19" s="1725" t="s">
        <v>494</v>
      </c>
      <c r="CV19" s="1733"/>
      <c r="CW19" s="1732"/>
      <c r="CX19" s="1725" t="s">
        <v>494</v>
      </c>
      <c r="CY19" s="1725" t="s">
        <v>494</v>
      </c>
      <c r="CZ19" s="1725" t="s">
        <v>494</v>
      </c>
      <c r="DA19" s="1725" t="s">
        <v>494</v>
      </c>
      <c r="DB19" s="1725" t="s">
        <v>494</v>
      </c>
      <c r="DC19" s="1733"/>
      <c r="DD19" s="1732"/>
      <c r="DJ19" s="1518" t="s">
        <v>696</v>
      </c>
      <c r="DK19" s="1504"/>
      <c r="DL19" s="1655">
        <f>SUM(E103:U103)</f>
        <v>0</v>
      </c>
      <c r="DM19" s="1676" t="s">
        <v>696</v>
      </c>
      <c r="DN19" s="1504"/>
      <c r="DO19" s="1657">
        <f>SUM(AA103:AY103)</f>
        <v>0</v>
      </c>
      <c r="DP19" s="1538" t="s">
        <v>103</v>
      </c>
      <c r="DQ19" s="1504"/>
      <c r="DR19" s="1658">
        <f>SUM(BB108:BN108)</f>
        <v>0</v>
      </c>
      <c r="DS19" s="1659" t="s">
        <v>558</v>
      </c>
      <c r="DT19" s="1504"/>
      <c r="DU19" s="1660">
        <f>SUM(CA110:CJ110)</f>
        <v>0</v>
      </c>
      <c r="DV19" s="1661" t="s">
        <v>558</v>
      </c>
      <c r="DW19" s="1504"/>
      <c r="DX19" s="1662">
        <f>SUM(CK110:CW110)</f>
        <v>0</v>
      </c>
      <c r="DY19" s="1663" t="s">
        <v>558</v>
      </c>
      <c r="DZ19" s="1504"/>
      <c r="EA19" s="1664">
        <f>SUM(CX110:DD110)</f>
        <v>0</v>
      </c>
      <c r="EB19" s="1665" t="s">
        <v>103</v>
      </c>
      <c r="EC19" s="1504"/>
      <c r="ED19" s="1666">
        <f>SUM(BO108:BZ108)</f>
        <v>0</v>
      </c>
    </row>
    <row r="20" spans="1:141" ht="24" customHeight="1">
      <c r="A20" s="2850" t="s">
        <v>708</v>
      </c>
      <c r="B20" s="2851"/>
      <c r="C20" s="2399"/>
      <c r="D20" s="2400"/>
      <c r="E20" s="2383"/>
      <c r="F20" s="2444"/>
      <c r="G20" s="1496"/>
      <c r="H20" s="1496"/>
      <c r="I20" s="1496"/>
      <c r="J20" s="1496"/>
      <c r="K20" s="1496"/>
      <c r="L20" s="1496"/>
      <c r="M20" s="1496"/>
      <c r="N20" s="1496"/>
      <c r="O20" s="1496"/>
      <c r="P20" s="1496"/>
      <c r="Q20" s="1496"/>
      <c r="R20" s="1496"/>
      <c r="S20" s="1496"/>
      <c r="T20" s="1496"/>
      <c r="U20" s="1669"/>
      <c r="V20" s="1668"/>
      <c r="W20" s="1669"/>
      <c r="X20" s="2468"/>
      <c r="Y20" s="2444"/>
      <c r="Z20" s="1674"/>
      <c r="AA20" s="1670"/>
      <c r="AB20" s="1496"/>
      <c r="AC20" s="1496"/>
      <c r="AD20" s="1496"/>
      <c r="AE20" s="1496"/>
      <c r="AF20" s="1496"/>
      <c r="AG20" s="1496"/>
      <c r="AH20" s="1496"/>
      <c r="AI20" s="1496"/>
      <c r="AJ20" s="1496"/>
      <c r="AK20" s="1496"/>
      <c r="AL20" s="1496"/>
      <c r="AM20" s="1496"/>
      <c r="AN20" s="1496"/>
      <c r="AO20" s="1496"/>
      <c r="AP20" s="1496"/>
      <c r="AQ20" s="2319"/>
      <c r="AR20" s="2500"/>
      <c r="AS20" s="2501"/>
      <c r="AT20" s="2501"/>
      <c r="AU20" s="2502"/>
      <c r="AV20" s="2500"/>
      <c r="AW20" s="2501"/>
      <c r="AX20" s="2501"/>
      <c r="AY20" s="2502"/>
      <c r="AZ20" s="1668"/>
      <c r="BA20" s="1669"/>
      <c r="BB20" s="2468"/>
      <c r="BC20" s="2383"/>
      <c r="BD20" s="1496"/>
      <c r="BE20" s="1496"/>
      <c r="BF20" s="1496"/>
      <c r="BG20" s="1496"/>
      <c r="BH20" s="1496"/>
      <c r="BI20" s="1496"/>
      <c r="BJ20" s="1496"/>
      <c r="BK20" s="1496"/>
      <c r="BL20" s="1669"/>
      <c r="BM20" s="1670"/>
      <c r="BN20" s="1669"/>
      <c r="BO20" s="1670"/>
      <c r="BP20" s="1496"/>
      <c r="BQ20" s="1496"/>
      <c r="BR20" s="1496"/>
      <c r="BS20" s="1496"/>
      <c r="BT20" s="1496"/>
      <c r="BU20" s="1496"/>
      <c r="BV20" s="1496"/>
      <c r="BW20" s="1496"/>
      <c r="BX20" s="1669"/>
      <c r="BY20" s="1670"/>
      <c r="BZ20" s="1669"/>
      <c r="CA20" s="1670"/>
      <c r="CB20" s="1496"/>
      <c r="CC20" s="1496"/>
      <c r="CD20" s="1496"/>
      <c r="CE20" s="1496"/>
      <c r="CF20" s="1496"/>
      <c r="CG20" s="1496"/>
      <c r="CH20" s="1669"/>
      <c r="CI20" s="1670"/>
      <c r="CJ20" s="1669"/>
      <c r="CK20" s="1690"/>
      <c r="CL20" s="1699"/>
      <c r="CM20" s="1699"/>
      <c r="CN20" s="1699"/>
      <c r="CO20" s="1496"/>
      <c r="CP20" s="1496"/>
      <c r="CQ20" s="1496"/>
      <c r="CR20" s="1496"/>
      <c r="CS20" s="1496"/>
      <c r="CT20" s="1496"/>
      <c r="CU20" s="1674"/>
      <c r="CV20" s="1670"/>
      <c r="CW20" s="1669"/>
      <c r="CX20" s="1670"/>
      <c r="CY20" s="1496"/>
      <c r="CZ20" s="1496"/>
      <c r="DA20" s="1496"/>
      <c r="DB20" s="1669"/>
      <c r="DC20" s="1670"/>
      <c r="DD20" s="1669"/>
      <c r="DE20" s="64" t="s">
        <v>709</v>
      </c>
      <c r="DJ20" s="1518" t="s">
        <v>699</v>
      </c>
      <c r="DK20" s="1504"/>
      <c r="DL20" s="1655">
        <f>SUM(E104:U104)</f>
        <v>0</v>
      </c>
      <c r="DM20" s="1676" t="s">
        <v>699</v>
      </c>
      <c r="DN20" s="1504"/>
      <c r="DO20" s="1657">
        <f>SUM(AA104:AY104)</f>
        <v>0</v>
      </c>
      <c r="DP20" s="1538" t="s">
        <v>558</v>
      </c>
      <c r="DQ20" s="1504"/>
      <c r="DR20" s="1658">
        <f>SUM(BB110:BN110)</f>
        <v>0</v>
      </c>
      <c r="DS20" s="1659" t="s">
        <v>710</v>
      </c>
      <c r="DT20" s="1504"/>
      <c r="DU20" s="1660">
        <f>SUM(CA111:CJ111)</f>
        <v>0</v>
      </c>
      <c r="DV20" s="1661" t="s">
        <v>710</v>
      </c>
      <c r="DW20" s="1504"/>
      <c r="DX20" s="1662">
        <f>SUM(CK111:CW111)</f>
        <v>0</v>
      </c>
      <c r="DY20" s="1663" t="s">
        <v>710</v>
      </c>
      <c r="DZ20" s="1504"/>
      <c r="EA20" s="1664">
        <f>SUM(CX111:DD111)</f>
        <v>0</v>
      </c>
      <c r="EB20" s="1665" t="s">
        <v>558</v>
      </c>
      <c r="EC20" s="1504"/>
      <c r="ED20" s="1666">
        <f>SUM(BO110:BZ110)</f>
        <v>0</v>
      </c>
    </row>
    <row r="21" spans="1:141" ht="24" customHeight="1">
      <c r="A21" s="2850" t="s">
        <v>711</v>
      </c>
      <c r="B21" s="2851"/>
      <c r="C21" s="2399" t="s">
        <v>500</v>
      </c>
      <c r="D21" s="2400" t="s">
        <v>500</v>
      </c>
      <c r="E21" s="2383" t="s">
        <v>500</v>
      </c>
      <c r="F21" s="2444" t="s">
        <v>500</v>
      </c>
      <c r="G21" s="1496" t="s">
        <v>500</v>
      </c>
      <c r="H21" s="1496" t="s">
        <v>500</v>
      </c>
      <c r="I21" s="1496" t="s">
        <v>500</v>
      </c>
      <c r="J21" s="1496" t="s">
        <v>500</v>
      </c>
      <c r="K21" s="1496" t="s">
        <v>500</v>
      </c>
      <c r="L21" s="1496" t="s">
        <v>500</v>
      </c>
      <c r="M21" s="1496" t="s">
        <v>500</v>
      </c>
      <c r="N21" s="1496" t="s">
        <v>500</v>
      </c>
      <c r="O21" s="1496" t="s">
        <v>500</v>
      </c>
      <c r="P21" s="1496" t="s">
        <v>500</v>
      </c>
      <c r="Q21" s="1496" t="s">
        <v>500</v>
      </c>
      <c r="R21" s="1496" t="s">
        <v>500</v>
      </c>
      <c r="S21" s="1496" t="s">
        <v>500</v>
      </c>
      <c r="T21" s="1496" t="s">
        <v>500</v>
      </c>
      <c r="U21" s="1669" t="s">
        <v>500</v>
      </c>
      <c r="V21" s="1668" t="s">
        <v>500</v>
      </c>
      <c r="W21" s="1674" t="s">
        <v>500</v>
      </c>
      <c r="X21" s="2468" t="s">
        <v>500</v>
      </c>
      <c r="Y21" s="2444" t="s">
        <v>500</v>
      </c>
      <c r="Z21" s="1674" t="s">
        <v>500</v>
      </c>
      <c r="AA21" s="1670" t="s">
        <v>500</v>
      </c>
      <c r="AB21" s="1496" t="s">
        <v>500</v>
      </c>
      <c r="AC21" s="1496" t="s">
        <v>500</v>
      </c>
      <c r="AD21" s="1496" t="s">
        <v>500</v>
      </c>
      <c r="AE21" s="1496" t="s">
        <v>500</v>
      </c>
      <c r="AF21" s="1496" t="s">
        <v>500</v>
      </c>
      <c r="AG21" s="1496" t="s">
        <v>500</v>
      </c>
      <c r="AH21" s="1496" t="s">
        <v>500</v>
      </c>
      <c r="AI21" s="1496" t="s">
        <v>500</v>
      </c>
      <c r="AJ21" s="1496" t="s">
        <v>500</v>
      </c>
      <c r="AK21" s="1496" t="s">
        <v>500</v>
      </c>
      <c r="AL21" s="1496" t="s">
        <v>500</v>
      </c>
      <c r="AM21" s="1496" t="s">
        <v>500</v>
      </c>
      <c r="AN21" s="1496" t="s">
        <v>500</v>
      </c>
      <c r="AO21" s="1496" t="s">
        <v>500</v>
      </c>
      <c r="AP21" s="1496" t="s">
        <v>500</v>
      </c>
      <c r="AQ21" s="2319" t="s">
        <v>500</v>
      </c>
      <c r="AR21" s="2500"/>
      <c r="AS21" s="2501"/>
      <c r="AT21" s="2501"/>
      <c r="AU21" s="2502"/>
      <c r="AV21" s="2500"/>
      <c r="AW21" s="2501"/>
      <c r="AX21" s="2501"/>
      <c r="AY21" s="2502"/>
      <c r="AZ21" s="1668" t="s">
        <v>500</v>
      </c>
      <c r="BA21" s="1674" t="s">
        <v>500</v>
      </c>
      <c r="BB21" s="2468" t="s">
        <v>500</v>
      </c>
      <c r="BC21" s="2383" t="s">
        <v>500</v>
      </c>
      <c r="BD21" s="1496" t="s">
        <v>500</v>
      </c>
      <c r="BE21" s="1496" t="s">
        <v>500</v>
      </c>
      <c r="BF21" s="1496" t="s">
        <v>500</v>
      </c>
      <c r="BG21" s="1496" t="s">
        <v>500</v>
      </c>
      <c r="BH21" s="1496" t="s">
        <v>500</v>
      </c>
      <c r="BI21" s="1496" t="s">
        <v>500</v>
      </c>
      <c r="BJ21" s="1496" t="s">
        <v>500</v>
      </c>
      <c r="BK21" s="1496" t="s">
        <v>500</v>
      </c>
      <c r="BL21" s="1669" t="s">
        <v>500</v>
      </c>
      <c r="BM21" s="1668" t="s">
        <v>500</v>
      </c>
      <c r="BN21" s="1674" t="s">
        <v>500</v>
      </c>
      <c r="BO21" s="1670" t="s">
        <v>500</v>
      </c>
      <c r="BP21" s="1496" t="s">
        <v>500</v>
      </c>
      <c r="BQ21" s="1496" t="s">
        <v>500</v>
      </c>
      <c r="BR21" s="1496" t="s">
        <v>500</v>
      </c>
      <c r="BS21" s="1496" t="s">
        <v>500</v>
      </c>
      <c r="BT21" s="1496" t="s">
        <v>500</v>
      </c>
      <c r="BU21" s="1496" t="s">
        <v>500</v>
      </c>
      <c r="BV21" s="1496" t="s">
        <v>500</v>
      </c>
      <c r="BW21" s="1496" t="s">
        <v>500</v>
      </c>
      <c r="BX21" s="1669" t="s">
        <v>500</v>
      </c>
      <c r="BY21" s="1668" t="s">
        <v>500</v>
      </c>
      <c r="BZ21" s="1674" t="s">
        <v>500</v>
      </c>
      <c r="CA21" s="1670" t="s">
        <v>500</v>
      </c>
      <c r="CB21" s="1496" t="s">
        <v>500</v>
      </c>
      <c r="CC21" s="1496" t="s">
        <v>500</v>
      </c>
      <c r="CD21" s="1496" t="s">
        <v>500</v>
      </c>
      <c r="CE21" s="1496" t="s">
        <v>500</v>
      </c>
      <c r="CF21" s="1496" t="s">
        <v>500</v>
      </c>
      <c r="CG21" s="1496" t="s">
        <v>500</v>
      </c>
      <c r="CH21" s="1669" t="s">
        <v>500</v>
      </c>
      <c r="CI21" s="1668" t="s">
        <v>500</v>
      </c>
      <c r="CJ21" s="1496" t="s">
        <v>500</v>
      </c>
      <c r="CK21" s="1670" t="s">
        <v>500</v>
      </c>
      <c r="CL21" s="1496" t="s">
        <v>500</v>
      </c>
      <c r="CM21" s="1496" t="s">
        <v>500</v>
      </c>
      <c r="CN21" s="1496" t="s">
        <v>500</v>
      </c>
      <c r="CO21" s="1496" t="s">
        <v>500</v>
      </c>
      <c r="CP21" s="1496" t="s">
        <v>500</v>
      </c>
      <c r="CQ21" s="1496" t="s">
        <v>500</v>
      </c>
      <c r="CR21" s="1496" t="s">
        <v>500</v>
      </c>
      <c r="CS21" s="1496" t="s">
        <v>500</v>
      </c>
      <c r="CT21" s="1496" t="s">
        <v>500</v>
      </c>
      <c r="CU21" s="1674" t="s">
        <v>500</v>
      </c>
      <c r="CV21" s="1670" t="s">
        <v>500</v>
      </c>
      <c r="CW21" s="1669" t="s">
        <v>500</v>
      </c>
      <c r="CX21" s="1670" t="s">
        <v>500</v>
      </c>
      <c r="CY21" s="1496" t="s">
        <v>500</v>
      </c>
      <c r="CZ21" s="1496" t="s">
        <v>500</v>
      </c>
      <c r="DA21" s="1496" t="s">
        <v>500</v>
      </c>
      <c r="DB21" s="1669" t="s">
        <v>500</v>
      </c>
      <c r="DC21" s="1668" t="s">
        <v>500</v>
      </c>
      <c r="DD21" s="1496" t="s">
        <v>500</v>
      </c>
      <c r="DE21" s="64"/>
      <c r="DJ21" s="2846" t="s">
        <v>712</v>
      </c>
      <c r="DK21" s="2847"/>
      <c r="DL21" s="1655"/>
      <c r="DM21" s="2856" t="s">
        <v>713</v>
      </c>
      <c r="DN21" s="2857"/>
      <c r="DO21" s="1657"/>
      <c r="DP21" s="1538" t="s">
        <v>710</v>
      </c>
      <c r="DQ21" s="1504"/>
      <c r="DR21" s="1658">
        <f>SUM(BB111:BN111)</f>
        <v>0</v>
      </c>
      <c r="DS21" s="1659" t="s">
        <v>565</v>
      </c>
      <c r="DT21" s="1504"/>
      <c r="DU21" s="1660">
        <f>SUM(CI98:CJ98)+SUM(CI81:CJ81)</f>
        <v>0</v>
      </c>
      <c r="DV21" s="1661" t="s">
        <v>565</v>
      </c>
      <c r="DW21" s="1504"/>
      <c r="DX21" s="1662">
        <f>SUM(CV98:CW98)+SUM(CV81:CW81)</f>
        <v>0</v>
      </c>
      <c r="DY21" s="1663" t="s">
        <v>565</v>
      </c>
      <c r="DZ21" s="1504"/>
      <c r="EA21" s="1664">
        <f>SUM(DC98:DD98)+SUM(DC81:DD81)</f>
        <v>0</v>
      </c>
      <c r="EB21" s="1665" t="s">
        <v>710</v>
      </c>
      <c r="EC21" s="1504"/>
      <c r="ED21" s="1666">
        <f>SUM(BO111:BZ111)</f>
        <v>0</v>
      </c>
    </row>
    <row r="22" spans="1:141" ht="24" customHeight="1">
      <c r="A22" s="2850" t="s">
        <v>714</v>
      </c>
      <c r="B22" s="2851"/>
      <c r="C22" s="2415">
        <f>+SatsBilag!$B$12</f>
        <v>1.2405474765009001</v>
      </c>
      <c r="D22" s="2416">
        <f>+SatsBilag!$B$12</f>
        <v>1.2405474765009001</v>
      </c>
      <c r="E22" s="2385">
        <f>'lon undervisning'!$C$16</f>
        <v>1.2405474765009001</v>
      </c>
      <c r="F22" s="2450">
        <f>'lon undervisning'!$C$16</f>
        <v>1.2405474765009001</v>
      </c>
      <c r="G22" s="1737">
        <f>'lon undervisning'!$C$16</f>
        <v>1.2405474765009001</v>
      </c>
      <c r="H22" s="1737">
        <f>'lon undervisning'!$C$16</f>
        <v>1.2405474765009001</v>
      </c>
      <c r="I22" s="1737">
        <f>'lon undervisning'!$C$16</f>
        <v>1.2405474765009001</v>
      </c>
      <c r="J22" s="1737">
        <f>'lon undervisning'!$C$16</f>
        <v>1.2405474765009001</v>
      </c>
      <c r="K22" s="1737">
        <f>'lon undervisning'!$C$16</f>
        <v>1.2405474765009001</v>
      </c>
      <c r="L22" s="1737">
        <f>'lon undervisning'!$C$16</f>
        <v>1.2405474765009001</v>
      </c>
      <c r="M22" s="1737">
        <f>'lon undervisning'!$C$16</f>
        <v>1.2405474765009001</v>
      </c>
      <c r="N22" s="1737">
        <f>'lon undervisning'!$C$16</f>
        <v>1.2405474765009001</v>
      </c>
      <c r="O22" s="1737">
        <f>'lon undervisning'!$C$16</f>
        <v>1.2405474765009001</v>
      </c>
      <c r="P22" s="1737">
        <f>'lon undervisning'!$C$16</f>
        <v>1.2405474765009001</v>
      </c>
      <c r="Q22" s="1737">
        <f>'lon undervisning'!$C$16</f>
        <v>1.2405474765009001</v>
      </c>
      <c r="R22" s="1737">
        <f>'lon undervisning'!$C$16</f>
        <v>1.2405474765009001</v>
      </c>
      <c r="S22" s="1737">
        <f>'lon undervisning'!$C$16</f>
        <v>1.2405474765009001</v>
      </c>
      <c r="T22" s="1737">
        <f>'lon undervisning'!$C$16</f>
        <v>1.2405474765009001</v>
      </c>
      <c r="U22" s="1735">
        <f>'lon undervisning'!$C$16</f>
        <v>1.2405474765009001</v>
      </c>
      <c r="V22" s="1734">
        <f>'lon undervisning'!$C$16</f>
        <v>1.2405474765009001</v>
      </c>
      <c r="W22" s="1735">
        <f>'lon undervisning'!$C$16</f>
        <v>1.2405474765009001</v>
      </c>
      <c r="X22" s="2470">
        <f>'lon undervisning'!$C$16</f>
        <v>1.2405474765009001</v>
      </c>
      <c r="Y22" s="2450">
        <f>'lon undervisning'!$C$16</f>
        <v>1.2405474765009001</v>
      </c>
      <c r="Z22" s="1738">
        <f>'lon undervisning'!$C$16</f>
        <v>1.2405474765009001</v>
      </c>
      <c r="AA22" s="1736">
        <f>'lon undervisning'!$C$16</f>
        <v>1.2405474765009001</v>
      </c>
      <c r="AB22" s="1737">
        <f>'lon undervisning'!$C$16</f>
        <v>1.2405474765009001</v>
      </c>
      <c r="AC22" s="1737">
        <f>'lon undervisning'!$C$16</f>
        <v>1.2405474765009001</v>
      </c>
      <c r="AD22" s="1737">
        <f>'lon undervisning'!$C$16</f>
        <v>1.2405474765009001</v>
      </c>
      <c r="AE22" s="1737">
        <f>'lon undervisning'!$C$16</f>
        <v>1.2405474765009001</v>
      </c>
      <c r="AF22" s="1737">
        <f>'lon undervisning'!$C$16</f>
        <v>1.2405474765009001</v>
      </c>
      <c r="AG22" s="1737">
        <f>'lon undervisning'!$C$16</f>
        <v>1.2405474765009001</v>
      </c>
      <c r="AH22" s="1737">
        <f>'lon undervisning'!$C$16</f>
        <v>1.2405474765009001</v>
      </c>
      <c r="AI22" s="1737">
        <f>'lon undervisning'!$C$16</f>
        <v>1.2405474765009001</v>
      </c>
      <c r="AJ22" s="1737">
        <f>'lon undervisning'!$C$16</f>
        <v>1.2405474765009001</v>
      </c>
      <c r="AK22" s="1737">
        <f>'lon undervisning'!$C$16</f>
        <v>1.2405474765009001</v>
      </c>
      <c r="AL22" s="1737">
        <f>'lon undervisning'!$C$16</f>
        <v>1.2405474765009001</v>
      </c>
      <c r="AM22" s="1737">
        <f>'lon undervisning'!$C$16</f>
        <v>1.2405474765009001</v>
      </c>
      <c r="AN22" s="1737">
        <f>'lon undervisning'!$C$16</f>
        <v>1.2405474765009001</v>
      </c>
      <c r="AO22" s="1737">
        <f>'lon undervisning'!$C$16</f>
        <v>1.2405474765009001</v>
      </c>
      <c r="AP22" s="1737">
        <f>'lon undervisning'!$C$16</f>
        <v>1.2405474765009001</v>
      </c>
      <c r="AQ22" s="1738">
        <f>'lon undervisning'!$C$16</f>
        <v>1.2405474765009001</v>
      </c>
      <c r="AR22" s="2529">
        <f>'lon undervisning'!$C$16</f>
        <v>1.2405474765009001</v>
      </c>
      <c r="AS22" s="2530">
        <f>'lon undervisning'!$C$16</f>
        <v>1.2405474765009001</v>
      </c>
      <c r="AT22" s="2530">
        <f>'lon undervisning'!$C$16</f>
        <v>1.2405474765009001</v>
      </c>
      <c r="AU22" s="2503">
        <f>'lon undervisning'!$C$16</f>
        <v>1.2405474765009001</v>
      </c>
      <c r="AV22" s="2529">
        <f>'lon undervisning'!$C$16</f>
        <v>1.2405474765009001</v>
      </c>
      <c r="AW22" s="2530">
        <f>'lon undervisning'!$C$16</f>
        <v>1.2405474765009001</v>
      </c>
      <c r="AX22" s="2530">
        <f>'lon undervisning'!$C$16</f>
        <v>1.2405474765009001</v>
      </c>
      <c r="AY22" s="2503">
        <f>'lon undervisning'!$C$16</f>
        <v>1.2405474765009001</v>
      </c>
      <c r="AZ22" s="1734">
        <f>'lon undervisning'!$C$16</f>
        <v>1.2405474765009001</v>
      </c>
      <c r="BA22" s="1735">
        <f>'lon undervisning'!$C$16</f>
        <v>1.2405474765009001</v>
      </c>
      <c r="BB22" s="2470">
        <f>'lon undervisning'!$C$16</f>
        <v>1.2405474765009001</v>
      </c>
      <c r="BC22" s="2385">
        <f>'lon undervisning'!$C$16</f>
        <v>1.2405474765009001</v>
      </c>
      <c r="BD22" s="1737">
        <f>'lon undervisning'!$C$16</f>
        <v>1.2405474765009001</v>
      </c>
      <c r="BE22" s="1737">
        <f>'lon undervisning'!$C$16</f>
        <v>1.2405474765009001</v>
      </c>
      <c r="BF22" s="1737">
        <f>'lon undervisning'!$C$16</f>
        <v>1.2405474765009001</v>
      </c>
      <c r="BG22" s="1737">
        <f>'lon undervisning'!$C$16</f>
        <v>1.2405474765009001</v>
      </c>
      <c r="BH22" s="1737">
        <f>'lon undervisning'!$C$16</f>
        <v>1.2405474765009001</v>
      </c>
      <c r="BI22" s="1737">
        <f>'lon undervisning'!$C$16</f>
        <v>1.2405474765009001</v>
      </c>
      <c r="BJ22" s="1737">
        <f>'lon undervisning'!$C$16</f>
        <v>1.2405474765009001</v>
      </c>
      <c r="BK22" s="1737">
        <f>'lon undervisning'!$C$16</f>
        <v>1.2405474765009001</v>
      </c>
      <c r="BL22" s="1735">
        <f>'lon undervisning'!$C$16</f>
        <v>1.2405474765009001</v>
      </c>
      <c r="BM22" s="1736">
        <f>'lon undervisning'!$C$16</f>
        <v>1.2405474765009001</v>
      </c>
      <c r="BN22" s="1735">
        <f>'lon undervisning'!$C$16</f>
        <v>1.2405474765009001</v>
      </c>
      <c r="BO22" s="1736">
        <f>'lon undervisning'!$C$16</f>
        <v>1.2405474765009001</v>
      </c>
      <c r="BP22" s="1737">
        <f>'lon undervisning'!$C$16</f>
        <v>1.2405474765009001</v>
      </c>
      <c r="BQ22" s="1737">
        <f>'lon undervisning'!$C$16</f>
        <v>1.2405474765009001</v>
      </c>
      <c r="BR22" s="1737">
        <f>'lon undervisning'!$C$16</f>
        <v>1.2405474765009001</v>
      </c>
      <c r="BS22" s="1737">
        <f>'lon undervisning'!$C$16</f>
        <v>1.2405474765009001</v>
      </c>
      <c r="BT22" s="1737">
        <f>'lon undervisning'!$C$16</f>
        <v>1.2405474765009001</v>
      </c>
      <c r="BU22" s="1737">
        <f>'lon undervisning'!$C$16</f>
        <v>1.2405474765009001</v>
      </c>
      <c r="BV22" s="1737">
        <f>'lon undervisning'!$C$16</f>
        <v>1.2405474765009001</v>
      </c>
      <c r="BW22" s="1737">
        <f>'lon undervisning'!$C$16</f>
        <v>1.2405474765009001</v>
      </c>
      <c r="BX22" s="1735">
        <f>'lon undervisning'!$C$16</f>
        <v>1.2405474765009001</v>
      </c>
      <c r="BY22" s="1736">
        <f>'lon undervisning'!$C$16</f>
        <v>1.2405474765009001</v>
      </c>
      <c r="BZ22" s="1735">
        <f>'lon undervisning'!$C$16</f>
        <v>1.2405474765009001</v>
      </c>
      <c r="CA22" s="1736">
        <f>'lon undervisning'!$C$16</f>
        <v>1.2405474765009001</v>
      </c>
      <c r="CB22" s="1737">
        <f>'lon undervisning'!$C$16</f>
        <v>1.2405474765009001</v>
      </c>
      <c r="CC22" s="1737">
        <f>'lon undervisning'!$C$16</f>
        <v>1.2405474765009001</v>
      </c>
      <c r="CD22" s="1737">
        <f>'lon undervisning'!$C$16</f>
        <v>1.2405474765009001</v>
      </c>
      <c r="CE22" s="1737">
        <f>'lon undervisning'!$C$16</f>
        <v>1.2405474765009001</v>
      </c>
      <c r="CF22" s="1737">
        <f>'lon undervisning'!$C$16</f>
        <v>1.2405474765009001</v>
      </c>
      <c r="CG22" s="1737">
        <f>'lon undervisning'!$C$16</f>
        <v>1.2405474765009001</v>
      </c>
      <c r="CH22" s="1735">
        <f>'lon undervisning'!$C$16</f>
        <v>1.2405474765009001</v>
      </c>
      <c r="CI22" s="1736">
        <f>'lon undervisning'!$C$16</f>
        <v>1.2405474765009001</v>
      </c>
      <c r="CJ22" s="1735">
        <f>'lon undervisning'!$C$16</f>
        <v>1.2405474765009001</v>
      </c>
      <c r="CK22" s="1736">
        <f>'lon undervisning'!$C$16</f>
        <v>1.2405474765009001</v>
      </c>
      <c r="CL22" s="1737">
        <f>'lon undervisning'!$C$16</f>
        <v>1.2405474765009001</v>
      </c>
      <c r="CM22" s="1737">
        <f>'lon undervisning'!$C$16</f>
        <v>1.2405474765009001</v>
      </c>
      <c r="CN22" s="1737">
        <f>'lon undervisning'!$C$16</f>
        <v>1.2405474765009001</v>
      </c>
      <c r="CO22" s="1737">
        <f>'lon undervisning'!$C$16</f>
        <v>1.2405474765009001</v>
      </c>
      <c r="CP22" s="1737">
        <f>'lon undervisning'!$C$16</f>
        <v>1.2405474765009001</v>
      </c>
      <c r="CQ22" s="1737">
        <f>'lon undervisning'!$C$16</f>
        <v>1.2405474765009001</v>
      </c>
      <c r="CR22" s="1737">
        <f>'lon undervisning'!$C$16</f>
        <v>1.2405474765009001</v>
      </c>
      <c r="CS22" s="1737">
        <f>'lon undervisning'!$C$16</f>
        <v>1.2405474765009001</v>
      </c>
      <c r="CT22" s="1737">
        <f>'lon undervisning'!$C$16</f>
        <v>1.2405474765009001</v>
      </c>
      <c r="CU22" s="1738">
        <f>'lon undervisning'!$C$16</f>
        <v>1.2405474765009001</v>
      </c>
      <c r="CV22" s="1736">
        <f>'lon undervisning'!$C$16</f>
        <v>1.2405474765009001</v>
      </c>
      <c r="CW22" s="1735">
        <f>'lon undervisning'!$C$16</f>
        <v>1.2405474765009001</v>
      </c>
      <c r="CX22" s="1736">
        <f>'lon undervisning'!$C$16</f>
        <v>1.2405474765009001</v>
      </c>
      <c r="CY22" s="1737">
        <f>'lon undervisning'!$C$16</f>
        <v>1.2405474765009001</v>
      </c>
      <c r="CZ22" s="1737">
        <f>'lon undervisning'!$C$16</f>
        <v>1.2405474765009001</v>
      </c>
      <c r="DA22" s="1737">
        <f>'lon undervisning'!$C$16</f>
        <v>1.2405474765009001</v>
      </c>
      <c r="DB22" s="1735">
        <f>'lon undervisning'!$C$16</f>
        <v>1.2405474765009001</v>
      </c>
      <c r="DC22" s="1736">
        <f>'lon undervisning'!$C$16</f>
        <v>1.2405474765009001</v>
      </c>
      <c r="DD22" s="1735">
        <f>'lon undervisning'!$C$16</f>
        <v>1.2405474765009001</v>
      </c>
      <c r="DE22" s="65" t="str">
        <f>'lon undervisning'!AE16&amp;". Rettes på lærerarket."</f>
        <v>. Rettes på lærerarket.</v>
      </c>
      <c r="DJ22" s="1518" t="s">
        <v>542</v>
      </c>
      <c r="DK22" s="1504"/>
      <c r="DL22" s="1655">
        <f>SUM(C105:U105)</f>
        <v>0</v>
      </c>
      <c r="DM22" s="1676" t="s">
        <v>542</v>
      </c>
      <c r="DN22" s="1504"/>
      <c r="DO22" s="1657">
        <f t="shared" ref="DO22:DO28" si="16">SUM(X105:BA105)</f>
        <v>0</v>
      </c>
      <c r="DP22" s="1538" t="s">
        <v>565</v>
      </c>
      <c r="DQ22" s="1504"/>
      <c r="DR22" s="1658">
        <f>SUM(BM98:BN98)+SUM(BM81:BN81)</f>
        <v>0</v>
      </c>
      <c r="DS22" s="1739" t="s">
        <v>566</v>
      </c>
      <c r="DT22" s="1504"/>
      <c r="DU22" s="1740">
        <f>CJ84</f>
        <v>0</v>
      </c>
      <c r="DV22" s="1741" t="s">
        <v>566</v>
      </c>
      <c r="DW22" s="1504"/>
      <c r="DX22" s="1742">
        <f>CW84</f>
        <v>0</v>
      </c>
      <c r="DY22" s="1743" t="s">
        <v>566</v>
      </c>
      <c r="DZ22" s="1504"/>
      <c r="EA22" s="1744">
        <f>DD84</f>
        <v>0</v>
      </c>
      <c r="EB22" s="1665" t="s">
        <v>565</v>
      </c>
      <c r="EC22" s="1504"/>
      <c r="ED22" s="1666">
        <f>SUM(BY98:BZ98)+BY81+BZ81</f>
        <v>0</v>
      </c>
    </row>
    <row r="23" spans="1:141" ht="24" customHeight="1">
      <c r="A23" s="2850" t="s">
        <v>510</v>
      </c>
      <c r="B23" s="2851"/>
      <c r="C23" s="2417">
        <f>'lon undervisning'!$C$17</f>
        <v>2</v>
      </c>
      <c r="D23" s="2418">
        <f>'lon undervisning'!$C$17</f>
        <v>2</v>
      </c>
      <c r="E23" s="2386">
        <f>'lon undervisning'!$C$17</f>
        <v>2</v>
      </c>
      <c r="F23" s="2451">
        <f>'lon undervisning'!$C$17</f>
        <v>2</v>
      </c>
      <c r="G23" s="1748">
        <f>'lon undervisning'!$C$17</f>
        <v>2</v>
      </c>
      <c r="H23" s="1748">
        <f>'lon undervisning'!$C$17</f>
        <v>2</v>
      </c>
      <c r="I23" s="1748">
        <f>'lon undervisning'!$C$17</f>
        <v>2</v>
      </c>
      <c r="J23" s="1748">
        <f>'lon undervisning'!$C$17</f>
        <v>2</v>
      </c>
      <c r="K23" s="1748">
        <f>'lon undervisning'!$C$17</f>
        <v>2</v>
      </c>
      <c r="L23" s="1748">
        <f>'lon undervisning'!$C$17</f>
        <v>2</v>
      </c>
      <c r="M23" s="1748">
        <f>'lon undervisning'!$C$17</f>
        <v>2</v>
      </c>
      <c r="N23" s="1748">
        <f>'lon undervisning'!$C$17</f>
        <v>2</v>
      </c>
      <c r="O23" s="1748">
        <f>'lon undervisning'!$C$17</f>
        <v>2</v>
      </c>
      <c r="P23" s="1748">
        <f>'lon undervisning'!$C$17</f>
        <v>2</v>
      </c>
      <c r="Q23" s="1748">
        <f>'lon undervisning'!$C$17</f>
        <v>2</v>
      </c>
      <c r="R23" s="1748">
        <f>'lon undervisning'!$C$17</f>
        <v>2</v>
      </c>
      <c r="S23" s="1748">
        <f>'lon undervisning'!$C$17</f>
        <v>2</v>
      </c>
      <c r="T23" s="1748">
        <f>'lon undervisning'!$C$17</f>
        <v>2</v>
      </c>
      <c r="U23" s="1746">
        <f>'lon undervisning'!$C$17</f>
        <v>2</v>
      </c>
      <c r="V23" s="1745">
        <f>'lon undervisning'!$C$17</f>
        <v>2</v>
      </c>
      <c r="W23" s="1746">
        <f>'lon undervisning'!$C$17</f>
        <v>2</v>
      </c>
      <c r="X23" s="2471">
        <f>'lon undervisning'!$C$17</f>
        <v>2</v>
      </c>
      <c r="Y23" s="2451">
        <f>'lon undervisning'!$C$17</f>
        <v>2</v>
      </c>
      <c r="Z23" s="1749">
        <f>'lon undervisning'!$C$17</f>
        <v>2</v>
      </c>
      <c r="AA23" s="1747">
        <f>'lon undervisning'!$C$17</f>
        <v>2</v>
      </c>
      <c r="AB23" s="1748">
        <f>'lon undervisning'!$C$17</f>
        <v>2</v>
      </c>
      <c r="AC23" s="1748">
        <f>'lon undervisning'!$C$17</f>
        <v>2</v>
      </c>
      <c r="AD23" s="1748">
        <f>'lon undervisning'!$C$17</f>
        <v>2</v>
      </c>
      <c r="AE23" s="1748">
        <f>'lon undervisning'!$C$17</f>
        <v>2</v>
      </c>
      <c r="AF23" s="1748">
        <f>'lon undervisning'!$C$17</f>
        <v>2</v>
      </c>
      <c r="AG23" s="1748">
        <f>'lon undervisning'!$C$17</f>
        <v>2</v>
      </c>
      <c r="AH23" s="1748">
        <f>'lon undervisning'!$C$17</f>
        <v>2</v>
      </c>
      <c r="AI23" s="1748">
        <f>'lon undervisning'!$C$17</f>
        <v>2</v>
      </c>
      <c r="AJ23" s="1748">
        <f>'lon undervisning'!$C$17</f>
        <v>2</v>
      </c>
      <c r="AK23" s="1748">
        <f>'lon undervisning'!$C$17</f>
        <v>2</v>
      </c>
      <c r="AL23" s="1748">
        <f>'lon undervisning'!$C$17</f>
        <v>2</v>
      </c>
      <c r="AM23" s="1748">
        <f>'lon undervisning'!$C$17</f>
        <v>2</v>
      </c>
      <c r="AN23" s="1748">
        <f>'lon undervisning'!$C$17</f>
        <v>2</v>
      </c>
      <c r="AO23" s="1748">
        <f>'lon undervisning'!$C$17</f>
        <v>2</v>
      </c>
      <c r="AP23" s="1748">
        <f>'lon undervisning'!$C$17</f>
        <v>2</v>
      </c>
      <c r="AQ23" s="1749">
        <f>'lon undervisning'!$C$17</f>
        <v>2</v>
      </c>
      <c r="AR23" s="2531">
        <f>'lon undervisning'!$C$17</f>
        <v>2</v>
      </c>
      <c r="AS23" s="2532">
        <f>'lon undervisning'!$C$17</f>
        <v>2</v>
      </c>
      <c r="AT23" s="2532">
        <f>'lon undervisning'!$C$17</f>
        <v>2</v>
      </c>
      <c r="AU23" s="2504">
        <f>'lon undervisning'!$C$17</f>
        <v>2</v>
      </c>
      <c r="AV23" s="2531">
        <f>'lon undervisning'!$C$17</f>
        <v>2</v>
      </c>
      <c r="AW23" s="2532">
        <f>'lon undervisning'!$C$17</f>
        <v>2</v>
      </c>
      <c r="AX23" s="2532">
        <f>'lon undervisning'!$C$17</f>
        <v>2</v>
      </c>
      <c r="AY23" s="2504">
        <f>'lon undervisning'!$C$17</f>
        <v>2</v>
      </c>
      <c r="AZ23" s="1745">
        <f>'lon undervisning'!$C$17</f>
        <v>2</v>
      </c>
      <c r="BA23" s="1746">
        <f>'lon undervisning'!$C$17</f>
        <v>2</v>
      </c>
      <c r="BB23" s="2471">
        <f>'lon undervisning'!$C$17</f>
        <v>2</v>
      </c>
      <c r="BC23" s="2386">
        <f>'lon undervisning'!$C$17</f>
        <v>2</v>
      </c>
      <c r="BD23" s="1748">
        <f>'lon undervisning'!$C$17</f>
        <v>2</v>
      </c>
      <c r="BE23" s="1748">
        <f>'lon undervisning'!$C$17</f>
        <v>2</v>
      </c>
      <c r="BF23" s="1748">
        <f>'lon undervisning'!$C$17</f>
        <v>2</v>
      </c>
      <c r="BG23" s="1748">
        <f>'lon undervisning'!$C$17</f>
        <v>2</v>
      </c>
      <c r="BH23" s="1748">
        <f>'lon undervisning'!$C$17</f>
        <v>2</v>
      </c>
      <c r="BI23" s="1748">
        <f>'lon undervisning'!$C$17</f>
        <v>2</v>
      </c>
      <c r="BJ23" s="1748">
        <f>'lon undervisning'!$C$17</f>
        <v>2</v>
      </c>
      <c r="BK23" s="1748">
        <f>'lon undervisning'!$C$17</f>
        <v>2</v>
      </c>
      <c r="BL23" s="1746">
        <f>'lon undervisning'!$C$17</f>
        <v>2</v>
      </c>
      <c r="BM23" s="1747">
        <f>'lon undervisning'!$C$17</f>
        <v>2</v>
      </c>
      <c r="BN23" s="1746">
        <f>'lon undervisning'!$C$17</f>
        <v>2</v>
      </c>
      <c r="BO23" s="1747">
        <f>'lon undervisning'!$C$17</f>
        <v>2</v>
      </c>
      <c r="BP23" s="1748">
        <f>'lon undervisning'!$C$17</f>
        <v>2</v>
      </c>
      <c r="BQ23" s="1748">
        <f>'lon undervisning'!$C$17</f>
        <v>2</v>
      </c>
      <c r="BR23" s="1748">
        <f>'lon undervisning'!$C$17</f>
        <v>2</v>
      </c>
      <c r="BS23" s="1748">
        <f>'lon undervisning'!$C$17</f>
        <v>2</v>
      </c>
      <c r="BT23" s="1748">
        <f>'lon undervisning'!$C$17</f>
        <v>2</v>
      </c>
      <c r="BU23" s="1748">
        <f>'lon undervisning'!$C$17</f>
        <v>2</v>
      </c>
      <c r="BV23" s="1748">
        <f>'lon undervisning'!$C$17</f>
        <v>2</v>
      </c>
      <c r="BW23" s="1748">
        <f>'lon undervisning'!$C$17</f>
        <v>2</v>
      </c>
      <c r="BX23" s="1746">
        <f>'lon undervisning'!$C$17</f>
        <v>2</v>
      </c>
      <c r="BY23" s="1747">
        <f>'lon undervisning'!$C$17</f>
        <v>2</v>
      </c>
      <c r="BZ23" s="1746">
        <f>'lon undervisning'!$C$17</f>
        <v>2</v>
      </c>
      <c r="CA23" s="1747">
        <f>'lon undervisning'!$C$17</f>
        <v>2</v>
      </c>
      <c r="CB23" s="1748">
        <f>'lon undervisning'!$C$17</f>
        <v>2</v>
      </c>
      <c r="CC23" s="1748">
        <f>'lon undervisning'!$C$17</f>
        <v>2</v>
      </c>
      <c r="CD23" s="1748">
        <f>'lon undervisning'!$C$17</f>
        <v>2</v>
      </c>
      <c r="CE23" s="1748">
        <f>'lon undervisning'!$C$17</f>
        <v>2</v>
      </c>
      <c r="CF23" s="1748">
        <f>'lon undervisning'!$C$17</f>
        <v>2</v>
      </c>
      <c r="CG23" s="1748">
        <f>'lon undervisning'!$C$17</f>
        <v>2</v>
      </c>
      <c r="CH23" s="1746">
        <f>'lon undervisning'!$C$17</f>
        <v>2</v>
      </c>
      <c r="CI23" s="1747">
        <f>'lon undervisning'!$C$17</f>
        <v>2</v>
      </c>
      <c r="CJ23" s="1746">
        <f>'lon undervisning'!$C$17</f>
        <v>2</v>
      </c>
      <c r="CK23" s="1747">
        <f>'lon undervisning'!$C$17</f>
        <v>2</v>
      </c>
      <c r="CL23" s="1748">
        <f>'lon undervisning'!$C$17</f>
        <v>2</v>
      </c>
      <c r="CM23" s="1748">
        <f>'lon undervisning'!$C$17</f>
        <v>2</v>
      </c>
      <c r="CN23" s="1748">
        <f>'lon undervisning'!$C$17</f>
        <v>2</v>
      </c>
      <c r="CO23" s="1748">
        <f>'lon undervisning'!$C$17</f>
        <v>2</v>
      </c>
      <c r="CP23" s="1748">
        <f>'lon undervisning'!$C$17</f>
        <v>2</v>
      </c>
      <c r="CQ23" s="1748">
        <f>'lon undervisning'!$C$17</f>
        <v>2</v>
      </c>
      <c r="CR23" s="1748">
        <f>'lon undervisning'!$C$17</f>
        <v>2</v>
      </c>
      <c r="CS23" s="1748">
        <f>'lon undervisning'!$C$17</f>
        <v>2</v>
      </c>
      <c r="CT23" s="1748">
        <f>'lon undervisning'!$C$17</f>
        <v>2</v>
      </c>
      <c r="CU23" s="1749">
        <f>'lon undervisning'!$C$17</f>
        <v>2</v>
      </c>
      <c r="CV23" s="1747">
        <f>'lon undervisning'!$C$17</f>
        <v>2</v>
      </c>
      <c r="CW23" s="1746">
        <f>'lon undervisning'!$C$17</f>
        <v>2</v>
      </c>
      <c r="CX23" s="1747">
        <f>'lon undervisning'!$C$17</f>
        <v>2</v>
      </c>
      <c r="CY23" s="1748">
        <f>'lon undervisning'!$C$17</f>
        <v>2</v>
      </c>
      <c r="CZ23" s="1748">
        <f>'lon undervisning'!$C$17</f>
        <v>2</v>
      </c>
      <c r="DA23" s="1748">
        <f>'lon undervisning'!$C$17</f>
        <v>2</v>
      </c>
      <c r="DB23" s="1746">
        <f>'lon undervisning'!$C$17</f>
        <v>2</v>
      </c>
      <c r="DC23" s="1747">
        <f>'lon undervisning'!$C$17</f>
        <v>2</v>
      </c>
      <c r="DD23" s="1746">
        <f>'lon undervisning'!$C$17</f>
        <v>2</v>
      </c>
      <c r="DE23" s="64" t="s">
        <v>715</v>
      </c>
      <c r="DJ23" s="1518" t="s">
        <v>716</v>
      </c>
      <c r="DK23" s="1504"/>
      <c r="DL23" s="1655">
        <f t="shared" ref="DL23:DL28" si="17">SUM(C106:W106)</f>
        <v>0</v>
      </c>
      <c r="DM23" s="1676" t="str">
        <f>DJ23</f>
        <v>Seniorbonusordning</v>
      </c>
      <c r="DN23" s="1504"/>
      <c r="DO23" s="1657">
        <f t="shared" si="16"/>
        <v>0</v>
      </c>
      <c r="DP23" s="1750" t="s">
        <v>566</v>
      </c>
      <c r="DQ23" s="1504"/>
      <c r="DR23" s="1751">
        <f>BN84</f>
        <v>0</v>
      </c>
      <c r="DS23" s="1739" t="s">
        <v>552</v>
      </c>
      <c r="DT23" s="1504"/>
      <c r="DU23" s="1740">
        <f>SUM(CA106:CJ106)</f>
        <v>0</v>
      </c>
      <c r="DV23" s="1741" t="s">
        <v>552</v>
      </c>
      <c r="DW23" s="1504"/>
      <c r="DX23" s="1742">
        <f>SUM(CK106:CW106)</f>
        <v>0</v>
      </c>
      <c r="DY23" s="1743" t="s">
        <v>552</v>
      </c>
      <c r="DZ23" s="1504"/>
      <c r="EA23" s="1744">
        <f>SUM(CX106:DD106)</f>
        <v>0</v>
      </c>
      <c r="EB23" s="1752" t="s">
        <v>566</v>
      </c>
      <c r="EC23" s="1504"/>
      <c r="ED23" s="1753">
        <f>SUM(BZ84)</f>
        <v>0</v>
      </c>
    </row>
    <row r="24" spans="1:141" ht="24" customHeight="1">
      <c r="A24" s="2850" t="s">
        <v>513</v>
      </c>
      <c r="B24" s="2851"/>
      <c r="C24" s="2419"/>
      <c r="D24" s="2420"/>
      <c r="E24" s="2387"/>
      <c r="F24" s="2452"/>
      <c r="G24" s="1756"/>
      <c r="H24" s="1756"/>
      <c r="I24" s="1756"/>
      <c r="J24" s="1756"/>
      <c r="K24" s="1756"/>
      <c r="L24" s="1756"/>
      <c r="M24" s="1756"/>
      <c r="N24" s="1756"/>
      <c r="O24" s="1756"/>
      <c r="P24" s="1756"/>
      <c r="Q24" s="1756"/>
      <c r="R24" s="1756"/>
      <c r="S24" s="1756"/>
      <c r="T24" s="1756"/>
      <c r="U24" s="1754"/>
      <c r="V24" s="1757"/>
      <c r="W24" s="1758"/>
      <c r="X24" s="2472"/>
      <c r="Y24" s="2452"/>
      <c r="Z24" s="1759"/>
      <c r="AA24" s="1760"/>
      <c r="AB24" s="1761"/>
      <c r="AC24" s="1761"/>
      <c r="AD24" s="1761"/>
      <c r="AE24" s="1761"/>
      <c r="AF24" s="1761"/>
      <c r="AG24" s="1761"/>
      <c r="AH24" s="1761"/>
      <c r="AI24" s="1761"/>
      <c r="AJ24" s="1761"/>
      <c r="AK24" s="1761"/>
      <c r="AL24" s="1761"/>
      <c r="AM24" s="1761"/>
      <c r="AN24" s="1761"/>
      <c r="AO24" s="1761"/>
      <c r="AP24" s="1761"/>
      <c r="AQ24" s="2320"/>
      <c r="AR24" s="2505"/>
      <c r="AS24" s="2506"/>
      <c r="AT24" s="2506"/>
      <c r="AU24" s="2507"/>
      <c r="AV24" s="2508"/>
      <c r="AW24" s="2506"/>
      <c r="AX24" s="2506"/>
      <c r="AY24" s="2509"/>
      <c r="AZ24" s="1757"/>
      <c r="BA24" s="1758"/>
      <c r="BB24" s="2472"/>
      <c r="BC24" s="2387"/>
      <c r="BD24" s="1756"/>
      <c r="BE24" s="1756"/>
      <c r="BF24" s="1756"/>
      <c r="BG24" s="1756"/>
      <c r="BH24" s="1756"/>
      <c r="BI24" s="1756"/>
      <c r="BJ24" s="1756"/>
      <c r="BK24" s="1756"/>
      <c r="BL24" s="1754"/>
      <c r="BM24" s="1762"/>
      <c r="BN24" s="1758"/>
      <c r="BO24" s="1755"/>
      <c r="BP24" s="1756"/>
      <c r="BQ24" s="1756"/>
      <c r="BR24" s="1756"/>
      <c r="BS24" s="1756"/>
      <c r="BT24" s="1756"/>
      <c r="BU24" s="1756"/>
      <c r="BV24" s="1756"/>
      <c r="BW24" s="1756"/>
      <c r="BX24" s="1754"/>
      <c r="BY24" s="1762"/>
      <c r="BZ24" s="1758"/>
      <c r="CA24" s="1755"/>
      <c r="CB24" s="1756"/>
      <c r="CC24" s="1756"/>
      <c r="CD24" s="1756"/>
      <c r="CE24" s="1756"/>
      <c r="CF24" s="1756"/>
      <c r="CG24" s="1756"/>
      <c r="CH24" s="1754"/>
      <c r="CI24" s="1762"/>
      <c r="CJ24" s="1758"/>
      <c r="CK24" s="1755"/>
      <c r="CL24" s="1756"/>
      <c r="CM24" s="1756"/>
      <c r="CN24" s="1756"/>
      <c r="CO24" s="1756"/>
      <c r="CP24" s="1756"/>
      <c r="CQ24" s="1756"/>
      <c r="CR24" s="1756"/>
      <c r="CS24" s="1756"/>
      <c r="CT24" s="1756"/>
      <c r="CU24" s="1759"/>
      <c r="CV24" s="1762"/>
      <c r="CW24" s="1758"/>
      <c r="CX24" s="1755"/>
      <c r="CY24" s="1756"/>
      <c r="CZ24" s="1756"/>
      <c r="DA24" s="1756"/>
      <c r="DB24" s="1754"/>
      <c r="DC24" s="1762"/>
      <c r="DD24" s="1758"/>
      <c r="DE24" s="63" t="s">
        <v>717</v>
      </c>
      <c r="DJ24" s="1518" t="s">
        <v>543</v>
      </c>
      <c r="DK24" s="1504"/>
      <c r="DL24" s="1655">
        <f t="shared" si="17"/>
        <v>0</v>
      </c>
      <c r="DM24" s="1676" t="s">
        <v>543</v>
      </c>
      <c r="DN24" s="1504"/>
      <c r="DO24" s="1657">
        <f t="shared" si="16"/>
        <v>0</v>
      </c>
      <c r="DP24" s="1750" t="str">
        <f>DM23</f>
        <v>Seniorbonusordning</v>
      </c>
      <c r="DQ24" s="1504"/>
      <c r="DR24" s="1751">
        <f>SUM(BB106:BN106)</f>
        <v>0</v>
      </c>
      <c r="DS24" s="1659" t="s">
        <v>718</v>
      </c>
      <c r="DT24" s="1659"/>
      <c r="DU24" s="1660">
        <f>SUM(DU8:DU23)</f>
        <v>0</v>
      </c>
      <c r="DV24" s="1661" t="s">
        <v>719</v>
      </c>
      <c r="DW24" s="1661"/>
      <c r="DX24" s="1662">
        <f>SUM(DX8:DX23)</f>
        <v>0</v>
      </c>
      <c r="DY24" s="1663" t="s">
        <v>720</v>
      </c>
      <c r="DZ24" s="1663"/>
      <c r="EA24" s="1664">
        <f>SUM(EA8:EA23)</f>
        <v>0</v>
      </c>
      <c r="EB24" s="1752" t="str">
        <f>DY23</f>
        <v>Seniorbonus</v>
      </c>
      <c r="EC24" s="1504"/>
      <c r="ED24" s="1753">
        <f>SUM(BO106:BZ106)</f>
        <v>0</v>
      </c>
    </row>
    <row r="25" spans="1:141" ht="30" customHeight="1">
      <c r="A25" s="2848" t="s">
        <v>721</v>
      </c>
      <c r="B25" s="2849"/>
      <c r="C25" s="2421"/>
      <c r="D25" s="2422"/>
      <c r="E25" s="2388"/>
      <c r="F25" s="2453"/>
      <c r="G25" s="1765"/>
      <c r="H25" s="1765"/>
      <c r="I25" s="1765"/>
      <c r="J25" s="1765"/>
      <c r="K25" s="1765"/>
      <c r="L25" s="1765"/>
      <c r="M25" s="1765"/>
      <c r="N25" s="1765"/>
      <c r="O25" s="1765"/>
      <c r="P25" s="1765"/>
      <c r="Q25" s="1765"/>
      <c r="R25" s="1765"/>
      <c r="S25" s="1765"/>
      <c r="T25" s="1765"/>
      <c r="U25" s="1763"/>
      <c r="V25" s="1757"/>
      <c r="W25" s="1758"/>
      <c r="X25" s="2473"/>
      <c r="Y25" s="2453"/>
      <c r="Z25" s="1766"/>
      <c r="AA25" s="1764"/>
      <c r="AB25" s="1765"/>
      <c r="AC25" s="1765"/>
      <c r="AD25" s="1765"/>
      <c r="AE25" s="1765"/>
      <c r="AF25" s="1765"/>
      <c r="AG25" s="1765"/>
      <c r="AH25" s="1765"/>
      <c r="AI25" s="1765"/>
      <c r="AJ25" s="1765"/>
      <c r="AK25" s="1765"/>
      <c r="AL25" s="1765"/>
      <c r="AM25" s="1765"/>
      <c r="AN25" s="1765"/>
      <c r="AO25" s="1765"/>
      <c r="AP25" s="1765"/>
      <c r="AQ25" s="1766"/>
      <c r="AR25" s="2473"/>
      <c r="AS25" s="2453"/>
      <c r="AT25" s="2453"/>
      <c r="AU25" s="2510"/>
      <c r="AV25" s="2388"/>
      <c r="AW25" s="2453"/>
      <c r="AX25" s="2453"/>
      <c r="AY25" s="2510"/>
      <c r="AZ25" s="1757"/>
      <c r="BA25" s="1758"/>
      <c r="BB25" s="2473"/>
      <c r="BC25" s="2388"/>
      <c r="BD25" s="1765"/>
      <c r="BE25" s="1765"/>
      <c r="BF25" s="1765"/>
      <c r="BG25" s="1765"/>
      <c r="BH25" s="1765"/>
      <c r="BI25" s="1765"/>
      <c r="BJ25" s="1765"/>
      <c r="BK25" s="1765"/>
      <c r="BL25" s="1763"/>
      <c r="BM25" s="1762"/>
      <c r="BN25" s="1758"/>
      <c r="BO25" s="1764"/>
      <c r="BP25" s="1765"/>
      <c r="BQ25" s="1765"/>
      <c r="BR25" s="1765"/>
      <c r="BS25" s="1765"/>
      <c r="BT25" s="1765"/>
      <c r="BU25" s="1765"/>
      <c r="BV25" s="1765"/>
      <c r="BW25" s="1765"/>
      <c r="BX25" s="1763"/>
      <c r="BY25" s="1762"/>
      <c r="BZ25" s="1758"/>
      <c r="CA25" s="1764"/>
      <c r="CB25" s="1765"/>
      <c r="CC25" s="1765"/>
      <c r="CD25" s="1765"/>
      <c r="CE25" s="1765"/>
      <c r="CF25" s="1765"/>
      <c r="CG25" s="1765"/>
      <c r="CH25" s="1763"/>
      <c r="CI25" s="1762"/>
      <c r="CJ25" s="1758"/>
      <c r="CK25" s="1764"/>
      <c r="CL25" s="1765"/>
      <c r="CM25" s="1765"/>
      <c r="CN25" s="1765"/>
      <c r="CO25" s="1765"/>
      <c r="CP25" s="1765"/>
      <c r="CQ25" s="1765"/>
      <c r="CR25" s="1765"/>
      <c r="CS25" s="1765"/>
      <c r="CT25" s="1765"/>
      <c r="CU25" s="1766"/>
      <c r="CV25" s="1762"/>
      <c r="CW25" s="1758"/>
      <c r="CX25" s="1764"/>
      <c r="CY25" s="1765"/>
      <c r="CZ25" s="1765"/>
      <c r="DA25" s="1765"/>
      <c r="DB25" s="1765"/>
      <c r="DC25" s="1762"/>
      <c r="DD25" s="1758"/>
      <c r="DJ25" s="1518" t="s">
        <v>103</v>
      </c>
      <c r="DK25" s="1504"/>
      <c r="DL25" s="1655">
        <f t="shared" si="17"/>
        <v>0</v>
      </c>
      <c r="DM25" s="1676" t="s">
        <v>103</v>
      </c>
      <c r="DN25" s="1504"/>
      <c r="DO25" s="1657">
        <f t="shared" si="16"/>
        <v>0</v>
      </c>
      <c r="DP25" s="1538" t="s">
        <v>722</v>
      </c>
      <c r="DQ25" s="1538"/>
      <c r="DR25" s="1658">
        <f>SUM(DR8:DR24)</f>
        <v>0</v>
      </c>
      <c r="DS25" s="1659" t="s">
        <v>570</v>
      </c>
      <c r="DT25" s="1659"/>
      <c r="DU25" s="1660">
        <f>CJ56+CJ84-DU24+SUM(CI81:CJ81)</f>
        <v>0</v>
      </c>
      <c r="DV25" s="1661" t="s">
        <v>570</v>
      </c>
      <c r="DW25" s="1661"/>
      <c r="DX25" s="1662">
        <f>CW56+CW84-DX24+SUM(CV81:CW81)</f>
        <v>0</v>
      </c>
      <c r="DY25" s="1663" t="s">
        <v>570</v>
      </c>
      <c r="DZ25" s="1663"/>
      <c r="EA25" s="1664">
        <f>DD56+DD84-EA24+SUM(DC81:DD81)</f>
        <v>0</v>
      </c>
      <c r="EB25" s="1665" t="s">
        <v>723</v>
      </c>
      <c r="EC25" s="1665"/>
      <c r="ED25" s="1666">
        <f>SUM(ED8:ED23)</f>
        <v>0</v>
      </c>
    </row>
    <row r="26" spans="1:141" ht="24" customHeight="1">
      <c r="A26" s="2850" t="s">
        <v>724</v>
      </c>
      <c r="B26" s="2851"/>
      <c r="C26" s="2423">
        <f t="shared" ref="C26:U26" si="18">IF(C8&gt;0,ROUND((ROUND(VLOOKUP(C8,skalalontabel,C23,0)*C22,0))/12,2),0)</f>
        <v>0</v>
      </c>
      <c r="D26" s="2424">
        <f t="shared" si="18"/>
        <v>0</v>
      </c>
      <c r="E26" s="2389">
        <f t="shared" si="18"/>
        <v>0</v>
      </c>
      <c r="F26" s="2454">
        <f t="shared" ref="F26" si="19">IF(F8&gt;0,ROUND((ROUND(VLOOKUP(F8,skalalontabel,F23,0)*F22,0))/12,2),0)</f>
        <v>0</v>
      </c>
      <c r="G26" s="1770">
        <f t="shared" si="18"/>
        <v>0</v>
      </c>
      <c r="H26" s="1770">
        <f t="shared" si="18"/>
        <v>0</v>
      </c>
      <c r="I26" s="1770">
        <f t="shared" ref="I26" si="20">IF(I8&gt;0,ROUND((ROUND(VLOOKUP(I8,skalalontabel,I23,0)*I22,0))/12,2),0)</f>
        <v>0</v>
      </c>
      <c r="J26" s="1770">
        <f t="shared" si="18"/>
        <v>0</v>
      </c>
      <c r="K26" s="1770">
        <f t="shared" si="18"/>
        <v>0</v>
      </c>
      <c r="L26" s="1770">
        <f t="shared" si="18"/>
        <v>0</v>
      </c>
      <c r="M26" s="1770">
        <f t="shared" si="18"/>
        <v>0</v>
      </c>
      <c r="N26" s="1770">
        <f t="shared" si="18"/>
        <v>0</v>
      </c>
      <c r="O26" s="1770">
        <f t="shared" si="18"/>
        <v>0</v>
      </c>
      <c r="P26" s="1770">
        <f t="shared" si="18"/>
        <v>0</v>
      </c>
      <c r="Q26" s="1770">
        <f t="shared" si="18"/>
        <v>0</v>
      </c>
      <c r="R26" s="1770">
        <f t="shared" si="18"/>
        <v>0</v>
      </c>
      <c r="S26" s="1770">
        <f t="shared" si="18"/>
        <v>0</v>
      </c>
      <c r="T26" s="1770">
        <f t="shared" si="18"/>
        <v>0</v>
      </c>
      <c r="U26" s="1768">
        <f t="shared" si="18"/>
        <v>0</v>
      </c>
      <c r="V26" s="1767">
        <f>IF(V8&gt;0,ROUND((ROUND(VLOOKUP(V8,skalalontabel,V23,0)*V22,0))/12,2),V9*V22*V10)</f>
        <v>0</v>
      </c>
      <c r="W26" s="1768">
        <f>IF(W8&gt;0,ROUND((ROUND(VLOOKUP(W8,skalalontabel,W23,0)*W22,0))/12,2),W9*W22*W10)</f>
        <v>0</v>
      </c>
      <c r="X26" s="2340">
        <f t="shared" ref="X26:AJ26" si="21">IF(X8&gt;0,ROUND((ROUND(VLOOKUP(X8,skalalontabel,X23,0)*X22,0))/12,2),0)</f>
        <v>0</v>
      </c>
      <c r="Y26" s="2454">
        <f t="shared" ref="Y26" si="22">IF(Y8&gt;0,ROUND((ROUND(VLOOKUP(Y8,skalalontabel,Y23,0)*Y22,0))/12,2),0)</f>
        <v>0</v>
      </c>
      <c r="Z26" s="1771">
        <f t="shared" si="21"/>
        <v>0</v>
      </c>
      <c r="AA26" s="1769">
        <f t="shared" si="21"/>
        <v>0</v>
      </c>
      <c r="AB26" s="1770">
        <f t="shared" si="21"/>
        <v>0</v>
      </c>
      <c r="AC26" s="1770">
        <f t="shared" si="21"/>
        <v>0</v>
      </c>
      <c r="AD26" s="1770">
        <f t="shared" si="21"/>
        <v>0</v>
      </c>
      <c r="AE26" s="1770">
        <f t="shared" ref="AE26" si="23">IF(AE8&gt;0,ROUND((ROUND(VLOOKUP(AE8,skalalontabel,AE23,0)*AE22,0))/12,2),0)</f>
        <v>0</v>
      </c>
      <c r="AF26" s="1770">
        <f t="shared" si="21"/>
        <v>0</v>
      </c>
      <c r="AG26" s="1770">
        <f t="shared" si="21"/>
        <v>0</v>
      </c>
      <c r="AH26" s="1770">
        <f t="shared" si="21"/>
        <v>0</v>
      </c>
      <c r="AI26" s="1770">
        <f t="shared" si="21"/>
        <v>0</v>
      </c>
      <c r="AJ26" s="1770">
        <f t="shared" si="21"/>
        <v>0</v>
      </c>
      <c r="AK26" s="1770">
        <f t="shared" ref="AK26:AN26" si="24">IF(AK8&gt;0,ROUND((ROUND(VLOOKUP(AK8,skalalontabel,AK23,0)*AK22,0))/12,2),0)</f>
        <v>0</v>
      </c>
      <c r="AL26" s="1770">
        <f t="shared" si="24"/>
        <v>0</v>
      </c>
      <c r="AM26" s="1770">
        <f t="shared" si="24"/>
        <v>0</v>
      </c>
      <c r="AN26" s="1770">
        <f t="shared" si="24"/>
        <v>0</v>
      </c>
      <c r="AO26" s="1770">
        <f t="shared" ref="AO26:AQ26" si="25">IF(AO8&gt;0,ROUND((ROUND(VLOOKUP(AO8,skalalontabel,AO23,0)*AO22,0))/12,2),0)</f>
        <v>0</v>
      </c>
      <c r="AP26" s="1770">
        <f t="shared" si="25"/>
        <v>0</v>
      </c>
      <c r="AQ26" s="1771">
        <f t="shared" si="25"/>
        <v>0</v>
      </c>
      <c r="AR26" s="2340">
        <f>IF(AR8&gt;0,AR8*AR22*AR24,0)</f>
        <v>0</v>
      </c>
      <c r="AS26" s="2454">
        <f t="shared" ref="AS26:AY26" si="26">IF(AS8&gt;0,AS8*AS22*AS24,0)</f>
        <v>0</v>
      </c>
      <c r="AT26" s="2454">
        <f t="shared" si="26"/>
        <v>0</v>
      </c>
      <c r="AU26" s="2511">
        <f t="shared" si="26"/>
        <v>0</v>
      </c>
      <c r="AV26" s="2340">
        <f t="shared" si="26"/>
        <v>0</v>
      </c>
      <c r="AW26" s="2454">
        <f t="shared" si="26"/>
        <v>0</v>
      </c>
      <c r="AX26" s="2454">
        <f t="shared" si="26"/>
        <v>0</v>
      </c>
      <c r="AY26" s="2511">
        <f t="shared" si="26"/>
        <v>0</v>
      </c>
      <c r="AZ26" s="1767">
        <f>IF(AZ8&gt;0,ROUND((ROUND(VLOOKUP(AZ8,skalalontabel,AZ23,0)*AZ22,0))/12,2),AZ9*AZ22*AZ10)</f>
        <v>0</v>
      </c>
      <c r="BA26" s="1768">
        <f>IF(BA8&gt;0,ROUND((ROUND(VLOOKUP(BA8,skalalontabel,BA23,0)*BA22,0))/12,2),BA9*BA22*BA10)</f>
        <v>0</v>
      </c>
      <c r="BB26" s="2340">
        <f t="shared" ref="BB26:BL26" si="27">IF(BB8&gt;0,ROUND((ROUND(VLOOKUP(BB8,skalalontabel,BB23,0)*BB22,0))/12,2),0)</f>
        <v>0</v>
      </c>
      <c r="BC26" s="2389">
        <f t="shared" ref="BC26" si="28">IF(BC8&gt;0,ROUND((ROUND(VLOOKUP(BC8,skalalontabel,BC23,0)*BC22,0))/12,2),0)</f>
        <v>0</v>
      </c>
      <c r="BD26" s="1770">
        <f t="shared" si="27"/>
        <v>0</v>
      </c>
      <c r="BE26" s="1770">
        <f t="shared" si="27"/>
        <v>0</v>
      </c>
      <c r="BF26" s="1770">
        <f t="shared" si="27"/>
        <v>0</v>
      </c>
      <c r="BG26" s="1770">
        <f t="shared" si="27"/>
        <v>0</v>
      </c>
      <c r="BH26" s="1770">
        <f t="shared" si="27"/>
        <v>0</v>
      </c>
      <c r="BI26" s="1770">
        <f t="shared" si="27"/>
        <v>0</v>
      </c>
      <c r="BJ26" s="1770">
        <f t="shared" si="27"/>
        <v>0</v>
      </c>
      <c r="BK26" s="1770">
        <f t="shared" si="27"/>
        <v>0</v>
      </c>
      <c r="BL26" s="1768">
        <f t="shared" si="27"/>
        <v>0</v>
      </c>
      <c r="BM26" s="1769">
        <f>IF(BM8&gt;0,ROUND((ROUND(VLOOKUP(BM8,skalalontabel,BM23,0)*BM22,0))/12,2),BM9*BM22*BM10)</f>
        <v>0</v>
      </c>
      <c r="BN26" s="1768">
        <f>IF(BN8&gt;0,ROUND((ROUND(VLOOKUP(BN8,skalalontabel,BN23,0)*BN22,0))/12,2),BN9*BN22*BN10)</f>
        <v>0</v>
      </c>
      <c r="BO26" s="1769">
        <f t="shared" ref="BO26:BX26" si="29">IF(BO8&gt;0,ROUND((ROUND(VLOOKUP(BO8,skalalontabel,BO23,0)*BO22,0))/12,2),0)</f>
        <v>0</v>
      </c>
      <c r="BP26" s="1770">
        <f t="shared" si="29"/>
        <v>0</v>
      </c>
      <c r="BQ26" s="1770">
        <f t="shared" si="29"/>
        <v>0</v>
      </c>
      <c r="BR26" s="1770">
        <f t="shared" si="29"/>
        <v>0</v>
      </c>
      <c r="BS26" s="1770">
        <f t="shared" si="29"/>
        <v>0</v>
      </c>
      <c r="BT26" s="1770">
        <f t="shared" si="29"/>
        <v>0</v>
      </c>
      <c r="BU26" s="1770">
        <f t="shared" si="29"/>
        <v>0</v>
      </c>
      <c r="BV26" s="1770">
        <f t="shared" si="29"/>
        <v>0</v>
      </c>
      <c r="BW26" s="1770">
        <f t="shared" si="29"/>
        <v>0</v>
      </c>
      <c r="BX26" s="1768">
        <f t="shared" si="29"/>
        <v>0</v>
      </c>
      <c r="BY26" s="1769">
        <f>IF(BY8&gt;0,ROUND((ROUND(VLOOKUP(BY8,skalalontabel,BY23,0)*BY22,0))/12,2),BY9*BY22*BY10)</f>
        <v>0</v>
      </c>
      <c r="BZ26" s="1768">
        <f>IF(BZ8&gt;0,ROUND((ROUND(VLOOKUP(BZ8,skalalontabel,BZ23,0)*BZ22,0))/12,2),BZ9*BZ22*BZ10)</f>
        <v>0</v>
      </c>
      <c r="CA26" s="1769">
        <f t="shared" ref="CA26:CH26" si="30">IF(CA8&gt;0,ROUND((ROUND(VLOOKUP(CA8,skalalontabel,CA23,0)*CA22,0))/12,2),0)</f>
        <v>0</v>
      </c>
      <c r="CB26" s="1770">
        <f t="shared" si="30"/>
        <v>0</v>
      </c>
      <c r="CC26" s="1770">
        <f t="shared" si="30"/>
        <v>0</v>
      </c>
      <c r="CD26" s="1770">
        <f t="shared" si="30"/>
        <v>0</v>
      </c>
      <c r="CE26" s="1770">
        <f t="shared" si="30"/>
        <v>0</v>
      </c>
      <c r="CF26" s="1770">
        <f t="shared" si="30"/>
        <v>0</v>
      </c>
      <c r="CG26" s="1770">
        <f t="shared" si="30"/>
        <v>0</v>
      </c>
      <c r="CH26" s="1768">
        <f t="shared" si="30"/>
        <v>0</v>
      </c>
      <c r="CI26" s="1769">
        <f>IF(CI8&gt;0,ROUND((ROUND(VLOOKUP(CI8,skalalontabel,CI23,0)*CI22,0))/12,2),CI9*CI22*CI10)</f>
        <v>0</v>
      </c>
      <c r="CJ26" s="1768">
        <f>IF(CJ8&gt;0,ROUND((ROUND(VLOOKUP(CJ8,skalalontabel,CJ23,0)*CJ22,0))/12,2),CJ9*CJ22*CJ10)</f>
        <v>0</v>
      </c>
      <c r="CK26" s="1769">
        <f t="shared" ref="CK26:CU26" si="31">IF(CK8&gt;0,ROUND((ROUND(VLOOKUP(CK8,skalalontabel,CK23,0)*CK22,0))/12,2),0)</f>
        <v>0</v>
      </c>
      <c r="CL26" s="1770">
        <f t="shared" si="31"/>
        <v>0</v>
      </c>
      <c r="CM26" s="1770">
        <f t="shared" si="31"/>
        <v>0</v>
      </c>
      <c r="CN26" s="1770">
        <f t="shared" si="31"/>
        <v>0</v>
      </c>
      <c r="CO26" s="1770">
        <f t="shared" si="31"/>
        <v>0</v>
      </c>
      <c r="CP26" s="1770">
        <f t="shared" si="31"/>
        <v>0</v>
      </c>
      <c r="CQ26" s="1770">
        <f t="shared" si="31"/>
        <v>0</v>
      </c>
      <c r="CR26" s="1770">
        <f t="shared" si="31"/>
        <v>0</v>
      </c>
      <c r="CS26" s="1770">
        <f t="shared" si="31"/>
        <v>0</v>
      </c>
      <c r="CT26" s="1770">
        <f t="shared" si="31"/>
        <v>0</v>
      </c>
      <c r="CU26" s="1771">
        <f t="shared" si="31"/>
        <v>0</v>
      </c>
      <c r="CV26" s="1769">
        <f>IF(CV8&gt;0,ROUND((ROUND(VLOOKUP(CV8,skalalontabel,CV23,0)*CV22,0))/12,2),CV9*CV22*CV10)</f>
        <v>0</v>
      </c>
      <c r="CW26" s="1768">
        <f>IF(CW8&gt;0,ROUND((ROUND(VLOOKUP(CW8,skalalontabel,CW23,0)*CW22,0))/12,2),CW9*CW22*CW10)</f>
        <v>0</v>
      </c>
      <c r="CX26" s="1769">
        <f>IF(CX8&gt;0,ROUND((ROUND(VLOOKUP(CX8,skalalontabel,CX23,0)*CX22,0))/12,2),0)</f>
        <v>0</v>
      </c>
      <c r="CY26" s="1770">
        <f>IF(CY8&gt;0,ROUND((ROUND(VLOOKUP(CY8,skalalontabel,CY23,0)*CY22,0))/12,2),0)</f>
        <v>0</v>
      </c>
      <c r="CZ26" s="1770">
        <f>IF(CZ8&gt;0,ROUND((ROUND(VLOOKUP(CZ8,skalalontabel,CZ23,0)*CZ22,0))/12,2),0)</f>
        <v>0</v>
      </c>
      <c r="DA26" s="1770">
        <f>IF(DA8&gt;0,ROUND((ROUND(VLOOKUP(DA8,skalalontabel,DA23,0)*DA22,0))/12,2),0)</f>
        <v>0</v>
      </c>
      <c r="DB26" s="1768">
        <f>IF(DB8&gt;0,ROUND((ROUND(VLOOKUP(DB8,skalalontabel,DB23,0)*DB22,0))/12,2),0)</f>
        <v>0</v>
      </c>
      <c r="DC26" s="1769">
        <f>IF(DC8&gt;0,ROUND((ROUND(VLOOKUP(DC8,skalalontabel,DC23,0)*DC22,0))/12,2),DC9*DC22*DC10)</f>
        <v>0</v>
      </c>
      <c r="DD26" s="1768">
        <f>IF(DD8&gt;0,ROUND((ROUND(VLOOKUP(DD8,skalalontabel,DD23,0)*DD22,0))/12,2),DD9*DD22*DD10)</f>
        <v>0</v>
      </c>
      <c r="DE26" s="63" t="s">
        <v>725</v>
      </c>
      <c r="DJ26" s="1518" t="s">
        <v>631</v>
      </c>
      <c r="DK26" s="1504"/>
      <c r="DL26" s="1655">
        <f t="shared" si="17"/>
        <v>0</v>
      </c>
      <c r="DM26" s="1676" t="str">
        <f>DJ26</f>
        <v>Diæter</v>
      </c>
      <c r="DN26" s="1504"/>
      <c r="DO26" s="1657">
        <f t="shared" si="16"/>
        <v>0</v>
      </c>
      <c r="DP26" s="1538" t="s">
        <v>570</v>
      </c>
      <c r="DQ26" s="1538"/>
      <c r="DR26" s="1658">
        <f>BN56+BN84-DR25+SUM(BM81:BN81)</f>
        <v>0</v>
      </c>
      <c r="DS26" s="701"/>
      <c r="DT26" s="701"/>
      <c r="DU26" s="702"/>
      <c r="DV26" s="701"/>
      <c r="DW26" s="701"/>
      <c r="DX26" s="702"/>
      <c r="DY26" s="701"/>
      <c r="DZ26" s="701"/>
      <c r="EA26" s="702"/>
      <c r="EB26" s="1665" t="s">
        <v>570</v>
      </c>
      <c r="EC26" s="1665"/>
      <c r="ED26" s="1666">
        <f>BZ56+BY81+BZ81+BZ84-ED25</f>
        <v>0</v>
      </c>
    </row>
    <row r="27" spans="1:141" ht="24" customHeight="1">
      <c r="A27" s="2850" t="s">
        <v>726</v>
      </c>
      <c r="B27" s="2851"/>
      <c r="C27" s="2423">
        <f t="shared" ref="C27:DB27" si="32">ROUND(C$26*C$24,2)</f>
        <v>0</v>
      </c>
      <c r="D27" s="2424">
        <f t="shared" si="32"/>
        <v>0</v>
      </c>
      <c r="E27" s="2389">
        <f t="shared" si="32"/>
        <v>0</v>
      </c>
      <c r="F27" s="2454">
        <f t="shared" si="32"/>
        <v>0</v>
      </c>
      <c r="G27" s="1770">
        <f t="shared" si="32"/>
        <v>0</v>
      </c>
      <c r="H27" s="1770">
        <f t="shared" si="32"/>
        <v>0</v>
      </c>
      <c r="I27" s="1770">
        <f t="shared" si="32"/>
        <v>0</v>
      </c>
      <c r="J27" s="1770">
        <f t="shared" si="32"/>
        <v>0</v>
      </c>
      <c r="K27" s="1770">
        <f t="shared" si="32"/>
        <v>0</v>
      </c>
      <c r="L27" s="1770">
        <f t="shared" si="32"/>
        <v>0</v>
      </c>
      <c r="M27" s="1770">
        <f t="shared" si="32"/>
        <v>0</v>
      </c>
      <c r="N27" s="1770">
        <f t="shared" si="32"/>
        <v>0</v>
      </c>
      <c r="O27" s="1770">
        <f t="shared" si="32"/>
        <v>0</v>
      </c>
      <c r="P27" s="1770">
        <f t="shared" si="32"/>
        <v>0</v>
      </c>
      <c r="Q27" s="1770">
        <f t="shared" si="32"/>
        <v>0</v>
      </c>
      <c r="R27" s="1770">
        <f t="shared" si="32"/>
        <v>0</v>
      </c>
      <c r="S27" s="1770">
        <f t="shared" si="32"/>
        <v>0</v>
      </c>
      <c r="T27" s="1770">
        <f t="shared" si="32"/>
        <v>0</v>
      </c>
      <c r="U27" s="1768">
        <f t="shared" si="32"/>
        <v>0</v>
      </c>
      <c r="V27" s="1728"/>
      <c r="W27" s="1729"/>
      <c r="X27" s="2340">
        <f t="shared" si="32"/>
        <v>0</v>
      </c>
      <c r="Y27" s="2454">
        <f t="shared" si="32"/>
        <v>0</v>
      </c>
      <c r="Z27" s="1771">
        <f t="shared" si="32"/>
        <v>0</v>
      </c>
      <c r="AA27" s="1769">
        <f t="shared" si="32"/>
        <v>0</v>
      </c>
      <c r="AB27" s="1770">
        <f t="shared" si="32"/>
        <v>0</v>
      </c>
      <c r="AC27" s="1770">
        <f t="shared" si="32"/>
        <v>0</v>
      </c>
      <c r="AD27" s="1770">
        <f t="shared" si="32"/>
        <v>0</v>
      </c>
      <c r="AE27" s="1770">
        <f t="shared" si="32"/>
        <v>0</v>
      </c>
      <c r="AF27" s="1770">
        <f t="shared" si="32"/>
        <v>0</v>
      </c>
      <c r="AG27" s="1770">
        <f t="shared" si="32"/>
        <v>0</v>
      </c>
      <c r="AH27" s="1770">
        <f t="shared" si="32"/>
        <v>0</v>
      </c>
      <c r="AI27" s="1770">
        <f t="shared" si="32"/>
        <v>0</v>
      </c>
      <c r="AJ27" s="1770">
        <f t="shared" si="32"/>
        <v>0</v>
      </c>
      <c r="AK27" s="1770">
        <f t="shared" si="32"/>
        <v>0</v>
      </c>
      <c r="AL27" s="1770">
        <f t="shared" si="32"/>
        <v>0</v>
      </c>
      <c r="AM27" s="1770">
        <f t="shared" si="32"/>
        <v>0</v>
      </c>
      <c r="AN27" s="1770">
        <f t="shared" si="32"/>
        <v>0</v>
      </c>
      <c r="AO27" s="1770">
        <f t="shared" si="32"/>
        <v>0</v>
      </c>
      <c r="AP27" s="1770">
        <f t="shared" si="32"/>
        <v>0</v>
      </c>
      <c r="AQ27" s="1771">
        <f t="shared" si="32"/>
        <v>0</v>
      </c>
      <c r="AR27" s="2340">
        <f t="shared" si="32"/>
        <v>0</v>
      </c>
      <c r="AS27" s="2454">
        <f t="shared" si="32"/>
        <v>0</v>
      </c>
      <c r="AT27" s="2454">
        <f t="shared" si="32"/>
        <v>0</v>
      </c>
      <c r="AU27" s="2511">
        <f t="shared" si="32"/>
        <v>0</v>
      </c>
      <c r="AV27" s="2389">
        <f t="shared" si="32"/>
        <v>0</v>
      </c>
      <c r="AW27" s="2454">
        <f t="shared" si="32"/>
        <v>0</v>
      </c>
      <c r="AX27" s="2454">
        <f t="shared" si="32"/>
        <v>0</v>
      </c>
      <c r="AY27" s="2511">
        <f t="shared" si="32"/>
        <v>0</v>
      </c>
      <c r="AZ27" s="1728"/>
      <c r="BA27" s="1729"/>
      <c r="BB27" s="2340">
        <f t="shared" si="32"/>
        <v>0</v>
      </c>
      <c r="BC27" s="2389">
        <f t="shared" si="32"/>
        <v>0</v>
      </c>
      <c r="BD27" s="1770">
        <f t="shared" si="32"/>
        <v>0</v>
      </c>
      <c r="BE27" s="1770">
        <f t="shared" si="32"/>
        <v>0</v>
      </c>
      <c r="BF27" s="1770">
        <f t="shared" si="32"/>
        <v>0</v>
      </c>
      <c r="BG27" s="1770">
        <f t="shared" si="32"/>
        <v>0</v>
      </c>
      <c r="BH27" s="1770">
        <f t="shared" si="32"/>
        <v>0</v>
      </c>
      <c r="BI27" s="1770">
        <f t="shared" si="32"/>
        <v>0</v>
      </c>
      <c r="BJ27" s="1770">
        <f t="shared" si="32"/>
        <v>0</v>
      </c>
      <c r="BK27" s="1770">
        <f t="shared" si="32"/>
        <v>0</v>
      </c>
      <c r="BL27" s="1768">
        <f t="shared" si="32"/>
        <v>0</v>
      </c>
      <c r="BM27" s="1772"/>
      <c r="BN27" s="1729"/>
      <c r="BO27" s="1769">
        <f t="shared" si="32"/>
        <v>0</v>
      </c>
      <c r="BP27" s="1770">
        <f t="shared" si="32"/>
        <v>0</v>
      </c>
      <c r="BQ27" s="1770">
        <f t="shared" si="32"/>
        <v>0</v>
      </c>
      <c r="BR27" s="1770">
        <f t="shared" si="32"/>
        <v>0</v>
      </c>
      <c r="BS27" s="1770">
        <f t="shared" si="32"/>
        <v>0</v>
      </c>
      <c r="BT27" s="1770">
        <f t="shared" si="32"/>
        <v>0</v>
      </c>
      <c r="BU27" s="1770">
        <f t="shared" si="32"/>
        <v>0</v>
      </c>
      <c r="BV27" s="1770">
        <f t="shared" si="32"/>
        <v>0</v>
      </c>
      <c r="BW27" s="1770">
        <f t="shared" si="32"/>
        <v>0</v>
      </c>
      <c r="BX27" s="1768">
        <f t="shared" si="32"/>
        <v>0</v>
      </c>
      <c r="BY27" s="1772"/>
      <c r="BZ27" s="1729"/>
      <c r="CA27" s="1769">
        <f t="shared" si="32"/>
        <v>0</v>
      </c>
      <c r="CB27" s="1770">
        <f t="shared" si="32"/>
        <v>0</v>
      </c>
      <c r="CC27" s="1770">
        <f t="shared" si="32"/>
        <v>0</v>
      </c>
      <c r="CD27" s="1770">
        <f t="shared" si="32"/>
        <v>0</v>
      </c>
      <c r="CE27" s="1770">
        <f t="shared" si="32"/>
        <v>0</v>
      </c>
      <c r="CF27" s="1770">
        <f t="shared" si="32"/>
        <v>0</v>
      </c>
      <c r="CG27" s="1770">
        <f t="shared" si="32"/>
        <v>0</v>
      </c>
      <c r="CH27" s="1768">
        <f t="shared" si="32"/>
        <v>0</v>
      </c>
      <c r="CI27" s="1772"/>
      <c r="CJ27" s="1729"/>
      <c r="CK27" s="1769">
        <f t="shared" si="32"/>
        <v>0</v>
      </c>
      <c r="CL27" s="1770">
        <f t="shared" si="32"/>
        <v>0</v>
      </c>
      <c r="CM27" s="1770">
        <f t="shared" si="32"/>
        <v>0</v>
      </c>
      <c r="CN27" s="1770">
        <f t="shared" si="32"/>
        <v>0</v>
      </c>
      <c r="CO27" s="1770">
        <f t="shared" si="32"/>
        <v>0</v>
      </c>
      <c r="CP27" s="1770">
        <f t="shared" si="32"/>
        <v>0</v>
      </c>
      <c r="CQ27" s="1770">
        <f t="shared" si="32"/>
        <v>0</v>
      </c>
      <c r="CR27" s="1770">
        <f t="shared" si="32"/>
        <v>0</v>
      </c>
      <c r="CS27" s="1770">
        <f t="shared" si="32"/>
        <v>0</v>
      </c>
      <c r="CT27" s="1770">
        <f t="shared" si="32"/>
        <v>0</v>
      </c>
      <c r="CU27" s="1768">
        <f t="shared" si="32"/>
        <v>0</v>
      </c>
      <c r="CV27" s="1772"/>
      <c r="CW27" s="1729"/>
      <c r="CX27" s="1769">
        <f t="shared" si="32"/>
        <v>0</v>
      </c>
      <c r="CY27" s="1770">
        <f t="shared" si="32"/>
        <v>0</v>
      </c>
      <c r="CZ27" s="1770">
        <f t="shared" si="32"/>
        <v>0</v>
      </c>
      <c r="DA27" s="1770">
        <f t="shared" si="32"/>
        <v>0</v>
      </c>
      <c r="DB27" s="1768">
        <f t="shared" si="32"/>
        <v>0</v>
      </c>
      <c r="DC27" s="1772"/>
      <c r="DD27" s="1729"/>
      <c r="DJ27" s="1518" t="s">
        <v>558</v>
      </c>
      <c r="DK27" s="1504"/>
      <c r="DL27" s="1655">
        <f t="shared" si="17"/>
        <v>0</v>
      </c>
      <c r="DM27" s="1676" t="s">
        <v>558</v>
      </c>
      <c r="DN27" s="1504"/>
      <c r="DO27" s="1657">
        <f t="shared" si="16"/>
        <v>0</v>
      </c>
      <c r="DP27" s="701"/>
      <c r="DQ27" s="701"/>
      <c r="DR27" s="702"/>
      <c r="EB27" s="343"/>
      <c r="EC27" s="343"/>
      <c r="ED27" s="343"/>
    </row>
    <row r="28" spans="1:141" ht="20" customHeight="1">
      <c r="A28" s="2881" t="s">
        <v>727</v>
      </c>
      <c r="B28" s="2882"/>
      <c r="C28" s="2425"/>
      <c r="D28" s="2426"/>
      <c r="E28" s="2389">
        <f>E120</f>
        <v>0</v>
      </c>
      <c r="F28" s="2454">
        <f>F120</f>
        <v>0</v>
      </c>
      <c r="G28" s="1770">
        <f t="shared" ref="G28:U28" si="33">G120</f>
        <v>0</v>
      </c>
      <c r="H28" s="1770">
        <f t="shared" si="33"/>
        <v>0</v>
      </c>
      <c r="I28" s="1770">
        <f>I120</f>
        <v>0</v>
      </c>
      <c r="J28" s="1770">
        <f t="shared" si="33"/>
        <v>0</v>
      </c>
      <c r="K28" s="1770">
        <f t="shared" si="33"/>
        <v>0</v>
      </c>
      <c r="L28" s="1770">
        <f t="shared" si="33"/>
        <v>0</v>
      </c>
      <c r="M28" s="1770">
        <f t="shared" si="33"/>
        <v>0</v>
      </c>
      <c r="N28" s="1770">
        <f t="shared" si="33"/>
        <v>0</v>
      </c>
      <c r="O28" s="1770">
        <f t="shared" si="33"/>
        <v>0</v>
      </c>
      <c r="P28" s="1770">
        <f t="shared" si="33"/>
        <v>0</v>
      </c>
      <c r="Q28" s="1770">
        <f t="shared" si="33"/>
        <v>0</v>
      </c>
      <c r="R28" s="1770">
        <f t="shared" si="33"/>
        <v>0</v>
      </c>
      <c r="S28" s="1770">
        <f t="shared" si="33"/>
        <v>0</v>
      </c>
      <c r="T28" s="1770">
        <f t="shared" si="33"/>
        <v>0</v>
      </c>
      <c r="U28" s="1768">
        <f t="shared" si="33"/>
        <v>0</v>
      </c>
      <c r="V28" s="1728"/>
      <c r="W28" s="1729"/>
      <c r="X28" s="2474"/>
      <c r="Y28" s="2455"/>
      <c r="Z28" s="1774"/>
      <c r="AA28" s="1769">
        <f>AA120</f>
        <v>0</v>
      </c>
      <c r="AB28" s="1770">
        <f t="shared" ref="AB28:AJ28" si="34">AB120</f>
        <v>0</v>
      </c>
      <c r="AC28" s="1770">
        <f t="shared" si="34"/>
        <v>0</v>
      </c>
      <c r="AD28" s="1770">
        <f t="shared" si="34"/>
        <v>0</v>
      </c>
      <c r="AE28" s="1770">
        <f t="shared" ref="AE28" si="35">AE120</f>
        <v>0</v>
      </c>
      <c r="AF28" s="1770">
        <f t="shared" si="34"/>
        <v>0</v>
      </c>
      <c r="AG28" s="1770">
        <f t="shared" si="34"/>
        <v>0</v>
      </c>
      <c r="AH28" s="1770">
        <f t="shared" si="34"/>
        <v>0</v>
      </c>
      <c r="AI28" s="1770">
        <f t="shared" si="34"/>
        <v>0</v>
      </c>
      <c r="AJ28" s="1770">
        <f t="shared" si="34"/>
        <v>0</v>
      </c>
      <c r="AK28" s="1770">
        <f t="shared" ref="AK28:AN28" si="36">AK120</f>
        <v>0</v>
      </c>
      <c r="AL28" s="1770">
        <f t="shared" si="36"/>
        <v>0</v>
      </c>
      <c r="AM28" s="1770">
        <f t="shared" si="36"/>
        <v>0</v>
      </c>
      <c r="AN28" s="1770">
        <f t="shared" si="36"/>
        <v>0</v>
      </c>
      <c r="AO28" s="1770">
        <f t="shared" ref="AO28:AQ28" si="37">AO120</f>
        <v>0</v>
      </c>
      <c r="AP28" s="1770">
        <f t="shared" si="37"/>
        <v>0</v>
      </c>
      <c r="AQ28" s="1771">
        <f t="shared" si="37"/>
        <v>0</v>
      </c>
      <c r="AR28" s="2500"/>
      <c r="AS28" s="2501"/>
      <c r="AT28" s="2501"/>
      <c r="AU28" s="2502"/>
      <c r="AV28" s="2500"/>
      <c r="AW28" s="2501"/>
      <c r="AX28" s="2501"/>
      <c r="AY28" s="2502"/>
      <c r="AZ28" s="1728"/>
      <c r="BA28" s="1729"/>
      <c r="BB28" s="2340">
        <f t="shared" ref="BB28:BL28" si="38">BB120</f>
        <v>0</v>
      </c>
      <c r="BC28" s="2389">
        <f t="shared" ref="BC28" si="39">BC120</f>
        <v>0</v>
      </c>
      <c r="BD28" s="1770">
        <f t="shared" si="38"/>
        <v>0</v>
      </c>
      <c r="BE28" s="1770">
        <f t="shared" si="38"/>
        <v>0</v>
      </c>
      <c r="BF28" s="1770">
        <f t="shared" si="38"/>
        <v>0</v>
      </c>
      <c r="BG28" s="1770">
        <f t="shared" si="38"/>
        <v>0</v>
      </c>
      <c r="BH28" s="1770">
        <f t="shared" si="38"/>
        <v>0</v>
      </c>
      <c r="BI28" s="1770">
        <f t="shared" si="38"/>
        <v>0</v>
      </c>
      <c r="BJ28" s="1770">
        <f t="shared" si="38"/>
        <v>0</v>
      </c>
      <c r="BK28" s="1770">
        <f t="shared" si="38"/>
        <v>0</v>
      </c>
      <c r="BL28" s="1768">
        <f t="shared" si="38"/>
        <v>0</v>
      </c>
      <c r="BM28" s="1772"/>
      <c r="BN28" s="1729"/>
      <c r="BO28" s="1769">
        <f t="shared" ref="BO28:BX28" si="40">BO120</f>
        <v>0</v>
      </c>
      <c r="BP28" s="1770">
        <f t="shared" si="40"/>
        <v>0</v>
      </c>
      <c r="BQ28" s="1770">
        <f t="shared" si="40"/>
        <v>0</v>
      </c>
      <c r="BR28" s="1770">
        <f t="shared" si="40"/>
        <v>0</v>
      </c>
      <c r="BS28" s="1770">
        <f t="shared" si="40"/>
        <v>0</v>
      </c>
      <c r="BT28" s="1770">
        <f t="shared" si="40"/>
        <v>0</v>
      </c>
      <c r="BU28" s="1770">
        <f t="shared" si="40"/>
        <v>0</v>
      </c>
      <c r="BV28" s="1770">
        <f t="shared" si="40"/>
        <v>0</v>
      </c>
      <c r="BW28" s="1770">
        <f t="shared" si="40"/>
        <v>0</v>
      </c>
      <c r="BX28" s="1768">
        <f t="shared" si="40"/>
        <v>0</v>
      </c>
      <c r="BY28" s="1772"/>
      <c r="BZ28" s="1729"/>
      <c r="CA28" s="1772"/>
      <c r="CB28" s="1775"/>
      <c r="CC28" s="1775"/>
      <c r="CD28" s="1775"/>
      <c r="CE28" s="1775"/>
      <c r="CF28" s="1775"/>
      <c r="CG28" s="1775"/>
      <c r="CH28" s="1729"/>
      <c r="CI28" s="1772"/>
      <c r="CJ28" s="1729"/>
      <c r="CK28" s="1769">
        <f t="shared" ref="CK28:CU28" si="41">CK120</f>
        <v>0</v>
      </c>
      <c r="CL28" s="1770">
        <f t="shared" si="41"/>
        <v>0</v>
      </c>
      <c r="CM28" s="1770">
        <f t="shared" si="41"/>
        <v>0</v>
      </c>
      <c r="CN28" s="1770">
        <f t="shared" si="41"/>
        <v>0</v>
      </c>
      <c r="CO28" s="1770">
        <f t="shared" si="41"/>
        <v>0</v>
      </c>
      <c r="CP28" s="1770">
        <f t="shared" si="41"/>
        <v>0</v>
      </c>
      <c r="CQ28" s="1770">
        <f t="shared" si="41"/>
        <v>0</v>
      </c>
      <c r="CR28" s="1770">
        <f t="shared" si="41"/>
        <v>0</v>
      </c>
      <c r="CS28" s="1770">
        <f t="shared" si="41"/>
        <v>0</v>
      </c>
      <c r="CT28" s="1770">
        <f t="shared" si="41"/>
        <v>0</v>
      </c>
      <c r="CU28" s="1768">
        <f t="shared" si="41"/>
        <v>0</v>
      </c>
      <c r="CV28" s="1772"/>
      <c r="CW28" s="1729"/>
      <c r="CX28" s="1769">
        <f>CX120</f>
        <v>0</v>
      </c>
      <c r="CY28" s="1769">
        <f t="shared" ref="CY28:DB28" si="42">CY120</f>
        <v>0</v>
      </c>
      <c r="CZ28" s="1769">
        <f t="shared" si="42"/>
        <v>0</v>
      </c>
      <c r="DA28" s="1769">
        <f t="shared" si="42"/>
        <v>0</v>
      </c>
      <c r="DB28" s="1769">
        <f t="shared" si="42"/>
        <v>0</v>
      </c>
      <c r="DC28" s="1772"/>
      <c r="DD28" s="1729"/>
      <c r="DJ28" s="1518" t="s">
        <v>710</v>
      </c>
      <c r="DK28" s="1504"/>
      <c r="DL28" s="1655">
        <f t="shared" si="17"/>
        <v>0</v>
      </c>
      <c r="DM28" s="1676" t="s">
        <v>710</v>
      </c>
      <c r="DN28" s="1504"/>
      <c r="DO28" s="1657">
        <f t="shared" si="16"/>
        <v>0</v>
      </c>
      <c r="EE28" s="343"/>
      <c r="EF28" s="343"/>
      <c r="EG28" s="343"/>
      <c r="EH28" s="343"/>
      <c r="EI28" s="343"/>
      <c r="EJ28" s="343"/>
      <c r="EK28" s="343"/>
    </row>
    <row r="29" spans="1:141" ht="26" customHeight="1">
      <c r="A29" s="2852" t="s">
        <v>728</v>
      </c>
      <c r="B29" s="2853"/>
      <c r="C29" s="2423">
        <f>IF(AND(C24&gt;0,C7="Pædagog"),8018*C22*C24/12,0)+IF(AND(C24&gt;0,C7="afdelingsleder"),4398*C22*C24/12,0)</f>
        <v>0</v>
      </c>
      <c r="D29" s="2427">
        <f>IF(AND(D24&gt;0,D7="Pædagog"),8018*D22*D24/12,0)+IF(AND(D24&gt;0,D7="afdelingsleder"),4398*D22*D24/12,0)</f>
        <v>0</v>
      </c>
      <c r="E29" s="2389">
        <f>IF(AND($E$24&gt;0,$E$7="Pædagog"),8018*$E$22*$E$24/12,0)+IF(AND($E$24&gt;0,$E$7="afdelingsleder"),4398*$E$22*$E$24/12,0)</f>
        <v>0</v>
      </c>
      <c r="F29" s="2454">
        <f>IF(AND($E$24&gt;0,$E$7="Pædagog"),8018*$E$22*$E$24/12,0)+IF(AND($E$24&gt;0,$E$7="afdelingsleder"),4398*$E$22*$E$24/12,0)</f>
        <v>0</v>
      </c>
      <c r="G29" s="1770">
        <f t="shared" ref="G29:U29" si="43">IF(AND(G24&gt;0,G7="Pædagog"),8018*G22*G24/12,0)+IF(AND(G24&gt;0,G7="afdelingsleder"),4398*G22*G24/12,0)</f>
        <v>0</v>
      </c>
      <c r="H29" s="1770">
        <f t="shared" si="43"/>
        <v>0</v>
      </c>
      <c r="I29" s="1770">
        <f t="shared" ref="I29" si="44">IF(AND(I24&gt;0,I7="Pædagog"),8018*I22*I24/12,0)+IF(AND(I24&gt;0,I7="afdelingsleder"),4398*I22*I24/12,0)</f>
        <v>0</v>
      </c>
      <c r="J29" s="1770">
        <f t="shared" si="43"/>
        <v>0</v>
      </c>
      <c r="K29" s="1770">
        <f t="shared" si="43"/>
        <v>0</v>
      </c>
      <c r="L29" s="1770">
        <f t="shared" si="43"/>
        <v>0</v>
      </c>
      <c r="M29" s="1770">
        <f t="shared" si="43"/>
        <v>0</v>
      </c>
      <c r="N29" s="1770">
        <f t="shared" si="43"/>
        <v>0</v>
      </c>
      <c r="O29" s="1770">
        <f t="shared" si="43"/>
        <v>0</v>
      </c>
      <c r="P29" s="1770">
        <f t="shared" si="43"/>
        <v>0</v>
      </c>
      <c r="Q29" s="1770">
        <f t="shared" si="43"/>
        <v>0</v>
      </c>
      <c r="R29" s="1770">
        <f t="shared" si="43"/>
        <v>0</v>
      </c>
      <c r="S29" s="1770">
        <f t="shared" si="43"/>
        <v>0</v>
      </c>
      <c r="T29" s="1770">
        <f t="shared" si="43"/>
        <v>0</v>
      </c>
      <c r="U29" s="1768">
        <f t="shared" si="43"/>
        <v>0</v>
      </c>
      <c r="V29" s="1728"/>
      <c r="W29" s="1729"/>
      <c r="X29" s="2340">
        <f t="shared" ref="X29:AJ29" si="45">IF(AND(X24&gt;0,X7="Pædagog"),8018*X22*X24/12,0)+IF(AND(X24&gt;0,X7="afdelingsleder"),4398*X22*X24/12,0)</f>
        <v>0</v>
      </c>
      <c r="Y29" s="2454">
        <f t="shared" ref="Y29" si="46">IF(AND(Y24&gt;0,Y7="Pædagog"),8018*Y22*Y24/12,0)+IF(AND(Y24&gt;0,Y7="afdelingsleder"),4398*Y22*Y24/12,0)</f>
        <v>0</v>
      </c>
      <c r="Z29" s="1771">
        <f t="shared" si="45"/>
        <v>0</v>
      </c>
      <c r="AA29" s="1769">
        <f t="shared" si="45"/>
        <v>0</v>
      </c>
      <c r="AB29" s="1770">
        <f t="shared" si="45"/>
        <v>0</v>
      </c>
      <c r="AC29" s="1770">
        <f t="shared" si="45"/>
        <v>0</v>
      </c>
      <c r="AD29" s="1770">
        <f t="shared" si="45"/>
        <v>0</v>
      </c>
      <c r="AE29" s="1770">
        <f t="shared" ref="AE29" si="47">IF(AND(AE24&gt;0,AE7="Pædagog"),8018*AE22*AE24/12,0)+IF(AND(AE24&gt;0,AE7="afdelingsleder"),4398*AE22*AE24/12,0)</f>
        <v>0</v>
      </c>
      <c r="AF29" s="1770">
        <f t="shared" si="45"/>
        <v>0</v>
      </c>
      <c r="AG29" s="1770">
        <f t="shared" si="45"/>
        <v>0</v>
      </c>
      <c r="AH29" s="1770">
        <f t="shared" si="45"/>
        <v>0</v>
      </c>
      <c r="AI29" s="1770">
        <f t="shared" si="45"/>
        <v>0</v>
      </c>
      <c r="AJ29" s="1770">
        <f t="shared" si="45"/>
        <v>0</v>
      </c>
      <c r="AK29" s="1770">
        <f t="shared" ref="AK29:AN29" si="48">IF(AND(AK24&gt;0,AK7="Pædagog"),8018*AK22*AK24/12,0)+IF(AND(AK24&gt;0,AK7="afdelingsleder"),4398*AK22*AK24/12,0)</f>
        <v>0</v>
      </c>
      <c r="AL29" s="1770">
        <f t="shared" si="48"/>
        <v>0</v>
      </c>
      <c r="AM29" s="1770">
        <f t="shared" si="48"/>
        <v>0</v>
      </c>
      <c r="AN29" s="1770">
        <f t="shared" si="48"/>
        <v>0</v>
      </c>
      <c r="AO29" s="1770">
        <f t="shared" ref="AO29:AQ29" si="49">IF(AND(AO24&gt;0,AO7="Pædagog"),8018*AO22*AO24/12,0)+IF(AND(AO24&gt;0,AO7="afdelingsleder"),4398*AO22*AO24/12,0)</f>
        <v>0</v>
      </c>
      <c r="AP29" s="1770">
        <f t="shared" si="49"/>
        <v>0</v>
      </c>
      <c r="AQ29" s="1771">
        <f t="shared" si="49"/>
        <v>0</v>
      </c>
      <c r="AR29" s="2500"/>
      <c r="AS29" s="2501"/>
      <c r="AT29" s="2501"/>
      <c r="AU29" s="2502"/>
      <c r="AV29" s="2500"/>
      <c r="AW29" s="2501"/>
      <c r="AX29" s="2501"/>
      <c r="AY29" s="2502"/>
      <c r="AZ29" s="1728"/>
      <c r="BA29" s="1729"/>
      <c r="BB29" s="2340">
        <f t="shared" ref="BB29:BL29" si="50">IF(AND(BB24&gt;0,BB7="Pædagog"),8018*BB22*BB24/12,0)+IF(AND(BB24&gt;0,BB7="afdelingsleder"),4398*BB22*BB24/12,0)</f>
        <v>0</v>
      </c>
      <c r="BC29" s="2389">
        <f t="shared" ref="BC29" si="51">IF(AND(BC24&gt;0,BC7="Pædagog"),8018*BC22*BC24/12,0)+IF(AND(BC24&gt;0,BC7="afdelingsleder"),4398*BC22*BC24/12,0)</f>
        <v>0</v>
      </c>
      <c r="BD29" s="1770">
        <f t="shared" si="50"/>
        <v>0</v>
      </c>
      <c r="BE29" s="1770">
        <f t="shared" si="50"/>
        <v>0</v>
      </c>
      <c r="BF29" s="1770">
        <f t="shared" si="50"/>
        <v>0</v>
      </c>
      <c r="BG29" s="1770">
        <f t="shared" si="50"/>
        <v>0</v>
      </c>
      <c r="BH29" s="1770">
        <f t="shared" si="50"/>
        <v>0</v>
      </c>
      <c r="BI29" s="1770">
        <f t="shared" si="50"/>
        <v>0</v>
      </c>
      <c r="BJ29" s="1770">
        <f t="shared" si="50"/>
        <v>0</v>
      </c>
      <c r="BK29" s="1770">
        <f t="shared" si="50"/>
        <v>0</v>
      </c>
      <c r="BL29" s="1768">
        <f t="shared" si="50"/>
        <v>0</v>
      </c>
      <c r="BM29" s="1772"/>
      <c r="BN29" s="1729"/>
      <c r="BO29" s="1769">
        <f t="shared" ref="BO29:BX29" si="52">IF(AND(BO24&gt;0,BO7="Pædagog"),8018*BO22*BO24/12,0)+IF(AND(BO24&gt;0,BO7="afdelingsleder"),4398*BO22*BO24/12,0)</f>
        <v>0</v>
      </c>
      <c r="BP29" s="1770">
        <f t="shared" si="52"/>
        <v>0</v>
      </c>
      <c r="BQ29" s="1770">
        <f t="shared" si="52"/>
        <v>0</v>
      </c>
      <c r="BR29" s="1770">
        <f t="shared" si="52"/>
        <v>0</v>
      </c>
      <c r="BS29" s="1770">
        <f t="shared" si="52"/>
        <v>0</v>
      </c>
      <c r="BT29" s="1770">
        <f t="shared" si="52"/>
        <v>0</v>
      </c>
      <c r="BU29" s="1770">
        <f t="shared" si="52"/>
        <v>0</v>
      </c>
      <c r="BV29" s="1770">
        <f t="shared" si="52"/>
        <v>0</v>
      </c>
      <c r="BW29" s="1770">
        <f t="shared" si="52"/>
        <v>0</v>
      </c>
      <c r="BX29" s="1768">
        <f t="shared" si="52"/>
        <v>0</v>
      </c>
      <c r="BY29" s="1772"/>
      <c r="BZ29" s="1729"/>
      <c r="CA29" s="1772"/>
      <c r="CB29" s="1775"/>
      <c r="CC29" s="1775"/>
      <c r="CD29" s="1775"/>
      <c r="CE29" s="1775"/>
      <c r="CF29" s="1775"/>
      <c r="CG29" s="1775"/>
      <c r="CH29" s="1729"/>
      <c r="CI29" s="1772"/>
      <c r="CJ29" s="1729"/>
      <c r="CK29" s="1776"/>
      <c r="CL29" s="1776"/>
      <c r="CM29" s="1776"/>
      <c r="CN29" s="1776"/>
      <c r="CO29" s="1776"/>
      <c r="CP29" s="1776"/>
      <c r="CQ29" s="1776"/>
      <c r="CR29" s="1776"/>
      <c r="CS29" s="1776"/>
      <c r="CT29" s="1776"/>
      <c r="CU29" s="1776"/>
      <c r="CV29" s="1772"/>
      <c r="CW29" s="1729"/>
      <c r="CX29" s="1777"/>
      <c r="CY29" s="1778"/>
      <c r="CZ29" s="1778"/>
      <c r="DA29" s="1778"/>
      <c r="DB29" s="1779"/>
      <c r="DC29" s="1772"/>
      <c r="DD29" s="1729"/>
      <c r="DJ29" s="1518"/>
      <c r="DK29" s="1504"/>
      <c r="DL29" s="1655"/>
      <c r="DM29" s="1676"/>
      <c r="DN29" s="1504"/>
      <c r="DO29" s="1657"/>
      <c r="EE29" s="343"/>
      <c r="EF29" s="343"/>
      <c r="EG29" s="343"/>
      <c r="EH29" s="343"/>
      <c r="EI29" s="343"/>
      <c r="EJ29" s="343"/>
      <c r="EK29" s="343"/>
    </row>
    <row r="30" spans="1:141" ht="24" customHeight="1">
      <c r="A30" s="2869" t="s">
        <v>729</v>
      </c>
      <c r="B30" s="2870"/>
      <c r="C30" s="2428">
        <f>IF(C14&gt;0,4500*C22*C24/12,0)</f>
        <v>0</v>
      </c>
      <c r="D30" s="2429">
        <f>IF(D14&gt;0,4500*D22*D24/12,0)</f>
        <v>0</v>
      </c>
      <c r="E30" s="2390"/>
      <c r="F30" s="2455"/>
      <c r="G30" s="1780"/>
      <c r="H30" s="1780"/>
      <c r="I30" s="1780"/>
      <c r="J30" s="1780"/>
      <c r="K30" s="1780"/>
      <c r="L30" s="1780"/>
      <c r="M30" s="1780"/>
      <c r="N30" s="1780"/>
      <c r="O30" s="1780"/>
      <c r="P30" s="1780"/>
      <c r="Q30" s="1780"/>
      <c r="R30" s="1780"/>
      <c r="S30" s="1780"/>
      <c r="T30" s="1780"/>
      <c r="U30" s="1773"/>
      <c r="V30" s="1728"/>
      <c r="W30" s="1729"/>
      <c r="X30" s="2475">
        <f>IF(X14&gt;0,4500*X22*X24/12,0)</f>
        <v>0</v>
      </c>
      <c r="Y30" s="2476">
        <f>IF(Y14&gt;0,4500*Y22*Y24/12,0)</f>
        <v>0</v>
      </c>
      <c r="Z30" s="1781">
        <f>IF(Z14&gt;0,4500*Z22*Z24/12,0)</f>
        <v>0</v>
      </c>
      <c r="AA30" s="1772"/>
      <c r="AB30" s="1775"/>
      <c r="AC30" s="1775"/>
      <c r="AD30" s="1775"/>
      <c r="AE30" s="1775"/>
      <c r="AF30" s="1775"/>
      <c r="AG30" s="1775"/>
      <c r="AH30" s="1775"/>
      <c r="AI30" s="1775"/>
      <c r="AJ30" s="1775"/>
      <c r="AK30" s="1775"/>
      <c r="AL30" s="1775"/>
      <c r="AM30" s="1775"/>
      <c r="AN30" s="1775"/>
      <c r="AO30" s="1775"/>
      <c r="AP30" s="1775"/>
      <c r="AQ30" s="1776"/>
      <c r="AR30" s="2512"/>
      <c r="AS30" s="2513"/>
      <c r="AT30" s="2513"/>
      <c r="AU30" s="2514"/>
      <c r="AV30" s="2515"/>
      <c r="AW30" s="2513"/>
      <c r="AX30" s="2513"/>
      <c r="AY30" s="2514"/>
      <c r="AZ30" s="1728"/>
      <c r="BA30" s="1729"/>
      <c r="BB30" s="2512"/>
      <c r="BC30" s="2515"/>
      <c r="BD30" s="1775"/>
      <c r="BE30" s="1775"/>
      <c r="BF30" s="1775"/>
      <c r="BG30" s="1775"/>
      <c r="BH30" s="1775"/>
      <c r="BI30" s="1775"/>
      <c r="BJ30" s="1775"/>
      <c r="BK30" s="1775"/>
      <c r="BL30" s="1729"/>
      <c r="BM30" s="1772"/>
      <c r="BN30" s="1729"/>
      <c r="BO30" s="1772"/>
      <c r="BP30" s="1775"/>
      <c r="BQ30" s="1775"/>
      <c r="BR30" s="1775"/>
      <c r="BS30" s="1775"/>
      <c r="BT30" s="1775"/>
      <c r="BU30" s="1775"/>
      <c r="BV30" s="1775"/>
      <c r="BW30" s="1775"/>
      <c r="BX30" s="1729"/>
      <c r="BY30" s="1772"/>
      <c r="BZ30" s="1729"/>
      <c r="CA30" s="1772"/>
      <c r="CB30" s="1775"/>
      <c r="CC30" s="1775"/>
      <c r="CD30" s="1775"/>
      <c r="CE30" s="1775"/>
      <c r="CF30" s="1775"/>
      <c r="CG30" s="1775"/>
      <c r="CH30" s="1729"/>
      <c r="CI30" s="1772"/>
      <c r="CJ30" s="1729"/>
      <c r="CK30" s="1772"/>
      <c r="CL30" s="1775"/>
      <c r="CM30" s="1775"/>
      <c r="CN30" s="1775"/>
      <c r="CO30" s="1775"/>
      <c r="CP30" s="1775"/>
      <c r="CQ30" s="1775"/>
      <c r="CR30" s="1775"/>
      <c r="CS30" s="1775"/>
      <c r="CT30" s="1775"/>
      <c r="CU30" s="1776"/>
      <c r="CV30" s="1772"/>
      <c r="CW30" s="1729"/>
      <c r="CX30" s="1772"/>
      <c r="CY30" s="1775"/>
      <c r="CZ30" s="1775"/>
      <c r="DA30" s="1775"/>
      <c r="DB30" s="1729"/>
      <c r="DC30" s="1772"/>
      <c r="DD30" s="1729"/>
      <c r="DJ30" s="1518" t="s">
        <v>565</v>
      </c>
      <c r="DK30" s="1504"/>
      <c r="DL30" s="1655">
        <f>SUM(V98:W98)+SUM(V81:W81)</f>
        <v>0</v>
      </c>
      <c r="DM30" s="1676" t="s">
        <v>565</v>
      </c>
      <c r="DN30" s="1504"/>
      <c r="DO30" s="1657">
        <f>SUM(AZ98:BA98)+SUM(AZ81:BA81)</f>
        <v>0</v>
      </c>
    </row>
    <row r="31" spans="1:141" ht="24" customHeight="1">
      <c r="A31" s="2848" t="s">
        <v>730</v>
      </c>
      <c r="B31" s="2849"/>
      <c r="C31" s="2430"/>
      <c r="D31" s="2431"/>
      <c r="E31" s="2391"/>
      <c r="F31" s="2456"/>
      <c r="G31" s="1785"/>
      <c r="H31" s="1785"/>
      <c r="I31" s="1785"/>
      <c r="J31" s="1785"/>
      <c r="K31" s="1785"/>
      <c r="L31" s="1785"/>
      <c r="M31" s="1785"/>
      <c r="N31" s="1785"/>
      <c r="O31" s="1785"/>
      <c r="P31" s="1785"/>
      <c r="Q31" s="1785"/>
      <c r="R31" s="1785"/>
      <c r="S31" s="1785"/>
      <c r="T31" s="1785"/>
      <c r="U31" s="1783"/>
      <c r="V31" s="1731"/>
      <c r="W31" s="1732"/>
      <c r="X31" s="2477"/>
      <c r="Y31" s="2456"/>
      <c r="Z31" s="1786"/>
      <c r="AA31" s="1784"/>
      <c r="AB31" s="1785"/>
      <c r="AC31" s="1785"/>
      <c r="AD31" s="1785"/>
      <c r="AE31" s="1785"/>
      <c r="AF31" s="1785"/>
      <c r="AG31" s="1785"/>
      <c r="AH31" s="1785"/>
      <c r="AI31" s="1785"/>
      <c r="AJ31" s="1785"/>
      <c r="AK31" s="1785"/>
      <c r="AL31" s="1785"/>
      <c r="AM31" s="1785"/>
      <c r="AN31" s="1785"/>
      <c r="AO31" s="1785"/>
      <c r="AP31" s="1785"/>
      <c r="AQ31" s="1786"/>
      <c r="AR31" s="2477"/>
      <c r="AS31" s="2456"/>
      <c r="AT31" s="2456"/>
      <c r="AU31" s="2516"/>
      <c r="AV31" s="2391"/>
      <c r="AW31" s="2456"/>
      <c r="AX31" s="2456"/>
      <c r="AY31" s="2516"/>
      <c r="AZ31" s="1731"/>
      <c r="BA31" s="1732"/>
      <c r="BB31" s="2477"/>
      <c r="BC31" s="2391"/>
      <c r="BD31" s="1785"/>
      <c r="BE31" s="1785"/>
      <c r="BF31" s="1785"/>
      <c r="BG31" s="1785"/>
      <c r="BH31" s="1785"/>
      <c r="BI31" s="1785"/>
      <c r="BJ31" s="1785"/>
      <c r="BK31" s="1785"/>
      <c r="BL31" s="1783"/>
      <c r="BM31" s="1733"/>
      <c r="BN31" s="1732"/>
      <c r="BO31" s="1784"/>
      <c r="BP31" s="1785"/>
      <c r="BQ31" s="1785"/>
      <c r="BR31" s="1785"/>
      <c r="BS31" s="1785"/>
      <c r="BT31" s="1785"/>
      <c r="BU31" s="1785"/>
      <c r="BV31" s="1785"/>
      <c r="BW31" s="1785"/>
      <c r="BX31" s="1783"/>
      <c r="BY31" s="1733"/>
      <c r="BZ31" s="1732"/>
      <c r="CA31" s="1784"/>
      <c r="CB31" s="1785"/>
      <c r="CC31" s="1785"/>
      <c r="CD31" s="1785"/>
      <c r="CE31" s="1785"/>
      <c r="CF31" s="1785"/>
      <c r="CG31" s="1785"/>
      <c r="CH31" s="1783"/>
      <c r="CI31" s="1733"/>
      <c r="CJ31" s="1732"/>
      <c r="CK31" s="1784"/>
      <c r="CL31" s="1785"/>
      <c r="CM31" s="1785"/>
      <c r="CN31" s="1785"/>
      <c r="CO31" s="1785"/>
      <c r="CP31" s="1785"/>
      <c r="CQ31" s="1785"/>
      <c r="CR31" s="1785"/>
      <c r="CS31" s="1785"/>
      <c r="CT31" s="1785"/>
      <c r="CU31" s="1786"/>
      <c r="CV31" s="1733"/>
      <c r="CW31" s="1732"/>
      <c r="CX31" s="1784"/>
      <c r="CY31" s="1785"/>
      <c r="CZ31" s="1785"/>
      <c r="DA31" s="1785"/>
      <c r="DB31" s="1783"/>
      <c r="DC31" s="1733"/>
      <c r="DD31" s="1732"/>
      <c r="DE31" s="63" t="s">
        <v>731</v>
      </c>
      <c r="DJ31" s="1787" t="s">
        <v>566</v>
      </c>
      <c r="DK31" s="1504"/>
      <c r="DL31" s="1788">
        <f>W84</f>
        <v>0</v>
      </c>
      <c r="DM31" s="1789" t="s">
        <v>566</v>
      </c>
      <c r="DN31" s="1504"/>
      <c r="DO31" s="1790">
        <f>BA84</f>
        <v>0</v>
      </c>
    </row>
    <row r="32" spans="1:141" ht="24" customHeight="1">
      <c r="A32" s="2848" t="s">
        <v>732</v>
      </c>
      <c r="B32" s="2849"/>
      <c r="C32" s="2430"/>
      <c r="D32" s="2431"/>
      <c r="E32" s="2391"/>
      <c r="F32" s="2456"/>
      <c r="G32" s="1785"/>
      <c r="H32" s="1785"/>
      <c r="I32" s="1785"/>
      <c r="J32" s="1785"/>
      <c r="K32" s="1785"/>
      <c r="L32" s="1785"/>
      <c r="M32" s="1785"/>
      <c r="N32" s="1785"/>
      <c r="O32" s="1785"/>
      <c r="P32" s="1785"/>
      <c r="Q32" s="1785"/>
      <c r="R32" s="1785"/>
      <c r="S32" s="1785"/>
      <c r="T32" s="1785"/>
      <c r="U32" s="1783"/>
      <c r="V32" s="1731"/>
      <c r="W32" s="1732"/>
      <c r="X32" s="2477"/>
      <c r="Y32" s="2456"/>
      <c r="Z32" s="1786"/>
      <c r="AA32" s="1784"/>
      <c r="AB32" s="1785"/>
      <c r="AC32" s="1785"/>
      <c r="AD32" s="1785"/>
      <c r="AE32" s="1785"/>
      <c r="AF32" s="1791"/>
      <c r="AG32" s="1791"/>
      <c r="AH32" s="1791"/>
      <c r="AI32" s="1785"/>
      <c r="AJ32" s="1785"/>
      <c r="AK32" s="1785"/>
      <c r="AL32" s="1785"/>
      <c r="AM32" s="1785"/>
      <c r="AN32" s="1785"/>
      <c r="AO32" s="1785"/>
      <c r="AP32" s="1785"/>
      <c r="AQ32" s="1786"/>
      <c r="AR32" s="2477"/>
      <c r="AS32" s="2456"/>
      <c r="AT32" s="2456"/>
      <c r="AU32" s="2516"/>
      <c r="AV32" s="2391"/>
      <c r="AW32" s="2456"/>
      <c r="AX32" s="2456"/>
      <c r="AY32" s="2516"/>
      <c r="AZ32" s="1731"/>
      <c r="BA32" s="1732"/>
      <c r="BB32" s="2477"/>
      <c r="BC32" s="2391"/>
      <c r="BD32" s="1785"/>
      <c r="BE32" s="1785"/>
      <c r="BF32" s="1785"/>
      <c r="BG32" s="1785"/>
      <c r="BH32" s="1785"/>
      <c r="BI32" s="1785"/>
      <c r="BJ32" s="1785"/>
      <c r="BK32" s="1785"/>
      <c r="BL32" s="1783"/>
      <c r="BM32" s="1733"/>
      <c r="BN32" s="1732"/>
      <c r="BO32" s="1784"/>
      <c r="BP32" s="1785"/>
      <c r="BQ32" s="1785"/>
      <c r="BR32" s="1785"/>
      <c r="BS32" s="1785"/>
      <c r="BT32" s="1785"/>
      <c r="BU32" s="1785"/>
      <c r="BV32" s="1785"/>
      <c r="BW32" s="1785"/>
      <c r="BX32" s="1783"/>
      <c r="BY32" s="1733"/>
      <c r="BZ32" s="1732"/>
      <c r="CA32" s="1784"/>
      <c r="CB32" s="1785"/>
      <c r="CC32" s="1785"/>
      <c r="CD32" s="1785"/>
      <c r="CE32" s="1785"/>
      <c r="CF32" s="1785"/>
      <c r="CG32" s="1785"/>
      <c r="CH32" s="1783"/>
      <c r="CI32" s="1733"/>
      <c r="CJ32" s="1732"/>
      <c r="CK32" s="1784"/>
      <c r="CL32" s="1785"/>
      <c r="CM32" s="1785"/>
      <c r="CN32" s="1785"/>
      <c r="CO32" s="1785"/>
      <c r="CP32" s="1785"/>
      <c r="CQ32" s="1785"/>
      <c r="CR32" s="1785"/>
      <c r="CS32" s="1785"/>
      <c r="CT32" s="1785"/>
      <c r="CU32" s="1786"/>
      <c r="CV32" s="1733"/>
      <c r="CW32" s="1732"/>
      <c r="CX32" s="1784"/>
      <c r="CY32" s="1785"/>
      <c r="CZ32" s="1785"/>
      <c r="DA32" s="1785"/>
      <c r="DB32" s="1783"/>
      <c r="DC32" s="1733"/>
      <c r="DD32" s="1732"/>
      <c r="DE32" s="63" t="s">
        <v>731</v>
      </c>
      <c r="DJ32" s="1518" t="s">
        <v>733</v>
      </c>
      <c r="DK32" s="1792"/>
      <c r="DL32" s="1655">
        <f>SUM(DL8:DL31)</f>
        <v>0</v>
      </c>
      <c r="DM32" s="1676" t="s">
        <v>734</v>
      </c>
      <c r="DN32" s="1676"/>
      <c r="DO32" s="1657">
        <f>SUM(DO8:DO31)</f>
        <v>0</v>
      </c>
    </row>
    <row r="33" spans="1:119" ht="24" customHeight="1">
      <c r="A33" s="2848" t="s">
        <v>735</v>
      </c>
      <c r="B33" s="2849"/>
      <c r="C33" s="2430"/>
      <c r="D33" s="2431"/>
      <c r="E33" s="2391"/>
      <c r="F33" s="2456"/>
      <c r="G33" s="1785"/>
      <c r="H33" s="1785"/>
      <c r="I33" s="1785"/>
      <c r="J33" s="1785"/>
      <c r="K33" s="1785"/>
      <c r="L33" s="1785"/>
      <c r="M33" s="1785"/>
      <c r="N33" s="1785"/>
      <c r="O33" s="1785"/>
      <c r="P33" s="1785"/>
      <c r="Q33" s="1785"/>
      <c r="R33" s="1785"/>
      <c r="S33" s="1785"/>
      <c r="T33" s="1785"/>
      <c r="U33" s="1783"/>
      <c r="V33" s="1731"/>
      <c r="W33" s="1732"/>
      <c r="X33" s="2477"/>
      <c r="Y33" s="2456"/>
      <c r="Z33" s="1786"/>
      <c r="AA33" s="1784"/>
      <c r="AB33" s="1785"/>
      <c r="AC33" s="1785"/>
      <c r="AD33" s="1785"/>
      <c r="AE33" s="1785"/>
      <c r="AF33" s="1785"/>
      <c r="AG33" s="1785"/>
      <c r="AH33" s="1785"/>
      <c r="AI33" s="1785"/>
      <c r="AJ33" s="1785"/>
      <c r="AK33" s="1785"/>
      <c r="AL33" s="1785"/>
      <c r="AM33" s="1785"/>
      <c r="AN33" s="1785"/>
      <c r="AO33" s="1785"/>
      <c r="AP33" s="1785"/>
      <c r="AQ33" s="1786"/>
      <c r="AR33" s="2477"/>
      <c r="AS33" s="2456"/>
      <c r="AT33" s="2456"/>
      <c r="AU33" s="2516"/>
      <c r="AV33" s="2391"/>
      <c r="AW33" s="2456"/>
      <c r="AX33" s="2456"/>
      <c r="AY33" s="2516"/>
      <c r="AZ33" s="1731"/>
      <c r="BA33" s="1732"/>
      <c r="BB33" s="2477"/>
      <c r="BC33" s="2391"/>
      <c r="BD33" s="1785"/>
      <c r="BE33" s="1785"/>
      <c r="BF33" s="1785"/>
      <c r="BG33" s="1785"/>
      <c r="BH33" s="1785"/>
      <c r="BI33" s="1785"/>
      <c r="BJ33" s="1785"/>
      <c r="BK33" s="1785"/>
      <c r="BL33" s="1783"/>
      <c r="BM33" s="1733"/>
      <c r="BN33" s="1732"/>
      <c r="BO33" s="1784"/>
      <c r="BP33" s="1785"/>
      <c r="BQ33" s="1785"/>
      <c r="BR33" s="1785"/>
      <c r="BS33" s="1785"/>
      <c r="BT33" s="1785"/>
      <c r="BU33" s="1785"/>
      <c r="BV33" s="1785"/>
      <c r="BW33" s="1785"/>
      <c r="BX33" s="1783"/>
      <c r="BY33" s="1733"/>
      <c r="BZ33" s="1732"/>
      <c r="CA33" s="1784"/>
      <c r="CB33" s="1785"/>
      <c r="CC33" s="1785"/>
      <c r="CD33" s="1785"/>
      <c r="CE33" s="1785"/>
      <c r="CF33" s="1785"/>
      <c r="CG33" s="1785"/>
      <c r="CH33" s="1783"/>
      <c r="CI33" s="1733"/>
      <c r="CJ33" s="1732"/>
      <c r="CK33" s="1784"/>
      <c r="CL33" s="1785"/>
      <c r="CM33" s="1785"/>
      <c r="CN33" s="1785"/>
      <c r="CO33" s="1785"/>
      <c r="CP33" s="1785"/>
      <c r="CQ33" s="1785"/>
      <c r="CR33" s="1785"/>
      <c r="CS33" s="1785"/>
      <c r="CT33" s="1785"/>
      <c r="CU33" s="1786"/>
      <c r="CV33" s="1733"/>
      <c r="CW33" s="1732"/>
      <c r="CX33" s="1784"/>
      <c r="CY33" s="1785"/>
      <c r="CZ33" s="1785"/>
      <c r="DA33" s="1785"/>
      <c r="DB33" s="1783"/>
      <c r="DC33" s="1733"/>
      <c r="DD33" s="1732"/>
      <c r="DE33" s="63" t="s">
        <v>731</v>
      </c>
      <c r="DJ33" s="1518" t="s">
        <v>570</v>
      </c>
      <c r="DK33" s="1518"/>
      <c r="DL33" s="1655">
        <f>W56+W84-DL32+SUM(V81:W81)</f>
        <v>0</v>
      </c>
      <c r="DM33" s="1676" t="s">
        <v>570</v>
      </c>
      <c r="DN33" s="1676"/>
      <c r="DO33" s="1657">
        <f>BA56+BA84-DO32+SUM(AZ81:BA81)</f>
        <v>0</v>
      </c>
    </row>
    <row r="34" spans="1:119" ht="24" customHeight="1">
      <c r="A34" s="2848" t="s">
        <v>736</v>
      </c>
      <c r="B34" s="2849"/>
      <c r="C34" s="2430"/>
      <c r="D34" s="2431"/>
      <c r="E34" s="2391"/>
      <c r="F34" s="2456"/>
      <c r="G34" s="1785"/>
      <c r="H34" s="1785"/>
      <c r="I34" s="1785"/>
      <c r="J34" s="1785"/>
      <c r="K34" s="1785"/>
      <c r="L34" s="1785"/>
      <c r="M34" s="1785"/>
      <c r="N34" s="1785"/>
      <c r="O34" s="1785"/>
      <c r="P34" s="1785"/>
      <c r="Q34" s="1785"/>
      <c r="R34" s="1785"/>
      <c r="S34" s="1785"/>
      <c r="T34" s="1785"/>
      <c r="U34" s="1783"/>
      <c r="V34" s="1731"/>
      <c r="W34" s="1732"/>
      <c r="X34" s="2477"/>
      <c r="Y34" s="2456"/>
      <c r="Z34" s="1786"/>
      <c r="AA34" s="1784"/>
      <c r="AB34" s="1785"/>
      <c r="AC34" s="1785"/>
      <c r="AD34" s="1785"/>
      <c r="AE34" s="1785"/>
      <c r="AF34" s="1785"/>
      <c r="AG34" s="1785"/>
      <c r="AH34" s="1785"/>
      <c r="AI34" s="1785"/>
      <c r="AJ34" s="1785"/>
      <c r="AK34" s="1785"/>
      <c r="AL34" s="1785"/>
      <c r="AM34" s="1785"/>
      <c r="AN34" s="1785"/>
      <c r="AO34" s="1785"/>
      <c r="AP34" s="1785"/>
      <c r="AQ34" s="1786"/>
      <c r="AR34" s="2477"/>
      <c r="AS34" s="2456"/>
      <c r="AT34" s="2456"/>
      <c r="AU34" s="2516"/>
      <c r="AV34" s="2391"/>
      <c r="AW34" s="2456"/>
      <c r="AX34" s="2456"/>
      <c r="AY34" s="2516"/>
      <c r="AZ34" s="1731"/>
      <c r="BA34" s="1732"/>
      <c r="BB34" s="2477"/>
      <c r="BC34" s="2391"/>
      <c r="BD34" s="1785"/>
      <c r="BE34" s="1785"/>
      <c r="BF34" s="1785"/>
      <c r="BG34" s="1785"/>
      <c r="BH34" s="1785"/>
      <c r="BI34" s="1785"/>
      <c r="BJ34" s="1785"/>
      <c r="BK34" s="1785"/>
      <c r="BL34" s="1783"/>
      <c r="BM34" s="1733"/>
      <c r="BN34" s="1732"/>
      <c r="BO34" s="1784"/>
      <c r="BP34" s="1785"/>
      <c r="BQ34" s="1785"/>
      <c r="BR34" s="1785"/>
      <c r="BS34" s="1785"/>
      <c r="BT34" s="1785"/>
      <c r="BU34" s="1785"/>
      <c r="BV34" s="1785"/>
      <c r="BW34" s="1785"/>
      <c r="BX34" s="1783"/>
      <c r="BY34" s="1733"/>
      <c r="BZ34" s="1732"/>
      <c r="CA34" s="1784"/>
      <c r="CB34" s="1785"/>
      <c r="CC34" s="1785"/>
      <c r="CD34" s="1785"/>
      <c r="CE34" s="1785"/>
      <c r="CF34" s="1785"/>
      <c r="CG34" s="1785"/>
      <c r="CH34" s="1783"/>
      <c r="CI34" s="1733"/>
      <c r="CJ34" s="1732"/>
      <c r="CK34" s="1784"/>
      <c r="CL34" s="1785"/>
      <c r="CM34" s="1785"/>
      <c r="CN34" s="1785"/>
      <c r="CO34" s="1785"/>
      <c r="CP34" s="1785"/>
      <c r="CQ34" s="1785"/>
      <c r="CR34" s="1785"/>
      <c r="CS34" s="1785"/>
      <c r="CT34" s="1785"/>
      <c r="CU34" s="1786"/>
      <c r="CV34" s="1733"/>
      <c r="CW34" s="1732"/>
      <c r="CX34" s="1784"/>
      <c r="CY34" s="1785"/>
      <c r="CZ34" s="1785"/>
      <c r="DA34" s="1785"/>
      <c r="DB34" s="1783"/>
      <c r="DC34" s="1733"/>
      <c r="DD34" s="1732"/>
      <c r="DE34" s="63" t="s">
        <v>737</v>
      </c>
    </row>
    <row r="35" spans="1:119" ht="24" customHeight="1">
      <c r="A35" s="2848" t="s">
        <v>738</v>
      </c>
      <c r="B35" s="2849"/>
      <c r="C35" s="2430"/>
      <c r="D35" s="2431"/>
      <c r="E35" s="2391"/>
      <c r="F35" s="2456"/>
      <c r="G35" s="1785"/>
      <c r="H35" s="1785"/>
      <c r="I35" s="1785"/>
      <c r="J35" s="1785"/>
      <c r="K35" s="1785"/>
      <c r="L35" s="1785"/>
      <c r="M35" s="1785"/>
      <c r="N35" s="1785"/>
      <c r="O35" s="1785"/>
      <c r="P35" s="1785"/>
      <c r="Q35" s="1785"/>
      <c r="R35" s="1785"/>
      <c r="S35" s="1785"/>
      <c r="T35" s="1785"/>
      <c r="U35" s="1783"/>
      <c r="V35" s="1731"/>
      <c r="W35" s="1732"/>
      <c r="X35" s="2477"/>
      <c r="Y35" s="2456"/>
      <c r="Z35" s="1786"/>
      <c r="AA35" s="1784"/>
      <c r="AB35" s="1785"/>
      <c r="AC35" s="1785"/>
      <c r="AD35" s="1785"/>
      <c r="AE35" s="1785"/>
      <c r="AF35" s="1785"/>
      <c r="AG35" s="1785"/>
      <c r="AH35" s="1785"/>
      <c r="AI35" s="1785"/>
      <c r="AJ35" s="1785"/>
      <c r="AK35" s="1785"/>
      <c r="AL35" s="1785"/>
      <c r="AM35" s="1785"/>
      <c r="AN35" s="1785"/>
      <c r="AO35" s="1785"/>
      <c r="AP35" s="1785"/>
      <c r="AQ35" s="1786"/>
      <c r="AR35" s="2477"/>
      <c r="AS35" s="2456"/>
      <c r="AT35" s="2456"/>
      <c r="AU35" s="2516"/>
      <c r="AV35" s="2391"/>
      <c r="AW35" s="2456"/>
      <c r="AX35" s="2456"/>
      <c r="AY35" s="2516"/>
      <c r="AZ35" s="1731"/>
      <c r="BA35" s="1732"/>
      <c r="BB35" s="2477"/>
      <c r="BC35" s="2391"/>
      <c r="BD35" s="1785"/>
      <c r="BE35" s="1785"/>
      <c r="BF35" s="1785"/>
      <c r="BG35" s="1785"/>
      <c r="BH35" s="1785"/>
      <c r="BI35" s="1785"/>
      <c r="BJ35" s="1785"/>
      <c r="BK35" s="1785"/>
      <c r="BL35" s="1783"/>
      <c r="BM35" s="1733"/>
      <c r="BN35" s="1732"/>
      <c r="BO35" s="1784"/>
      <c r="BP35" s="1785"/>
      <c r="BQ35" s="1785"/>
      <c r="BR35" s="1785"/>
      <c r="BS35" s="1785"/>
      <c r="BT35" s="1785"/>
      <c r="BU35" s="1785"/>
      <c r="BV35" s="1785"/>
      <c r="BW35" s="1785"/>
      <c r="BX35" s="1783"/>
      <c r="BY35" s="1733"/>
      <c r="BZ35" s="1732"/>
      <c r="CA35" s="1784"/>
      <c r="CB35" s="1785"/>
      <c r="CC35" s="1785"/>
      <c r="CD35" s="1785"/>
      <c r="CE35" s="1785"/>
      <c r="CF35" s="1785"/>
      <c r="CG35" s="1785"/>
      <c r="CH35" s="1783"/>
      <c r="CI35" s="1733"/>
      <c r="CJ35" s="1732"/>
      <c r="CK35" s="1784"/>
      <c r="CL35" s="1785"/>
      <c r="CM35" s="1785"/>
      <c r="CN35" s="1785"/>
      <c r="CO35" s="1785"/>
      <c r="CP35" s="1785"/>
      <c r="CQ35" s="1785"/>
      <c r="CR35" s="1785"/>
      <c r="CS35" s="1785"/>
      <c r="CT35" s="1785"/>
      <c r="CU35" s="1786"/>
      <c r="CV35" s="1733"/>
      <c r="CW35" s="1732"/>
      <c r="CX35" s="1784"/>
      <c r="CY35" s="1785"/>
      <c r="CZ35" s="1785"/>
      <c r="DA35" s="1785"/>
      <c r="DB35" s="1783"/>
      <c r="DC35" s="1733"/>
      <c r="DD35" s="1732"/>
    </row>
    <row r="36" spans="1:119" ht="27" customHeight="1">
      <c r="A36" s="2848" t="s">
        <v>739</v>
      </c>
      <c r="B36" s="2849"/>
      <c r="C36" s="2430"/>
      <c r="D36" s="2431"/>
      <c r="E36" s="2391"/>
      <c r="F36" s="2456"/>
      <c r="G36" s="1785"/>
      <c r="H36" s="1785"/>
      <c r="I36" s="1785"/>
      <c r="J36" s="1785"/>
      <c r="K36" s="1785"/>
      <c r="L36" s="1785"/>
      <c r="M36" s="1785"/>
      <c r="N36" s="1785"/>
      <c r="O36" s="1785"/>
      <c r="P36" s="1785"/>
      <c r="Q36" s="1785"/>
      <c r="R36" s="1785"/>
      <c r="S36" s="1785"/>
      <c r="T36" s="1785"/>
      <c r="U36" s="1783"/>
      <c r="V36" s="1731"/>
      <c r="W36" s="1732"/>
      <c r="X36" s="2477"/>
      <c r="Y36" s="2456"/>
      <c r="Z36" s="1786"/>
      <c r="AA36" s="1784"/>
      <c r="AB36" s="1785"/>
      <c r="AC36" s="1785"/>
      <c r="AD36" s="1785"/>
      <c r="AE36" s="1785"/>
      <c r="AF36" s="1785"/>
      <c r="AG36" s="1785"/>
      <c r="AH36" s="1785"/>
      <c r="AI36" s="1785"/>
      <c r="AJ36" s="1785"/>
      <c r="AK36" s="1785"/>
      <c r="AL36" s="1785"/>
      <c r="AM36" s="1785"/>
      <c r="AN36" s="1785"/>
      <c r="AO36" s="1785"/>
      <c r="AP36" s="1785"/>
      <c r="AQ36" s="1786"/>
      <c r="AR36" s="2477"/>
      <c r="AS36" s="2456"/>
      <c r="AT36" s="2456"/>
      <c r="AU36" s="2516"/>
      <c r="AV36" s="2391"/>
      <c r="AW36" s="2456"/>
      <c r="AX36" s="2456"/>
      <c r="AY36" s="2516"/>
      <c r="AZ36" s="1731"/>
      <c r="BA36" s="1732"/>
      <c r="BB36" s="2477"/>
      <c r="BC36" s="2391"/>
      <c r="BD36" s="1785"/>
      <c r="BE36" s="1785"/>
      <c r="BF36" s="1785"/>
      <c r="BG36" s="1785"/>
      <c r="BH36" s="1785"/>
      <c r="BI36" s="1785"/>
      <c r="BJ36" s="1785"/>
      <c r="BK36" s="1785"/>
      <c r="BL36" s="1783"/>
      <c r="BM36" s="1733"/>
      <c r="BN36" s="1732"/>
      <c r="BO36" s="1784"/>
      <c r="BP36" s="1785"/>
      <c r="BQ36" s="1785"/>
      <c r="BR36" s="1785"/>
      <c r="BS36" s="1785"/>
      <c r="BT36" s="1785"/>
      <c r="BU36" s="1785"/>
      <c r="BV36" s="1785"/>
      <c r="BW36" s="1785"/>
      <c r="BX36" s="1783"/>
      <c r="BY36" s="1733"/>
      <c r="BZ36" s="1732"/>
      <c r="CA36" s="1784"/>
      <c r="CB36" s="1785"/>
      <c r="CC36" s="1785"/>
      <c r="CD36" s="1785"/>
      <c r="CE36" s="1785"/>
      <c r="CF36" s="1785"/>
      <c r="CG36" s="1785"/>
      <c r="CH36" s="1783"/>
      <c r="CI36" s="1733"/>
      <c r="CJ36" s="1732"/>
      <c r="CK36" s="1784"/>
      <c r="CL36" s="1785"/>
      <c r="CM36" s="1785"/>
      <c r="CN36" s="1785"/>
      <c r="CO36" s="1785"/>
      <c r="CP36" s="1785"/>
      <c r="CQ36" s="1785"/>
      <c r="CR36" s="1785"/>
      <c r="CS36" s="1785"/>
      <c r="CT36" s="1785"/>
      <c r="CU36" s="1786"/>
      <c r="CV36" s="1733"/>
      <c r="CW36" s="1732"/>
      <c r="CX36" s="1784"/>
      <c r="CY36" s="1785"/>
      <c r="CZ36" s="1785"/>
      <c r="DA36" s="1785"/>
      <c r="DB36" s="1783"/>
      <c r="DC36" s="1733"/>
      <c r="DD36" s="1732"/>
      <c r="DE36" s="63" t="s">
        <v>737</v>
      </c>
    </row>
    <row r="37" spans="1:119" ht="27" customHeight="1">
      <c r="A37" s="2848" t="s">
        <v>739</v>
      </c>
      <c r="B37" s="2849"/>
      <c r="C37" s="2430"/>
      <c r="D37" s="2431"/>
      <c r="E37" s="2391"/>
      <c r="F37" s="2456"/>
      <c r="G37" s="1785"/>
      <c r="H37" s="1785"/>
      <c r="I37" s="1785"/>
      <c r="J37" s="1785"/>
      <c r="K37" s="1785"/>
      <c r="L37" s="1785"/>
      <c r="M37" s="1785"/>
      <c r="N37" s="1785"/>
      <c r="O37" s="1785"/>
      <c r="P37" s="1785"/>
      <c r="Q37" s="1785"/>
      <c r="R37" s="1785"/>
      <c r="S37" s="1785"/>
      <c r="T37" s="1785"/>
      <c r="U37" s="1783"/>
      <c r="V37" s="1731"/>
      <c r="W37" s="1732"/>
      <c r="X37" s="2477"/>
      <c r="Y37" s="2456"/>
      <c r="Z37" s="1786"/>
      <c r="AA37" s="1784"/>
      <c r="AB37" s="1785"/>
      <c r="AC37" s="1785"/>
      <c r="AD37" s="1785"/>
      <c r="AE37" s="1785"/>
      <c r="AF37" s="1785"/>
      <c r="AG37" s="1785"/>
      <c r="AH37" s="1785"/>
      <c r="AI37" s="1785"/>
      <c r="AJ37" s="1785"/>
      <c r="AK37" s="1785"/>
      <c r="AL37" s="1785"/>
      <c r="AM37" s="1785"/>
      <c r="AN37" s="1785"/>
      <c r="AO37" s="1785"/>
      <c r="AP37" s="1785"/>
      <c r="AQ37" s="1786"/>
      <c r="AR37" s="2477"/>
      <c r="AS37" s="2456"/>
      <c r="AT37" s="2456"/>
      <c r="AU37" s="2516"/>
      <c r="AV37" s="2391"/>
      <c r="AW37" s="2456"/>
      <c r="AX37" s="2456"/>
      <c r="AY37" s="2516"/>
      <c r="AZ37" s="1731"/>
      <c r="BA37" s="1732"/>
      <c r="BB37" s="2477"/>
      <c r="BC37" s="2391"/>
      <c r="BD37" s="1785"/>
      <c r="BE37" s="1785"/>
      <c r="BF37" s="1785"/>
      <c r="BG37" s="1785"/>
      <c r="BH37" s="1785"/>
      <c r="BI37" s="1785"/>
      <c r="BJ37" s="1785"/>
      <c r="BK37" s="1785"/>
      <c r="BL37" s="1783"/>
      <c r="BM37" s="1733"/>
      <c r="BN37" s="1732"/>
      <c r="BO37" s="1784"/>
      <c r="BP37" s="1785"/>
      <c r="BQ37" s="1785"/>
      <c r="BR37" s="1785"/>
      <c r="BS37" s="1785"/>
      <c r="BT37" s="1785"/>
      <c r="BU37" s="1785"/>
      <c r="BV37" s="1785"/>
      <c r="BW37" s="1785"/>
      <c r="BX37" s="1783"/>
      <c r="BY37" s="1733"/>
      <c r="BZ37" s="1732"/>
      <c r="CA37" s="1784"/>
      <c r="CB37" s="1785"/>
      <c r="CC37" s="1785"/>
      <c r="CD37" s="1785"/>
      <c r="CE37" s="1785"/>
      <c r="CF37" s="1785"/>
      <c r="CG37" s="1785"/>
      <c r="CH37" s="1783"/>
      <c r="CI37" s="1733"/>
      <c r="CJ37" s="1732"/>
      <c r="CK37" s="1784"/>
      <c r="CL37" s="1785"/>
      <c r="CM37" s="1785"/>
      <c r="CN37" s="1785"/>
      <c r="CO37" s="1785"/>
      <c r="CP37" s="1785"/>
      <c r="CQ37" s="1785"/>
      <c r="CR37" s="1785"/>
      <c r="CS37" s="1785"/>
      <c r="CT37" s="1785"/>
      <c r="CU37" s="1786"/>
      <c r="CV37" s="1733"/>
      <c r="CW37" s="1732"/>
      <c r="CX37" s="1784"/>
      <c r="CY37" s="1785"/>
      <c r="CZ37" s="1785"/>
      <c r="DA37" s="1785"/>
      <c r="DB37" s="1783"/>
      <c r="DC37" s="1733"/>
      <c r="DD37" s="1732"/>
      <c r="DE37" s="63" t="s">
        <v>737</v>
      </c>
    </row>
    <row r="38" spans="1:119" ht="24" customHeight="1">
      <c r="A38" s="2848" t="s">
        <v>740</v>
      </c>
      <c r="B38" s="2849"/>
      <c r="C38" s="2423">
        <f t="shared" ref="C38:D38" si="53">SUM(C31:C34)/12*C22+(((C37+C36+C35)*C22*C24)/12)+C30+C28+C29</f>
        <v>0</v>
      </c>
      <c r="D38" s="2427">
        <f t="shared" si="53"/>
        <v>0</v>
      </c>
      <c r="E38" s="2389">
        <f>SUM(E31:E34)/12*E22+(((E37+E36+E35)*E22*E24)/12)+E30+E28+E29</f>
        <v>0</v>
      </c>
      <c r="F38" s="2454">
        <f>SUM(F31:F34)/12*F22+(((F37+F36+F35)*F22*F24)/12)+F30+F28+F29</f>
        <v>0</v>
      </c>
      <c r="G38" s="1770">
        <f t="shared" ref="G38" si="54">SUM(G31:G34)/12*G22+(((G37+G36+G35)*G22*G24)/12)+G30+G28+G29</f>
        <v>0</v>
      </c>
      <c r="H38" s="1770">
        <f t="shared" ref="H38:J38" si="55">SUM(H31:H34)/12*H22+(((H37+H36+H35)*H22*H24)/12)+H30+H28+H29</f>
        <v>0</v>
      </c>
      <c r="I38" s="1770">
        <f t="shared" ref="I38" si="56">SUM(I31:I34)/12*I22+(((I37+I36+I35)*I22*I24)/12)+I30+I28+I29</f>
        <v>0</v>
      </c>
      <c r="J38" s="1770">
        <f t="shared" si="55"/>
        <v>0</v>
      </c>
      <c r="K38" s="1770">
        <f t="shared" ref="K38" si="57">SUM(K31:K34)/12*K22+(((K37+K36+K35)*K22*K24)/12)+K30+K28+K29</f>
        <v>0</v>
      </c>
      <c r="L38" s="1770">
        <f t="shared" ref="L38:M38" si="58">SUM(L31:L34)/12*L22+(((L37+L36+L35)*L22*L24)/12)+L30+L28+L29</f>
        <v>0</v>
      </c>
      <c r="M38" s="1770">
        <f t="shared" si="58"/>
        <v>0</v>
      </c>
      <c r="N38" s="1770">
        <f t="shared" ref="N38" si="59">SUM(N31:N34)/12*N22+(((N37+N36+N35)*N22*N24)/12)+N30+N28+N29</f>
        <v>0</v>
      </c>
      <c r="O38" s="1770">
        <f t="shared" ref="O38:P38" si="60">SUM(O31:O34)/12*O22+(((O37+O36+O35)*O22*O24)/12)+O30+O28+O29</f>
        <v>0</v>
      </c>
      <c r="P38" s="1770">
        <f t="shared" si="60"/>
        <v>0</v>
      </c>
      <c r="Q38" s="1770">
        <f t="shared" ref="Q38" si="61">SUM(Q31:Q34)/12*Q22+(((Q37+Q36+Q35)*Q22*Q24)/12)+Q30+Q28+Q29</f>
        <v>0</v>
      </c>
      <c r="R38" s="1770">
        <f t="shared" ref="R38:S38" si="62">SUM(R31:R34)/12*R22+(((R37+R36+R35)*R22*R24)/12)+R30+R28+R29</f>
        <v>0</v>
      </c>
      <c r="S38" s="1770">
        <f t="shared" si="62"/>
        <v>0</v>
      </c>
      <c r="T38" s="1770">
        <f t="shared" ref="T38" si="63">SUM(T31:T34)/12*T22+(((T37+T36+T35)*T22*T24)/12)+T30+T28+T29</f>
        <v>0</v>
      </c>
      <c r="U38" s="1768">
        <f t="shared" ref="U38" si="64">SUM(U31:U34)/12*U22+(((U37+U36+U35)*U22*U24)/12)+U30+U28+U29</f>
        <v>0</v>
      </c>
      <c r="V38" s="1731"/>
      <c r="W38" s="1732"/>
      <c r="X38" s="2340">
        <f t="shared" ref="X38:Y38" si="65">SUM(X31:X34)/12*X22+(((X37+X36+X35)*X22*X24)/12)+X30+X28+X29</f>
        <v>0</v>
      </c>
      <c r="Y38" s="2454">
        <f t="shared" si="65"/>
        <v>0</v>
      </c>
      <c r="Z38" s="1771">
        <f t="shared" ref="Z38" si="66">SUM(Z31:Z34)/12*Z22+(((Z37+Z36+Z35)*Z22*Z24)/12)+Z30+Z28+Z29</f>
        <v>0</v>
      </c>
      <c r="AA38" s="1769">
        <f t="shared" ref="AA38" si="67">SUM(AA31:AA34)/12*AA22+(((AA37+AA36+AA35)*AA22*AA24)/12)+AA30+AA28+AA29</f>
        <v>0</v>
      </c>
      <c r="AB38" s="1770">
        <f t="shared" ref="AB38" si="68">SUM(AB31:AB34)/12*AB22+(((AB37+AB36+AB35)*AB22*AB24)/12)+AB30+AB28+AB29</f>
        <v>0</v>
      </c>
      <c r="AC38" s="1770">
        <f t="shared" ref="AC38" si="69">SUM(AC31:AC34)/12*AC22+(((AC37+AC36+AC35)*AC22*AC24)/12)+AC30+AC28+AC29</f>
        <v>0</v>
      </c>
      <c r="AD38" s="1770">
        <f t="shared" ref="AD38:AE38" si="70">SUM(AD31:AD34)/12*AD22+(((AD37+AD36+AD35)*AD22*AD24)/12)+AD30+AD28+AD29</f>
        <v>0</v>
      </c>
      <c r="AE38" s="1770">
        <f t="shared" si="70"/>
        <v>0</v>
      </c>
      <c r="AF38" s="1770">
        <f t="shared" ref="AF38" si="71">SUM(AF31:AF34)/12*AF22+(((AF37+AF36+AF35)*AF22*AF24)/12)+AF30+AF28+AF29</f>
        <v>0</v>
      </c>
      <c r="AG38" s="1770">
        <f t="shared" ref="AG38" si="72">SUM(AG31:AG34)/12*AG22+(((AG37+AG36+AG35)*AG22*AG24)/12)+AG30+AG28+AG29</f>
        <v>0</v>
      </c>
      <c r="AH38" s="1770">
        <f t="shared" ref="AH38" si="73">SUM(AH31:AH34)/12*AH22+(((AH37+AH36+AH35)*AH22*AH24)/12)+AH30+AH28+AH29</f>
        <v>0</v>
      </c>
      <c r="AI38" s="1770">
        <f t="shared" ref="AI38" si="74">SUM(AI31:AI34)/12*AI22+(((AI37+AI36+AI35)*AI22*AI24)/12)+AI30+AI28+AI29</f>
        <v>0</v>
      </c>
      <c r="AJ38" s="1770">
        <f t="shared" ref="AJ38:AM38" si="75">SUM(AJ31:AJ34)/12*AJ22+(((AJ37+AJ36+AJ35)*AJ22*AJ24)/12)+AJ30+AJ28+AJ29</f>
        <v>0</v>
      </c>
      <c r="AK38" s="1770">
        <f t="shared" si="75"/>
        <v>0</v>
      </c>
      <c r="AL38" s="1770">
        <f t="shared" si="75"/>
        <v>0</v>
      </c>
      <c r="AM38" s="1770">
        <f t="shared" si="75"/>
        <v>0</v>
      </c>
      <c r="AN38" s="1770">
        <f t="shared" ref="AN38:AQ38" si="76">SUM(AN31:AN34)/12*AN22+(((AN37+AN36+AN35)*AN22*AN24)/12)+AN30+AN28+AN29</f>
        <v>0</v>
      </c>
      <c r="AO38" s="1770">
        <f t="shared" si="76"/>
        <v>0</v>
      </c>
      <c r="AP38" s="1770">
        <f t="shared" si="76"/>
        <v>0</v>
      </c>
      <c r="AQ38" s="1771">
        <f t="shared" si="76"/>
        <v>0</v>
      </c>
      <c r="AR38" s="2340">
        <f>SUM(AR31:AR34)/12*AR22+(((AR37+AR36+AR35)*AR22*AR24)/12)+AR30+AR28+AR29</f>
        <v>0</v>
      </c>
      <c r="AS38" s="2454">
        <f t="shared" ref="AS38:AY38" si="77">SUM(AS31:AS34)/12*AS22+(((AS37+AS36+AS35)*AS22*AS24)/12)+AS30+AS28+AS29</f>
        <v>0</v>
      </c>
      <c r="AT38" s="2454">
        <f t="shared" si="77"/>
        <v>0</v>
      </c>
      <c r="AU38" s="2511">
        <f t="shared" si="77"/>
        <v>0</v>
      </c>
      <c r="AV38" s="2389">
        <f t="shared" si="77"/>
        <v>0</v>
      </c>
      <c r="AW38" s="2454">
        <f t="shared" si="77"/>
        <v>0</v>
      </c>
      <c r="AX38" s="2454">
        <f t="shared" si="77"/>
        <v>0</v>
      </c>
      <c r="AY38" s="2511">
        <f t="shared" si="77"/>
        <v>0</v>
      </c>
      <c r="AZ38" s="1731"/>
      <c r="BA38" s="1732"/>
      <c r="BB38" s="2340">
        <f t="shared" ref="BB38:BC38" si="78">SUM(BB31:BB34)/12*BB22+(((BB37+BB36+BB35)*BB22*BB24)/12)+BB30+BB28+BB29</f>
        <v>0</v>
      </c>
      <c r="BC38" s="2389">
        <f t="shared" si="78"/>
        <v>0</v>
      </c>
      <c r="BD38" s="1770">
        <f t="shared" ref="BD38" si="79">SUM(BD31:BD34)/12*BD22+(((BD37+BD36+BD35)*BD22*BD24)/12)+BD30+BD28+BD29</f>
        <v>0</v>
      </c>
      <c r="BE38" s="1770">
        <f t="shared" ref="BE38" si="80">SUM(BE31:BE34)/12*BE22+(((BE37+BE36+BE35)*BE22*BE24)/12)+BE30+BE28+BE29</f>
        <v>0</v>
      </c>
      <c r="BF38" s="1770">
        <f t="shared" ref="BF38" si="81">SUM(BF31:BF34)/12*BF22+(((BF37+BF36+BF35)*BF22*BF24)/12)+BF30+BF28+BF29</f>
        <v>0</v>
      </c>
      <c r="BG38" s="1770">
        <f t="shared" ref="BG38" si="82">SUM(BG31:BG34)/12*BG22+(((BG37+BG36+BG35)*BG22*BG24)/12)+BG30+BG28+BG29</f>
        <v>0</v>
      </c>
      <c r="BH38" s="1770">
        <f t="shared" ref="BH38" si="83">SUM(BH31:BH34)/12*BH22+(((BH37+BH36+BH35)*BH22*BH24)/12)+BH30+BH28+BH29</f>
        <v>0</v>
      </c>
      <c r="BI38" s="1770">
        <f t="shared" ref="BI38" si="84">SUM(BI31:BI34)/12*BI22+(((BI37+BI36+BI35)*BI22*BI24)/12)+BI30+BI28+BI29</f>
        <v>0</v>
      </c>
      <c r="BJ38" s="1770">
        <f t="shared" ref="BJ38" si="85">SUM(BJ31:BJ34)/12*BJ22+(((BJ37+BJ36+BJ35)*BJ22*BJ24)/12)+BJ30+BJ28+BJ29</f>
        <v>0</v>
      </c>
      <c r="BK38" s="1770">
        <f t="shared" ref="BK38" si="86">SUM(BK31:BK34)/12*BK22+(((BK37+BK36+BK35)*BK22*BK24)/12)+BK30+BK28+BK29</f>
        <v>0</v>
      </c>
      <c r="BL38" s="1768">
        <f t="shared" ref="BL38" si="87">SUM(BL31:BL34)/12*BL22+(((BL37+BL36+BL35)*BL22*BL24)/12)+BL30+BL28+BL29</f>
        <v>0</v>
      </c>
      <c r="BM38" s="1733"/>
      <c r="BN38" s="1732"/>
      <c r="BO38" s="1769">
        <f t="shared" ref="BO38" si="88">SUM(BO31:BO34)/12*BO22+(((BO37+BO36+BO35)*BO22*BO24)/12)+BO30+BO28+BO29</f>
        <v>0</v>
      </c>
      <c r="BP38" s="1770">
        <f t="shared" ref="BP38" si="89">SUM(BP31:BP34)/12*BP22+(((BP37+BP36+BP35)*BP22*BP24)/12)+BP30+BP28+BP29</f>
        <v>0</v>
      </c>
      <c r="BQ38" s="1770">
        <f t="shared" ref="BQ38" si="90">SUM(BQ31:BQ34)/12*BQ22+(((BQ37+BQ36+BQ35)*BQ22*BQ24)/12)+BQ30+BQ28+BQ29</f>
        <v>0</v>
      </c>
      <c r="BR38" s="1770">
        <f t="shared" ref="BR38" si="91">SUM(BR31:BR34)/12*BR22+(((BR37+BR36+BR35)*BR22*BR24)/12)+BR30+BR28+BR29</f>
        <v>0</v>
      </c>
      <c r="BS38" s="1770">
        <f t="shared" ref="BS38" si="92">SUM(BS31:BS34)/12*BS22+(((BS37+BS36+BS35)*BS22*BS24)/12)+BS30+BS28+BS29</f>
        <v>0</v>
      </c>
      <c r="BT38" s="1770">
        <f t="shared" ref="BT38" si="93">SUM(BT31:BT34)/12*BT22+(((BT37+BT36+BT35)*BT22*BT24)/12)+BT30+BT28+BT29</f>
        <v>0</v>
      </c>
      <c r="BU38" s="1770">
        <f t="shared" ref="BU38" si="94">SUM(BU31:BU34)/12*BU22+(((BU37+BU36+BU35)*BU22*BU24)/12)+BU30+BU28+BU29</f>
        <v>0</v>
      </c>
      <c r="BV38" s="1770">
        <f t="shared" ref="BV38" si="95">SUM(BV31:BV34)/12*BV22+(((BV37+BV36+BV35)*BV22*BV24)/12)+BV30+BV28+BV29</f>
        <v>0</v>
      </c>
      <c r="BW38" s="1770">
        <f t="shared" ref="BW38" si="96">SUM(BW31:BW34)/12*BW22+(((BW37+BW36+BW35)*BW22*BW24)/12)+BW30+BW28+BW29</f>
        <v>0</v>
      </c>
      <c r="BX38" s="1768">
        <f t="shared" ref="BX38" si="97">SUM(BX31:BX34)/12*BX22+(((BX37+BX36+BX35)*BX22*BX24)/12)+BX30+BX28+BX29</f>
        <v>0</v>
      </c>
      <c r="BY38" s="1733"/>
      <c r="BZ38" s="1732"/>
      <c r="CA38" s="1769">
        <f t="shared" ref="CA38:CH38" si="98">SUM(CA31:CA34)/12*CA22+(((CA37+CA36+CA35)*CA22*CA24)/12)+CA30+CA28</f>
        <v>0</v>
      </c>
      <c r="CB38" s="1770">
        <f t="shared" si="98"/>
        <v>0</v>
      </c>
      <c r="CC38" s="1770">
        <f t="shared" si="98"/>
        <v>0</v>
      </c>
      <c r="CD38" s="1770">
        <f t="shared" si="98"/>
        <v>0</v>
      </c>
      <c r="CE38" s="1770">
        <f t="shared" si="98"/>
        <v>0</v>
      </c>
      <c r="CF38" s="1770">
        <f t="shared" si="98"/>
        <v>0</v>
      </c>
      <c r="CG38" s="1770">
        <f t="shared" si="98"/>
        <v>0</v>
      </c>
      <c r="CH38" s="1768">
        <f t="shared" si="98"/>
        <v>0</v>
      </c>
      <c r="CI38" s="1733"/>
      <c r="CJ38" s="1732"/>
      <c r="CK38" s="1769">
        <f t="shared" ref="CK38:CU38" si="99">SUM(CK31:CK34)/12*CK22+(((CK37+CK36+CK35)*CK22*CK24)/12)+CK30+CK28</f>
        <v>0</v>
      </c>
      <c r="CL38" s="1770">
        <f t="shared" si="99"/>
        <v>0</v>
      </c>
      <c r="CM38" s="1770">
        <f t="shared" si="99"/>
        <v>0</v>
      </c>
      <c r="CN38" s="1770">
        <f t="shared" si="99"/>
        <v>0</v>
      </c>
      <c r="CO38" s="1770">
        <f t="shared" si="99"/>
        <v>0</v>
      </c>
      <c r="CP38" s="1770">
        <f t="shared" si="99"/>
        <v>0</v>
      </c>
      <c r="CQ38" s="1770">
        <f t="shared" si="99"/>
        <v>0</v>
      </c>
      <c r="CR38" s="1770">
        <f t="shared" si="99"/>
        <v>0</v>
      </c>
      <c r="CS38" s="1770">
        <f t="shared" si="99"/>
        <v>0</v>
      </c>
      <c r="CT38" s="1770">
        <f t="shared" si="99"/>
        <v>0</v>
      </c>
      <c r="CU38" s="1771">
        <f t="shared" si="99"/>
        <v>0</v>
      </c>
      <c r="CV38" s="1733"/>
      <c r="CW38" s="1732"/>
      <c r="CX38" s="1769">
        <f>SUM(CX31:CX34)/12*CX22+(((CX37+CX36+CX35)*CX22*CX24)/12)+CX30+CX28</f>
        <v>0</v>
      </c>
      <c r="CY38" s="1770">
        <f>SUM(CY31:CY34)/12*CY22+(((CY37+CY36+CY35)*CY22*CY24)/12)+CY30+CY28</f>
        <v>0</v>
      </c>
      <c r="CZ38" s="1770">
        <f>SUM(CZ31:CZ34)/12*CZ22+(((CZ37+CZ36+CZ35)*CZ22*CZ24)/12)+CZ30+CZ28</f>
        <v>0</v>
      </c>
      <c r="DA38" s="1770">
        <f>SUM(DA31:DA34)/12*DA22+(((DA37+DA36+DA35)*DA22*DA24)/12)+DA30+DA28</f>
        <v>0</v>
      </c>
      <c r="DB38" s="1768">
        <f>SUM(DB31:DB34)/12*DB22+(((DB37+DB36+DB35)*DB22*DB24)/12)+DB30+DB28</f>
        <v>0</v>
      </c>
      <c r="DC38" s="1733"/>
      <c r="DD38" s="1732"/>
    </row>
    <row r="39" spans="1:119" ht="24" customHeight="1">
      <c r="A39" s="2850" t="s">
        <v>741</v>
      </c>
      <c r="B39" s="2851"/>
      <c r="C39" s="2430"/>
      <c r="D39" s="2432"/>
      <c r="E39" s="2391"/>
      <c r="F39" s="2456"/>
      <c r="G39" s="1785"/>
      <c r="H39" s="1785"/>
      <c r="I39" s="1785"/>
      <c r="J39" s="1785"/>
      <c r="K39" s="1785"/>
      <c r="L39" s="1785"/>
      <c r="M39" s="1785"/>
      <c r="N39" s="1785"/>
      <c r="O39" s="1785"/>
      <c r="P39" s="1785"/>
      <c r="Q39" s="1785"/>
      <c r="R39" s="1785"/>
      <c r="S39" s="1785"/>
      <c r="T39" s="1785"/>
      <c r="U39" s="1783"/>
      <c r="V39" s="1782"/>
      <c r="W39" s="1783"/>
      <c r="X39" s="2477"/>
      <c r="Y39" s="2456"/>
      <c r="Z39" s="1786"/>
      <c r="AA39" s="1784"/>
      <c r="AB39" s="1785"/>
      <c r="AC39" s="1785"/>
      <c r="AD39" s="1785"/>
      <c r="AE39" s="1785"/>
      <c r="AF39" s="1785"/>
      <c r="AG39" s="1785"/>
      <c r="AH39" s="1785"/>
      <c r="AI39" s="1785"/>
      <c r="AJ39" s="1785"/>
      <c r="AK39" s="1785"/>
      <c r="AL39" s="1785"/>
      <c r="AM39" s="1785"/>
      <c r="AN39" s="1785"/>
      <c r="AO39" s="1785"/>
      <c r="AP39" s="1785"/>
      <c r="AQ39" s="1786"/>
      <c r="AR39" s="2477"/>
      <c r="AS39" s="2456"/>
      <c r="AT39" s="2456"/>
      <c r="AU39" s="2516"/>
      <c r="AV39" s="2391"/>
      <c r="AW39" s="2456"/>
      <c r="AX39" s="2456"/>
      <c r="AY39" s="2516"/>
      <c r="AZ39" s="1782"/>
      <c r="BA39" s="1783"/>
      <c r="BB39" s="2477"/>
      <c r="BC39" s="2391"/>
      <c r="BD39" s="1785"/>
      <c r="BE39" s="1785"/>
      <c r="BF39" s="1785"/>
      <c r="BG39" s="1785"/>
      <c r="BH39" s="1785"/>
      <c r="BI39" s="1785"/>
      <c r="BJ39" s="1785"/>
      <c r="BK39" s="1785"/>
      <c r="BL39" s="1783"/>
      <c r="BM39" s="1784"/>
      <c r="BN39" s="1783"/>
      <c r="BO39" s="1784"/>
      <c r="BP39" s="1785"/>
      <c r="BQ39" s="1785"/>
      <c r="BR39" s="1785"/>
      <c r="BS39" s="1785"/>
      <c r="BT39" s="1785"/>
      <c r="BU39" s="1785"/>
      <c r="BV39" s="1785"/>
      <c r="BW39" s="1785"/>
      <c r="BX39" s="1783"/>
      <c r="BY39" s="1784"/>
      <c r="BZ39" s="1783"/>
      <c r="CA39" s="1784"/>
      <c r="CB39" s="1785"/>
      <c r="CC39" s="1785"/>
      <c r="CD39" s="1785"/>
      <c r="CE39" s="1785"/>
      <c r="CF39" s="1785"/>
      <c r="CG39" s="1785"/>
      <c r="CH39" s="1783"/>
      <c r="CI39" s="1784"/>
      <c r="CJ39" s="1783"/>
      <c r="CK39" s="1793"/>
      <c r="CL39" s="1794"/>
      <c r="CM39" s="1794"/>
      <c r="CN39" s="1794"/>
      <c r="CO39" s="1785"/>
      <c r="CP39" s="1785"/>
      <c r="CQ39" s="1785"/>
      <c r="CR39" s="1785"/>
      <c r="CS39" s="1785"/>
      <c r="CT39" s="1794"/>
      <c r="CU39" s="1786"/>
      <c r="CV39" s="1784"/>
      <c r="CW39" s="1783"/>
      <c r="CX39" s="1793"/>
      <c r="CY39" s="1785"/>
      <c r="CZ39" s="1794"/>
      <c r="DA39" s="1785"/>
      <c r="DB39" s="1795"/>
      <c r="DC39" s="1784"/>
      <c r="DD39" s="1783"/>
      <c r="DE39" s="63" t="s">
        <v>742</v>
      </c>
    </row>
    <row r="40" spans="1:119" ht="24" customHeight="1">
      <c r="A40" s="2850" t="s">
        <v>741</v>
      </c>
      <c r="B40" s="2851"/>
      <c r="C40" s="2430"/>
      <c r="D40" s="2432"/>
      <c r="E40" s="2391"/>
      <c r="F40" s="2456"/>
      <c r="G40" s="1785"/>
      <c r="H40" s="1785"/>
      <c r="I40" s="1785"/>
      <c r="J40" s="1785"/>
      <c r="K40" s="1785"/>
      <c r="L40" s="1785"/>
      <c r="M40" s="1785"/>
      <c r="N40" s="1785"/>
      <c r="O40" s="1785"/>
      <c r="P40" s="1785"/>
      <c r="Q40" s="1785"/>
      <c r="R40" s="1785"/>
      <c r="S40" s="1785"/>
      <c r="T40" s="1785"/>
      <c r="U40" s="1783"/>
      <c r="V40" s="1782"/>
      <c r="W40" s="1783"/>
      <c r="X40" s="2477"/>
      <c r="Y40" s="2456"/>
      <c r="Z40" s="1786"/>
      <c r="AA40" s="1784"/>
      <c r="AB40" s="1785"/>
      <c r="AC40" s="1785"/>
      <c r="AD40" s="1785"/>
      <c r="AE40" s="1785"/>
      <c r="AF40" s="1785"/>
      <c r="AG40" s="1785"/>
      <c r="AH40" s="1785"/>
      <c r="AI40" s="1785"/>
      <c r="AJ40" s="1785"/>
      <c r="AK40" s="1785"/>
      <c r="AL40" s="1785"/>
      <c r="AM40" s="1785"/>
      <c r="AN40" s="1785"/>
      <c r="AO40" s="1785"/>
      <c r="AP40" s="1785"/>
      <c r="AQ40" s="1786"/>
      <c r="AR40" s="2477"/>
      <c r="AS40" s="2456"/>
      <c r="AT40" s="2456"/>
      <c r="AU40" s="2516"/>
      <c r="AV40" s="2391"/>
      <c r="AW40" s="2456"/>
      <c r="AX40" s="2456"/>
      <c r="AY40" s="2516"/>
      <c r="AZ40" s="1782"/>
      <c r="BA40" s="1783"/>
      <c r="BB40" s="2477"/>
      <c r="BC40" s="2391"/>
      <c r="BD40" s="1785"/>
      <c r="BE40" s="1785"/>
      <c r="BF40" s="1785"/>
      <c r="BG40" s="1785"/>
      <c r="BH40" s="1785"/>
      <c r="BI40" s="1785"/>
      <c r="BJ40" s="1785"/>
      <c r="BK40" s="1785"/>
      <c r="BL40" s="1783"/>
      <c r="BM40" s="1784"/>
      <c r="BN40" s="1783"/>
      <c r="BO40" s="1784"/>
      <c r="BP40" s="1785"/>
      <c r="BQ40" s="1785"/>
      <c r="BR40" s="1785"/>
      <c r="BS40" s="1785"/>
      <c r="BT40" s="1785"/>
      <c r="BU40" s="1785"/>
      <c r="BV40" s="1785"/>
      <c r="BW40" s="1785"/>
      <c r="BX40" s="1783"/>
      <c r="BY40" s="1784"/>
      <c r="BZ40" s="1783"/>
      <c r="CA40" s="1784"/>
      <c r="CB40" s="1785"/>
      <c r="CC40" s="1785"/>
      <c r="CD40" s="1785"/>
      <c r="CE40" s="1785"/>
      <c r="CF40" s="1785"/>
      <c r="CG40" s="1785"/>
      <c r="CH40" s="1783"/>
      <c r="CI40" s="1784"/>
      <c r="CJ40" s="1783"/>
      <c r="CK40" s="1793"/>
      <c r="CL40" s="1794"/>
      <c r="CM40" s="1794"/>
      <c r="CN40" s="1794"/>
      <c r="CO40" s="1785"/>
      <c r="CP40" s="1785"/>
      <c r="CQ40" s="1785"/>
      <c r="CR40" s="1785"/>
      <c r="CS40" s="1785"/>
      <c r="CT40" s="1794"/>
      <c r="CU40" s="1786"/>
      <c r="CV40" s="1784"/>
      <c r="CW40" s="1783"/>
      <c r="CX40" s="1793"/>
      <c r="CY40" s="1785"/>
      <c r="CZ40" s="1794"/>
      <c r="DA40" s="1785"/>
      <c r="DB40" s="1795"/>
      <c r="DC40" s="1784"/>
      <c r="DD40" s="1783"/>
      <c r="DE40" s="63" t="s">
        <v>742</v>
      </c>
    </row>
    <row r="41" spans="1:119" ht="23" customHeight="1">
      <c r="A41" s="2850" t="s">
        <v>743</v>
      </c>
      <c r="B41" s="2851"/>
      <c r="C41" s="2430"/>
      <c r="D41" s="2432"/>
      <c r="E41" s="2391"/>
      <c r="F41" s="2456"/>
      <c r="G41" s="1785"/>
      <c r="H41" s="1785"/>
      <c r="I41" s="1785"/>
      <c r="J41" s="1785"/>
      <c r="K41" s="1785"/>
      <c r="L41" s="1785"/>
      <c r="M41" s="1785"/>
      <c r="N41" s="1785"/>
      <c r="O41" s="1785"/>
      <c r="P41" s="1785"/>
      <c r="Q41" s="1785"/>
      <c r="R41" s="1785"/>
      <c r="S41" s="1785"/>
      <c r="T41" s="1785"/>
      <c r="U41" s="1783"/>
      <c r="V41" s="1731"/>
      <c r="W41" s="1732"/>
      <c r="X41" s="2477"/>
      <c r="Y41" s="2456"/>
      <c r="Z41" s="1786"/>
      <c r="AA41" s="1784"/>
      <c r="AB41" s="1785"/>
      <c r="AC41" s="1785"/>
      <c r="AD41" s="1785"/>
      <c r="AE41" s="1785"/>
      <c r="AF41" s="1785"/>
      <c r="AG41" s="1785"/>
      <c r="AH41" s="1785"/>
      <c r="AI41" s="1785"/>
      <c r="AJ41" s="1785"/>
      <c r="AK41" s="1785"/>
      <c r="AL41" s="1785"/>
      <c r="AM41" s="1785"/>
      <c r="AN41" s="1785"/>
      <c r="AO41" s="1785"/>
      <c r="AP41" s="1785"/>
      <c r="AQ41" s="1786"/>
      <c r="AR41" s="2477"/>
      <c r="AS41" s="2456"/>
      <c r="AT41" s="2456"/>
      <c r="AU41" s="2516"/>
      <c r="AV41" s="2391"/>
      <c r="AW41" s="2456"/>
      <c r="AX41" s="2456"/>
      <c r="AY41" s="2516"/>
      <c r="AZ41" s="1731"/>
      <c r="BA41" s="1732"/>
      <c r="BB41" s="2477"/>
      <c r="BC41" s="2391"/>
      <c r="BD41" s="1785"/>
      <c r="BE41" s="1785"/>
      <c r="BF41" s="1785"/>
      <c r="BG41" s="1785"/>
      <c r="BH41" s="1785"/>
      <c r="BI41" s="1785"/>
      <c r="BJ41" s="1785"/>
      <c r="BK41" s="1785"/>
      <c r="BL41" s="1783"/>
      <c r="BM41" s="1733"/>
      <c r="BN41" s="1732"/>
      <c r="BO41" s="1784"/>
      <c r="BP41" s="1785"/>
      <c r="BQ41" s="1785"/>
      <c r="BR41" s="1785"/>
      <c r="BS41" s="1785"/>
      <c r="BT41" s="1785"/>
      <c r="BU41" s="1785"/>
      <c r="BV41" s="1785"/>
      <c r="BW41" s="1785"/>
      <c r="BX41" s="1783"/>
      <c r="BY41" s="1733"/>
      <c r="BZ41" s="1732"/>
      <c r="CA41" s="1784"/>
      <c r="CB41" s="1785"/>
      <c r="CC41" s="1785"/>
      <c r="CD41" s="1785"/>
      <c r="CE41" s="1785"/>
      <c r="CF41" s="1785"/>
      <c r="CG41" s="1785"/>
      <c r="CH41" s="1783"/>
      <c r="CI41" s="1733"/>
      <c r="CJ41" s="1732"/>
      <c r="CK41" s="1793"/>
      <c r="CL41" s="1794"/>
      <c r="CM41" s="1794"/>
      <c r="CN41" s="1794"/>
      <c r="CO41" s="1785"/>
      <c r="CP41" s="1785"/>
      <c r="CQ41" s="1785"/>
      <c r="CR41" s="1785"/>
      <c r="CS41" s="1785"/>
      <c r="CT41" s="1794"/>
      <c r="CU41" s="1786"/>
      <c r="CV41" s="1733"/>
      <c r="CW41" s="1732"/>
      <c r="CX41" s="1793"/>
      <c r="CY41" s="1785"/>
      <c r="CZ41" s="1794"/>
      <c r="DA41" s="1785"/>
      <c r="DB41" s="1795"/>
      <c r="DC41" s="1733"/>
      <c r="DD41" s="1732"/>
      <c r="DE41" s="63" t="s">
        <v>744</v>
      </c>
    </row>
    <row r="42" spans="1:119" ht="24" customHeight="1">
      <c r="A42" s="2850" t="s">
        <v>567</v>
      </c>
      <c r="B42" s="2851"/>
      <c r="C42" s="2433">
        <f t="shared" ref="C42:U42" si="100">C27+SUM(C38:C41)+IF(C18="Ja",(C27+C38+C39+C40)*0.8%)</f>
        <v>0</v>
      </c>
      <c r="D42" s="2434">
        <f t="shared" si="100"/>
        <v>0</v>
      </c>
      <c r="E42" s="2346">
        <f t="shared" si="100"/>
        <v>0</v>
      </c>
      <c r="F42" s="2457">
        <f t="shared" ref="F42" si="101">F27+SUM(F38:F41)+IF(F18="Ja",(F27+F38+F39+F40)*0.8%)</f>
        <v>0</v>
      </c>
      <c r="G42" s="1796">
        <f t="shared" si="100"/>
        <v>0</v>
      </c>
      <c r="H42" s="1796">
        <f t="shared" si="100"/>
        <v>0</v>
      </c>
      <c r="I42" s="1796">
        <f t="shared" ref="I42" si="102">I27+SUM(I38:I41)+IF(I18="Ja",(I27+I38+I39+I40)*0.8%)</f>
        <v>0</v>
      </c>
      <c r="J42" s="1796">
        <f t="shared" si="100"/>
        <v>0</v>
      </c>
      <c r="K42" s="1796">
        <f t="shared" si="100"/>
        <v>0</v>
      </c>
      <c r="L42" s="1796">
        <f t="shared" si="100"/>
        <v>0</v>
      </c>
      <c r="M42" s="1796">
        <f t="shared" si="100"/>
        <v>0</v>
      </c>
      <c r="N42" s="1796">
        <f t="shared" si="100"/>
        <v>0</v>
      </c>
      <c r="O42" s="1796">
        <f t="shared" si="100"/>
        <v>0</v>
      </c>
      <c r="P42" s="1796">
        <f t="shared" si="100"/>
        <v>0</v>
      </c>
      <c r="Q42" s="1796">
        <f t="shared" si="100"/>
        <v>0</v>
      </c>
      <c r="R42" s="1796">
        <f t="shared" si="100"/>
        <v>0</v>
      </c>
      <c r="S42" s="1796">
        <f t="shared" si="100"/>
        <v>0</v>
      </c>
      <c r="T42" s="1796">
        <f t="shared" si="100"/>
        <v>0</v>
      </c>
      <c r="U42" s="1798">
        <f t="shared" si="100"/>
        <v>0</v>
      </c>
      <c r="V42" s="1799">
        <f>V26+((V39+V40)*V22)</f>
        <v>0</v>
      </c>
      <c r="W42" s="1798">
        <f>W26+((W39+W40)*W22)</f>
        <v>0</v>
      </c>
      <c r="X42" s="2478">
        <f t="shared" ref="X42:AJ42" si="103">X27+SUM(X38:X41)+IF(X18="Ja",(X27+X38+X39+X40)*0.8%)</f>
        <v>0</v>
      </c>
      <c r="Y42" s="2457">
        <f t="shared" ref="Y42" si="104">Y27+SUM(Y38:Y41)+IF(Y18="Ja",(Y27+Y38+Y39+Y40)*0.8%)</f>
        <v>0</v>
      </c>
      <c r="Z42" s="1800">
        <f t="shared" si="103"/>
        <v>0</v>
      </c>
      <c r="AA42" s="1797">
        <f t="shared" si="103"/>
        <v>0</v>
      </c>
      <c r="AB42" s="1796">
        <f t="shared" si="103"/>
        <v>0</v>
      </c>
      <c r="AC42" s="1796">
        <f t="shared" si="103"/>
        <v>0</v>
      </c>
      <c r="AD42" s="1796">
        <f t="shared" si="103"/>
        <v>0</v>
      </c>
      <c r="AE42" s="1796">
        <f t="shared" ref="AE42" si="105">AE27+SUM(AE38:AE41)+IF(AE18="Ja",(AE27+AE38+AE39+AE40)*0.8%)</f>
        <v>0</v>
      </c>
      <c r="AF42" s="1796">
        <f t="shared" si="103"/>
        <v>0</v>
      </c>
      <c r="AG42" s="1796">
        <f t="shared" si="103"/>
        <v>0</v>
      </c>
      <c r="AH42" s="1796">
        <f t="shared" si="103"/>
        <v>0</v>
      </c>
      <c r="AI42" s="1796">
        <f t="shared" si="103"/>
        <v>0</v>
      </c>
      <c r="AJ42" s="1796">
        <f t="shared" si="103"/>
        <v>0</v>
      </c>
      <c r="AK42" s="1796">
        <f t="shared" ref="AK42:AN42" si="106">AK27+SUM(AK38:AK41)+IF(AK18="Ja",(AK27+AK38+AK39+AK40)*0.8%)</f>
        <v>0</v>
      </c>
      <c r="AL42" s="1796">
        <f t="shared" si="106"/>
        <v>0</v>
      </c>
      <c r="AM42" s="1796">
        <f t="shared" si="106"/>
        <v>0</v>
      </c>
      <c r="AN42" s="1796">
        <f t="shared" si="106"/>
        <v>0</v>
      </c>
      <c r="AO42" s="1796">
        <f t="shared" ref="AO42:AX42" si="107">AO27+SUM(AO38:AO41)+IF(AO18="Ja",(AO27+AO38+AO39+AO40)*0.8%)</f>
        <v>0</v>
      </c>
      <c r="AP42" s="1796">
        <f t="shared" si="107"/>
        <v>0</v>
      </c>
      <c r="AQ42" s="1800">
        <f t="shared" si="107"/>
        <v>0</v>
      </c>
      <c r="AR42" s="2478">
        <f t="shared" si="107"/>
        <v>0</v>
      </c>
      <c r="AS42" s="2457">
        <f t="shared" si="107"/>
        <v>0</v>
      </c>
      <c r="AT42" s="2457">
        <f t="shared" si="107"/>
        <v>0</v>
      </c>
      <c r="AU42" s="2517">
        <f t="shared" si="107"/>
        <v>0</v>
      </c>
      <c r="AV42" s="2346">
        <f t="shared" si="107"/>
        <v>0</v>
      </c>
      <c r="AW42" s="2457">
        <f t="shared" si="107"/>
        <v>0</v>
      </c>
      <c r="AX42" s="2457">
        <f t="shared" si="107"/>
        <v>0</v>
      </c>
      <c r="AY42" s="2517">
        <f t="shared" ref="AY42" si="108">AY27+SUM(AY38:AY41)+IF(AY18="Ja",(AY27+AY38+AY39+AY40)*0.8%)</f>
        <v>0</v>
      </c>
      <c r="AZ42" s="1799">
        <f>AZ26+((AZ39+AZ40)*AZ22)</f>
        <v>0</v>
      </c>
      <c r="BA42" s="1798">
        <f>BA26+((BA39+BA40)*BA22)</f>
        <v>0</v>
      </c>
      <c r="BB42" s="2478">
        <f t="shared" ref="BB42:BL42" si="109">BB27+SUM(BB38:BB41)+IF(BB18="Ja",(BB27+BB38+BB39+BB40)*0.8%)</f>
        <v>0</v>
      </c>
      <c r="BC42" s="2346">
        <f t="shared" ref="BC42" si="110">BC27+SUM(BC38:BC41)+IF(BC18="Ja",(BC27+BC38+BC39+BC40)*0.8%)</f>
        <v>0</v>
      </c>
      <c r="BD42" s="1796">
        <f t="shared" si="109"/>
        <v>0</v>
      </c>
      <c r="BE42" s="1796">
        <f t="shared" si="109"/>
        <v>0</v>
      </c>
      <c r="BF42" s="1796">
        <f t="shared" si="109"/>
        <v>0</v>
      </c>
      <c r="BG42" s="1796">
        <f t="shared" si="109"/>
        <v>0</v>
      </c>
      <c r="BH42" s="1796">
        <f t="shared" si="109"/>
        <v>0</v>
      </c>
      <c r="BI42" s="1796">
        <f t="shared" si="109"/>
        <v>0</v>
      </c>
      <c r="BJ42" s="1796">
        <f t="shared" si="109"/>
        <v>0</v>
      </c>
      <c r="BK42" s="1796">
        <f t="shared" si="109"/>
        <v>0</v>
      </c>
      <c r="BL42" s="1798">
        <f t="shared" si="109"/>
        <v>0</v>
      </c>
      <c r="BM42" s="1797">
        <f>BM26+((BM39+BM40)*BM22)</f>
        <v>0</v>
      </c>
      <c r="BN42" s="1798">
        <f>BN26+((BN39+BN40)*BN22)</f>
        <v>0</v>
      </c>
      <c r="BO42" s="1797">
        <f t="shared" ref="BO42:BX42" si="111">BO27+SUM(BO38:BO41)+IF(BO18="Ja",(BO27+BO38+BO39+BO40)*0.8%)</f>
        <v>0</v>
      </c>
      <c r="BP42" s="1796">
        <f t="shared" si="111"/>
        <v>0</v>
      </c>
      <c r="BQ42" s="1796">
        <f t="shared" si="111"/>
        <v>0</v>
      </c>
      <c r="BR42" s="1796">
        <f t="shared" si="111"/>
        <v>0</v>
      </c>
      <c r="BS42" s="1796">
        <f t="shared" si="111"/>
        <v>0</v>
      </c>
      <c r="BT42" s="1796">
        <f t="shared" si="111"/>
        <v>0</v>
      </c>
      <c r="BU42" s="1796">
        <f t="shared" si="111"/>
        <v>0</v>
      </c>
      <c r="BV42" s="1796">
        <f t="shared" si="111"/>
        <v>0</v>
      </c>
      <c r="BW42" s="1796">
        <f t="shared" si="111"/>
        <v>0</v>
      </c>
      <c r="BX42" s="1798">
        <f t="shared" si="111"/>
        <v>0</v>
      </c>
      <c r="BY42" s="1797">
        <f>BY26+((BY39+BY40)*BY22)</f>
        <v>0</v>
      </c>
      <c r="BZ42" s="1798">
        <f>BZ26+((BZ39+BZ40)*BZ22)</f>
        <v>0</v>
      </c>
      <c r="CA42" s="1796">
        <f t="shared" ref="CA42:CH42" si="112">CA27+SUM(CA38:CA41)+IF(CA18="Ja",(CA27+CA38+CA39+CA40)*0.8%)</f>
        <v>0</v>
      </c>
      <c r="CB42" s="1796">
        <f t="shared" si="112"/>
        <v>0</v>
      </c>
      <c r="CC42" s="1796">
        <f t="shared" si="112"/>
        <v>0</v>
      </c>
      <c r="CD42" s="1796">
        <f t="shared" si="112"/>
        <v>0</v>
      </c>
      <c r="CE42" s="1796">
        <f t="shared" si="112"/>
        <v>0</v>
      </c>
      <c r="CF42" s="1796">
        <f t="shared" si="112"/>
        <v>0</v>
      </c>
      <c r="CG42" s="1796">
        <f t="shared" si="112"/>
        <v>0</v>
      </c>
      <c r="CH42" s="1796">
        <f t="shared" si="112"/>
        <v>0</v>
      </c>
      <c r="CI42" s="1797">
        <f>CI26+((CI39+CI40)*CI22)</f>
        <v>0</v>
      </c>
      <c r="CJ42" s="1798">
        <f>CJ26+((CJ39+CJ40)*CJ22)</f>
        <v>0</v>
      </c>
      <c r="CK42" s="1796">
        <f t="shared" ref="CK42:CU42" si="113">CK27+SUM(CK38:CK41)+IF(CK18="Ja",(CK27+CK38+CK39+CK40)*0.8%)</f>
        <v>0</v>
      </c>
      <c r="CL42" s="1796">
        <f t="shared" si="113"/>
        <v>0</v>
      </c>
      <c r="CM42" s="1796">
        <f t="shared" si="113"/>
        <v>0</v>
      </c>
      <c r="CN42" s="1796">
        <f t="shared" si="113"/>
        <v>0</v>
      </c>
      <c r="CO42" s="1796">
        <f t="shared" si="113"/>
        <v>0</v>
      </c>
      <c r="CP42" s="1796">
        <f t="shared" si="113"/>
        <v>0</v>
      </c>
      <c r="CQ42" s="1796">
        <f t="shared" si="113"/>
        <v>0</v>
      </c>
      <c r="CR42" s="1796">
        <f t="shared" si="113"/>
        <v>0</v>
      </c>
      <c r="CS42" s="1796">
        <f t="shared" si="113"/>
        <v>0</v>
      </c>
      <c r="CT42" s="1796">
        <f t="shared" si="113"/>
        <v>0</v>
      </c>
      <c r="CU42" s="1796">
        <f t="shared" si="113"/>
        <v>0</v>
      </c>
      <c r="CV42" s="1797">
        <f>CV26+((CV39+CV40)*CV22)</f>
        <v>0</v>
      </c>
      <c r="CW42" s="1798">
        <f>CW26+((CW39+CW40)*CW22)</f>
        <v>0</v>
      </c>
      <c r="CX42" s="1796">
        <f>CX27+SUM(CX38:CX41)+IF(CX18="Ja",(CX27+CX38+CX39+CX40)*0.8%)</f>
        <v>0</v>
      </c>
      <c r="CY42" s="1796">
        <f>CY27+SUM(CY38:CY41)+IF(CY18="Ja",(CY27+CY38+CY39+CY40)*0.8%)</f>
        <v>0</v>
      </c>
      <c r="CZ42" s="1796">
        <f>CZ27+SUM(CZ38:CZ41)+IF(CZ18="Ja",(CZ27+CZ38+CZ39+CZ40)*0.8%)</f>
        <v>0</v>
      </c>
      <c r="DA42" s="1796">
        <f>DA27+SUM(DA38:DA41)+IF(DA18="Ja",(DA27+DA38+DA39+DA40)*0.8%)</f>
        <v>0</v>
      </c>
      <c r="DB42" s="1796">
        <f>DB27+SUM(DB38:DB41)+IF(DB18="Ja",(DB27+DB38+DB39+DB40)*0.8%)</f>
        <v>0</v>
      </c>
      <c r="DC42" s="1797">
        <f>DC26+((DC39+DC40)*DC22)</f>
        <v>0</v>
      </c>
      <c r="DD42" s="1798">
        <f>DD26+((DD39+DD40)*DD22)</f>
        <v>0</v>
      </c>
    </row>
    <row r="43" spans="1:119" ht="24" customHeight="1">
      <c r="A43" s="2850" t="s">
        <v>745</v>
      </c>
      <c r="B43" s="2851"/>
      <c r="C43" s="2478">
        <f t="shared" ref="C43:U43" si="114">IF(C26&gt;0,ROUND(C20/100/3*(ROUND((ROUND(VLOOKUP(C8,skalalontabel,7,0)*C22*C24,0))/12,2)+ROUND(SUM(C37+C36)/12*C22*C24,2))+((C30+C29+C28)*C20%/3),2),0)+C34*C22/12*C20%/3+IF(C18="Ja",(C26+C38+C39+C40)*0.8%*C20%/3)</f>
        <v>0</v>
      </c>
      <c r="D43" s="2517">
        <f t="shared" si="114"/>
        <v>0</v>
      </c>
      <c r="E43" s="2346">
        <f t="shared" si="114"/>
        <v>0</v>
      </c>
      <c r="F43" s="2457">
        <f t="shared" si="114"/>
        <v>0</v>
      </c>
      <c r="G43" s="2457">
        <f t="shared" si="114"/>
        <v>0</v>
      </c>
      <c r="H43" s="2457">
        <f t="shared" si="114"/>
        <v>0</v>
      </c>
      <c r="I43" s="2457">
        <f t="shared" si="114"/>
        <v>0</v>
      </c>
      <c r="J43" s="2457">
        <f t="shared" si="114"/>
        <v>0</v>
      </c>
      <c r="K43" s="2457">
        <f t="shared" si="114"/>
        <v>0</v>
      </c>
      <c r="L43" s="2457">
        <f t="shared" si="114"/>
        <v>0</v>
      </c>
      <c r="M43" s="2457">
        <f t="shared" si="114"/>
        <v>0</v>
      </c>
      <c r="N43" s="2457">
        <f t="shared" si="114"/>
        <v>0</v>
      </c>
      <c r="O43" s="2457">
        <f t="shared" si="114"/>
        <v>0</v>
      </c>
      <c r="P43" s="2457">
        <f t="shared" si="114"/>
        <v>0</v>
      </c>
      <c r="Q43" s="2457">
        <f t="shared" si="114"/>
        <v>0</v>
      </c>
      <c r="R43" s="2457">
        <f t="shared" si="114"/>
        <v>0</v>
      </c>
      <c r="S43" s="2457">
        <f t="shared" si="114"/>
        <v>0</v>
      </c>
      <c r="T43" s="2457">
        <f t="shared" si="114"/>
        <v>0</v>
      </c>
      <c r="U43" s="2517">
        <f t="shared" si="114"/>
        <v>0</v>
      </c>
      <c r="V43" s="1799">
        <f>(V26*V20%)/3</f>
        <v>0</v>
      </c>
      <c r="W43" s="1798">
        <f>(W26*W20%)/3</f>
        <v>0</v>
      </c>
      <c r="X43" s="2478">
        <f t="shared" ref="X43:AQ43" si="115">IF(X26&gt;0,ROUND(X20/100/3*(ROUND((ROUND(VLOOKUP(X8,skalalontabel,7,0)*X22*X24,0))/12,2)+ROUND(SUM(X37+X36)/12*X22*X24,2))+((X30+X29+X28)*X20%/3),2),0)+X34*X22/12*X20%/3+IF(X18="Ja",(X26+X38+X39+X40)*0.8%*X20%/3)</f>
        <v>0</v>
      </c>
      <c r="Y43" s="2457">
        <f t="shared" si="115"/>
        <v>0</v>
      </c>
      <c r="Z43" s="2517">
        <f t="shared" si="115"/>
        <v>0</v>
      </c>
      <c r="AA43" s="2478">
        <f t="shared" si="115"/>
        <v>0</v>
      </c>
      <c r="AB43" s="2457">
        <f t="shared" si="115"/>
        <v>0</v>
      </c>
      <c r="AC43" s="2457">
        <f t="shared" si="115"/>
        <v>0</v>
      </c>
      <c r="AD43" s="2457">
        <f t="shared" si="115"/>
        <v>0</v>
      </c>
      <c r="AE43" s="2457">
        <f t="shared" si="115"/>
        <v>0</v>
      </c>
      <c r="AF43" s="2457">
        <f t="shared" si="115"/>
        <v>0</v>
      </c>
      <c r="AG43" s="2457">
        <f t="shared" si="115"/>
        <v>0</v>
      </c>
      <c r="AH43" s="2457">
        <f t="shared" si="115"/>
        <v>0</v>
      </c>
      <c r="AI43" s="2457">
        <f t="shared" si="115"/>
        <v>0</v>
      </c>
      <c r="AJ43" s="2457">
        <f t="shared" si="115"/>
        <v>0</v>
      </c>
      <c r="AK43" s="2457">
        <f t="shared" si="115"/>
        <v>0</v>
      </c>
      <c r="AL43" s="2457">
        <f t="shared" si="115"/>
        <v>0</v>
      </c>
      <c r="AM43" s="2457">
        <f t="shared" si="115"/>
        <v>0</v>
      </c>
      <c r="AN43" s="2457">
        <f t="shared" si="115"/>
        <v>0</v>
      </c>
      <c r="AO43" s="2457">
        <f t="shared" si="115"/>
        <v>0</v>
      </c>
      <c r="AP43" s="2457">
        <f t="shared" si="115"/>
        <v>0</v>
      </c>
      <c r="AQ43" s="2517">
        <f t="shared" si="115"/>
        <v>0</v>
      </c>
      <c r="AR43" s="2500"/>
      <c r="AS43" s="2501"/>
      <c r="AT43" s="2501"/>
      <c r="AU43" s="2502"/>
      <c r="AV43" s="2500"/>
      <c r="AW43" s="2501"/>
      <c r="AX43" s="2501"/>
      <c r="AY43" s="2502"/>
      <c r="AZ43" s="1799">
        <f>(AZ26*AZ20%)/3</f>
        <v>0</v>
      </c>
      <c r="BA43" s="1798">
        <f>(BA26*BA20%)/3</f>
        <v>0</v>
      </c>
      <c r="BB43" s="2478">
        <f t="shared" ref="BB43:BL43" si="116">IF(BB26&gt;0,ROUND(BB20/100/3*(ROUND((ROUND(VLOOKUP(BB8,skalalontabel,7,0)*BB22*BB24,0))/12,2)+ROUND(SUM(BB37+BB36)/12*BB22*BB24,2))+((BB30+BB29+BB28)*BB20%/3),2),0)+BB34*BB22/12*BB20%/3+IF(BB18="Ja",(BB26+BB38+BB39+BB40)*0.8%*BB20%/3)</f>
        <v>0</v>
      </c>
      <c r="BC43" s="2346">
        <f t="shared" si="116"/>
        <v>0</v>
      </c>
      <c r="BD43" s="2457">
        <f t="shared" si="116"/>
        <v>0</v>
      </c>
      <c r="BE43" s="2457">
        <f t="shared" si="116"/>
        <v>0</v>
      </c>
      <c r="BF43" s="2457">
        <f t="shared" si="116"/>
        <v>0</v>
      </c>
      <c r="BG43" s="2457">
        <f t="shared" si="116"/>
        <v>0</v>
      </c>
      <c r="BH43" s="2457">
        <f t="shared" si="116"/>
        <v>0</v>
      </c>
      <c r="BI43" s="2457">
        <f t="shared" si="116"/>
        <v>0</v>
      </c>
      <c r="BJ43" s="2457">
        <f t="shared" si="116"/>
        <v>0</v>
      </c>
      <c r="BK43" s="2457">
        <f t="shared" si="116"/>
        <v>0</v>
      </c>
      <c r="BL43" s="2517">
        <f t="shared" si="116"/>
        <v>0</v>
      </c>
      <c r="BM43" s="1797">
        <f>(BM26*BM20%)/3</f>
        <v>0</v>
      </c>
      <c r="BN43" s="1798">
        <f>(BN26*BN20%)/3</f>
        <v>0</v>
      </c>
      <c r="BO43" s="2457">
        <f t="shared" ref="BO43:BX43" si="117">IF(BO26&gt;0,ROUND(BO20/100/3*(ROUND((ROUND(VLOOKUP(BO8,skalalontabel,7,0)*BO22*BO24,0))/12,2)+ROUND(SUM(BO37+BO36)/12*BO22*BO24,2))+((BO30+BO29+BO28)*BO20%/3),2),0)+BO34*BO22/12*BO20%/3+IF(BO18="Ja",(BO26+BO38+BO39+BO40)*0.8%*BO20%/3)</f>
        <v>0</v>
      </c>
      <c r="BP43" s="2457">
        <f t="shared" si="117"/>
        <v>0</v>
      </c>
      <c r="BQ43" s="2457">
        <f t="shared" si="117"/>
        <v>0</v>
      </c>
      <c r="BR43" s="2457">
        <f t="shared" si="117"/>
        <v>0</v>
      </c>
      <c r="BS43" s="2457">
        <f t="shared" si="117"/>
        <v>0</v>
      </c>
      <c r="BT43" s="2457">
        <f t="shared" si="117"/>
        <v>0</v>
      </c>
      <c r="BU43" s="2457">
        <f t="shared" si="117"/>
        <v>0</v>
      </c>
      <c r="BV43" s="2457">
        <f t="shared" si="117"/>
        <v>0</v>
      </c>
      <c r="BW43" s="2457">
        <f t="shared" si="117"/>
        <v>0</v>
      </c>
      <c r="BX43" s="2457">
        <f t="shared" si="117"/>
        <v>0</v>
      </c>
      <c r="BY43" s="1797">
        <f>(BY26*BY20%)/3</f>
        <v>0</v>
      </c>
      <c r="BZ43" s="1798">
        <f>(BZ26*BZ20%)/3</f>
        <v>0</v>
      </c>
      <c r="CA43" s="1796">
        <f t="shared" ref="CA43:CH43" si="118">IF(CA26&gt;0,ROUND(CA20/100/3*(ROUND((ROUND(VLOOKUP(CA8,skalalontabel,7,0)*CA22*CA24,0))/12,2)+ROUND(SUM(CA37+CA36)/12*CA22*CA24,2))+((CA30+CA28)*CA20%/3),2),0)+CA34*CA22/12*CA20%/3+IF(CA18="Ja",(CA26+CA28+CA38+CA39+CA40)*0.8%*CA20%/3)</f>
        <v>0</v>
      </c>
      <c r="CB43" s="1796">
        <f t="shared" si="118"/>
        <v>0</v>
      </c>
      <c r="CC43" s="1796">
        <f t="shared" si="118"/>
        <v>0</v>
      </c>
      <c r="CD43" s="1796">
        <f t="shared" si="118"/>
        <v>0</v>
      </c>
      <c r="CE43" s="1796">
        <f t="shared" si="118"/>
        <v>0</v>
      </c>
      <c r="CF43" s="1796">
        <f t="shared" si="118"/>
        <v>0</v>
      </c>
      <c r="CG43" s="1796">
        <f t="shared" si="118"/>
        <v>0</v>
      </c>
      <c r="CH43" s="1796">
        <f t="shared" si="118"/>
        <v>0</v>
      </c>
      <c r="CI43" s="1797">
        <f>(CI26*CI20%)/3</f>
        <v>0</v>
      </c>
      <c r="CJ43" s="1798">
        <f>(CJ26*CJ20%)/3</f>
        <v>0</v>
      </c>
      <c r="CK43" s="1796">
        <f t="shared" ref="CK43:CU43" si="119">IF(CK26&gt;0,ROUND(CK20/100/3*(ROUND((ROUND(VLOOKUP(CK8,skalalontabel,7,0)*CK22*CK24,0))/12,2)+ROUND(SUM(CK37+CK36)/12*CK22*CK24,2))+((CK30+CK28)*CK20%/3),2),0)+CK34*CK22/12*CK20%/3+IF(CK18="Ja",(CK26+CK38+CK39+CK40)*0.8%*CK20%/3)</f>
        <v>0</v>
      </c>
      <c r="CL43" s="1796">
        <f t="shared" si="119"/>
        <v>0</v>
      </c>
      <c r="CM43" s="1796">
        <f t="shared" si="119"/>
        <v>0</v>
      </c>
      <c r="CN43" s="1796">
        <f>IF(CN26&gt;0,ROUND(CN20/100/3*(ROUND((ROUND(VLOOKUP(CN8,skalalontabel,7,0)*CN22*CN24,0))/12,2)+ROUND(SUM(CN37+CN36)/12*CN22*CN24,2))+((CN30+CN28)*CN20%/3),2),0)+CN34*CN22/12*CN20%/3+IF(CN18="Ja",(CN26+CN38+CN39+CN40)*0.8%*CN20%/3)</f>
        <v>0</v>
      </c>
      <c r="CO43" s="1796">
        <f t="shared" si="119"/>
        <v>0</v>
      </c>
      <c r="CP43" s="1796">
        <f t="shared" si="119"/>
        <v>0</v>
      </c>
      <c r="CQ43" s="1796">
        <f t="shared" si="119"/>
        <v>0</v>
      </c>
      <c r="CR43" s="1796">
        <f t="shared" si="119"/>
        <v>0</v>
      </c>
      <c r="CS43" s="1796">
        <f t="shared" si="119"/>
        <v>0</v>
      </c>
      <c r="CT43" s="1796">
        <f t="shared" si="119"/>
        <v>0</v>
      </c>
      <c r="CU43" s="1796">
        <f t="shared" si="119"/>
        <v>0</v>
      </c>
      <c r="CV43" s="1797">
        <f>(CV26*CV20%)/3</f>
        <v>0</v>
      </c>
      <c r="CW43" s="1798">
        <f>(CW26*CW20%)/3</f>
        <v>0</v>
      </c>
      <c r="CX43" s="1796">
        <f>IF(CX26&gt;0,ROUND(CX20/100/3*(ROUND((ROUND(VLOOKUP(CX8,skalalontabel,7,0)*CX22*CX24,0))/12,2)+ROUND(SUM(CX37+CX36)/12*CX22*CX24,2))+((CX30+CX28)*CX20%/3),2),0)+CX34*CX22/12*CX20%/3+IF(CX18="Ja",(CX26+CX38+CX39+CX40)*0.8%*CX20%/3)</f>
        <v>0</v>
      </c>
      <c r="CY43" s="1796">
        <f>IF(CY26&gt;0,ROUND(CY20/100/3*(ROUND((ROUND(VLOOKUP(CY8,skalalontabel,7,0)*CY22*CY24,0))/12,2)+ROUND(SUM(CY37+CY36)/12*CY22*CY24,2))+((CY30+CY28)*CY20%/3),2),0)+CY34*CY22/12*CY20%/3+IF(CY18="Ja",(CY26+CY38+CY39+CY40)*0.8%*CY20%/3)</f>
        <v>0</v>
      </c>
      <c r="CZ43" s="1796">
        <f>IF(CZ26&gt;0,ROUND(CZ20/100/3*(ROUND((ROUND(VLOOKUP(CZ8,skalalontabel,7,0)*CZ22*CZ24,0))/12,2)+ROUND(SUM(CZ37+CZ36)/12*CZ22*CZ24,2))+((CZ30+CZ28)*CZ20%/3),2),0)+CZ34*CZ22/12*CZ20%/3+IF(CZ18="Ja",(CZ26+CZ38+CZ39+CZ40)*0.8%*CZ20%/3)</f>
        <v>0</v>
      </c>
      <c r="DA43" s="1796">
        <f>IF(DA26&gt;0,ROUND(DA20/100/3*(ROUND((ROUND(VLOOKUP(DA8,skalalontabel,7,0)*DA22*DA24,0))/12,2)+ROUND(SUM(DA37+DA36)/12*DA22*DA24,2))+((DA30+DA28)*DA20%/3),2),0)+DA34*DA22/12*DA20%/3+IF(DA18="Ja",(DA26+DA38+DA39+DA40)*0.8%*DA20%/3)</f>
        <v>0</v>
      </c>
      <c r="DB43" s="1796">
        <f>IF(DB26&gt;0,ROUND(DB20/100/3*(ROUND((ROUND(VLOOKUP(DB8,skalalontabel,7,0)*DB22*DB24,0))/12,2)+ROUND(SUM(DB37+DB36)/12*DB22*DB24,2))+((DB30+DB28)*DB20%/3),2),0)+DB34*DB22/12*DB20%/3+IF(DB18="Ja",(DB26+DB38+DB39+DB40)*0.8%*DB20%/3)</f>
        <v>0</v>
      </c>
      <c r="DC43" s="1797">
        <f>(DC26*DC20%)/3</f>
        <v>0</v>
      </c>
      <c r="DD43" s="1798">
        <f>(DD26*DD20%)/3</f>
        <v>0</v>
      </c>
      <c r="DE43" s="63" t="s">
        <v>746</v>
      </c>
    </row>
    <row r="44" spans="1:119" ht="24" customHeight="1">
      <c r="A44" s="2850" t="s">
        <v>747</v>
      </c>
      <c r="B44" s="2851"/>
      <c r="C44" s="2433">
        <f t="shared" ref="C44:U44" si="120">IF(C26&gt;0,ROUND(C20/100/3*(ROUND((ROUND(VLOOKUP(C8,skalalontabel,7,0)*C22*C25,0))/12,2)+ROUND(SUM(C37+C36)/12*C22*C25,2))+(C34*C22/12*C25*C20%/3)+((C30+C29+C28)/C24*C25*C20%/3),2)+IF(C25&gt;0,-C43),0)</f>
        <v>0</v>
      </c>
      <c r="D44" s="2517">
        <f t="shared" si="120"/>
        <v>0</v>
      </c>
      <c r="E44" s="2346">
        <f t="shared" si="120"/>
        <v>0</v>
      </c>
      <c r="F44" s="2457">
        <f t="shared" ref="F44" si="121">IF(F26&gt;0,ROUND(F20/100/3*(ROUND((ROUND(VLOOKUP(F8,skalalontabel,7,0)*F22*F25,0))/12,2)+ROUND(SUM(F37+F36)/12*F22*F25,2))+(F34*F22/12*F25*F20%/3)+((F30+F29+F28)/F24*F25*F20%/3),2)+IF(F25&gt;0,-F43),0)</f>
        <v>0</v>
      </c>
      <c r="G44" s="2457">
        <f t="shared" si="120"/>
        <v>0</v>
      </c>
      <c r="H44" s="2457">
        <f t="shared" si="120"/>
        <v>0</v>
      </c>
      <c r="I44" s="2457">
        <f t="shared" ref="I44" si="122">IF(I26&gt;0,ROUND(I20/100/3*(ROUND((ROUND(VLOOKUP(I8,skalalontabel,7,0)*I22*I25,0))/12,2)+ROUND(SUM(I37+I36)/12*I22*I25,2))+(I34*I22/12*I25*I20%/3)+((I30+I29+I28)/I24*I25*I20%/3),2)+IF(I25&gt;0,-I43),0)</f>
        <v>0</v>
      </c>
      <c r="J44" s="2457">
        <f t="shared" si="120"/>
        <v>0</v>
      </c>
      <c r="K44" s="2457">
        <f t="shared" si="120"/>
        <v>0</v>
      </c>
      <c r="L44" s="2457">
        <f t="shared" si="120"/>
        <v>0</v>
      </c>
      <c r="M44" s="2457">
        <f t="shared" si="120"/>
        <v>0</v>
      </c>
      <c r="N44" s="2457">
        <f t="shared" si="120"/>
        <v>0</v>
      </c>
      <c r="O44" s="2457">
        <f t="shared" si="120"/>
        <v>0</v>
      </c>
      <c r="P44" s="2457">
        <f t="shared" si="120"/>
        <v>0</v>
      </c>
      <c r="Q44" s="2457">
        <f t="shared" si="120"/>
        <v>0</v>
      </c>
      <c r="R44" s="2457">
        <f t="shared" si="120"/>
        <v>0</v>
      </c>
      <c r="S44" s="2457">
        <f t="shared" si="120"/>
        <v>0</v>
      </c>
      <c r="T44" s="2457">
        <f t="shared" si="120"/>
        <v>0</v>
      </c>
      <c r="U44" s="2517">
        <f t="shared" si="120"/>
        <v>0</v>
      </c>
      <c r="V44" s="1799">
        <v>0</v>
      </c>
      <c r="W44" s="1798">
        <v>0</v>
      </c>
      <c r="X44" s="2478">
        <f t="shared" ref="X44:AJ44" si="123">IF(X26&gt;0,ROUND(X20/100/3*(ROUND((ROUND(VLOOKUP(X8,skalalontabel,7,0)*X22*X25,0))/12,2)+ROUND(SUM(X37+X36)/12*X22*X25,2))+(X34*X22/12*X25*X20%/3)+((X30+X29+X28)/X24*X25*X20%/3),2)+IF(X25&gt;0,-X43),0)</f>
        <v>0</v>
      </c>
      <c r="Y44" s="2457">
        <f t="shared" ref="Y44" si="124">IF(Y26&gt;0,ROUND(Y20/100/3*(ROUND((ROUND(VLOOKUP(Y8,skalalontabel,7,0)*Y22*Y25,0))/12,2)+ROUND(SUM(Y37+Y36)/12*Y22*Y25,2))+(Y34*Y22/12*Y25*Y20%/3)+((Y30+Y29+Y28)/Y24*Y25*Y20%/3),2)+IF(Y25&gt;0,-Y43),0)</f>
        <v>0</v>
      </c>
      <c r="Z44" s="1800">
        <f t="shared" si="123"/>
        <v>0</v>
      </c>
      <c r="AA44" s="1797">
        <f t="shared" si="123"/>
        <v>0</v>
      </c>
      <c r="AB44" s="1796">
        <f t="shared" si="123"/>
        <v>0</v>
      </c>
      <c r="AC44" s="1796">
        <f t="shared" si="123"/>
        <v>0</v>
      </c>
      <c r="AD44" s="1796">
        <f t="shared" si="123"/>
        <v>0</v>
      </c>
      <c r="AE44" s="1796">
        <f t="shared" ref="AE44" si="125">IF(AE26&gt;0,ROUND(AE20/100/3*(ROUND((ROUND(VLOOKUP(AE8,skalalontabel,7,0)*AE22*AE25,0))/12,2)+ROUND(SUM(AE37+AE36)/12*AE22*AE25,2))+(AE34*AE22/12*AE25*AE20%/3)+((AE30+AE29+AE28)/AE24*AE25*AE20%/3),2)+IF(AE25&gt;0,-AE43),0)</f>
        <v>0</v>
      </c>
      <c r="AF44" s="1796">
        <f t="shared" si="123"/>
        <v>0</v>
      </c>
      <c r="AG44" s="1796">
        <f t="shared" si="123"/>
        <v>0</v>
      </c>
      <c r="AH44" s="1796">
        <f t="shared" si="123"/>
        <v>0</v>
      </c>
      <c r="AI44" s="1796">
        <f t="shared" si="123"/>
        <v>0</v>
      </c>
      <c r="AJ44" s="1796">
        <f t="shared" si="123"/>
        <v>0</v>
      </c>
      <c r="AK44" s="1796">
        <f t="shared" ref="AK44:AN44" si="126">IF(AK26&gt;0,ROUND(AK20/100/3*(ROUND((ROUND(VLOOKUP(AK8,skalalontabel,7,0)*AK22*AK25,0))/12,2)+ROUND(SUM(AK37+AK36)/12*AK22*AK25,2))+(AK34*AK22/12*AK25*AK20%/3)+((AK30+AK29+AK28)/AK24*AK25*AK20%/3),2)+IF(AK25&gt;0,-AK43),0)</f>
        <v>0</v>
      </c>
      <c r="AL44" s="1796">
        <f t="shared" si="126"/>
        <v>0</v>
      </c>
      <c r="AM44" s="1796">
        <f t="shared" si="126"/>
        <v>0</v>
      </c>
      <c r="AN44" s="1796">
        <f t="shared" si="126"/>
        <v>0</v>
      </c>
      <c r="AO44" s="1796">
        <f t="shared" ref="AO44:AQ44" si="127">IF(AO26&gt;0,ROUND(AO20/100/3*(ROUND((ROUND(VLOOKUP(AO8,skalalontabel,7,0)*AO22*AO25,0))/12,2)+ROUND(SUM(AO37+AO36)/12*AO22*AO25,2))+(AO34*AO22/12*AO25*AO20%/3)+((AO30+AO29+AO28)/AO24*AO25*AO20%/3),2)+IF(AO25&gt;0,-AO43),0)</f>
        <v>0</v>
      </c>
      <c r="AP44" s="1796">
        <f t="shared" si="127"/>
        <v>0</v>
      </c>
      <c r="AQ44" s="1800">
        <f t="shared" si="127"/>
        <v>0</v>
      </c>
      <c r="AR44" s="2500"/>
      <c r="AS44" s="2501"/>
      <c r="AT44" s="2501"/>
      <c r="AU44" s="2502"/>
      <c r="AV44" s="2500"/>
      <c r="AW44" s="2501"/>
      <c r="AX44" s="2501"/>
      <c r="AY44" s="2502"/>
      <c r="AZ44" s="1799">
        <v>0</v>
      </c>
      <c r="BA44" s="1798">
        <v>0</v>
      </c>
      <c r="BB44" s="2478">
        <f t="shared" ref="BB44:BL44" si="128">IF(BB26&gt;0,ROUND(BB20/100/3*(ROUND((ROUND(VLOOKUP(BB8,skalalontabel,7,0)*BB22*BB25,0))/12,2)+ROUND(SUM(BB37+BB36)/12*BB22*BB25,2))+(BB34*BB22/12*BB25*BB20%/3)+((BB30+BB29+BB28)/BB24*BB25*BB20%/3),2)+IF(BB25&gt;0,-BB43),0)</f>
        <v>0</v>
      </c>
      <c r="BC44" s="2346">
        <f t="shared" ref="BC44" si="129">IF(BC26&gt;0,ROUND(BC20/100/3*(ROUND((ROUND(VLOOKUP(BC8,skalalontabel,7,0)*BC22*BC25,0))/12,2)+ROUND(SUM(BC37+BC36)/12*BC22*BC25,2))+(BC34*BC22/12*BC25*BC20%/3)+((BC30+BC29+BC28)/BC24*BC25*BC20%/3),2)+IF(BC25&gt;0,-BC43),0)</f>
        <v>0</v>
      </c>
      <c r="BD44" s="1796">
        <f t="shared" si="128"/>
        <v>0</v>
      </c>
      <c r="BE44" s="1796">
        <f t="shared" si="128"/>
        <v>0</v>
      </c>
      <c r="BF44" s="1796">
        <f t="shared" si="128"/>
        <v>0</v>
      </c>
      <c r="BG44" s="1796">
        <f t="shared" si="128"/>
        <v>0</v>
      </c>
      <c r="BH44" s="1796">
        <f t="shared" si="128"/>
        <v>0</v>
      </c>
      <c r="BI44" s="1796">
        <f t="shared" si="128"/>
        <v>0</v>
      </c>
      <c r="BJ44" s="1796">
        <f t="shared" si="128"/>
        <v>0</v>
      </c>
      <c r="BK44" s="1796">
        <f t="shared" si="128"/>
        <v>0</v>
      </c>
      <c r="BL44" s="1798">
        <f t="shared" si="128"/>
        <v>0</v>
      </c>
      <c r="BM44" s="1797">
        <v>0</v>
      </c>
      <c r="BN44" s="1798">
        <v>0</v>
      </c>
      <c r="BO44" s="1797">
        <f t="shared" ref="BO44:BX44" si="130">IF(BO26&gt;0,ROUND(BO20/100/3*(ROUND((ROUND(VLOOKUP(BO8,skalalontabel,7,0)*BO22*BO25,0))/12,2)+ROUND(SUM(BO37+BO36)/12*BO22*BO25,2))+(BO34*BO22/12*BO25*BO20%/3)+((BO30+BO29+BO28)/BO24*BO25*BO20%/3),2)+IF(BO25&gt;0,-BO43),0)</f>
        <v>0</v>
      </c>
      <c r="BP44" s="1796">
        <f t="shared" si="130"/>
        <v>0</v>
      </c>
      <c r="BQ44" s="1796">
        <f t="shared" si="130"/>
        <v>0</v>
      </c>
      <c r="BR44" s="1796">
        <f t="shared" si="130"/>
        <v>0</v>
      </c>
      <c r="BS44" s="1796">
        <f t="shared" si="130"/>
        <v>0</v>
      </c>
      <c r="BT44" s="1796">
        <f t="shared" si="130"/>
        <v>0</v>
      </c>
      <c r="BU44" s="1796">
        <f t="shared" si="130"/>
        <v>0</v>
      </c>
      <c r="BV44" s="1796">
        <f t="shared" si="130"/>
        <v>0</v>
      </c>
      <c r="BW44" s="1796">
        <f t="shared" si="130"/>
        <v>0</v>
      </c>
      <c r="BX44" s="1798">
        <f t="shared" si="130"/>
        <v>0</v>
      </c>
      <c r="BY44" s="1797">
        <v>0</v>
      </c>
      <c r="BZ44" s="1798">
        <v>0</v>
      </c>
      <c r="CA44" s="1797">
        <f t="shared" ref="CA44:CH44" si="131">IF(CA26&gt;0,ROUND(CA20/100/3*(ROUND((ROUND(VLOOKUP(CA8,skalalontabel,7,0)*CA22*CA25,0))/12,2)+ROUND(SUM(CA37+CA36)/12*CA22*CA25,2))+(CA34*CA22/12*CA25*CA20%/3)+((CA30+CA28)/CA24*CA25*CA20%/3),2)+IF(CA25&gt;0,-CA43),0)</f>
        <v>0</v>
      </c>
      <c r="CB44" s="1796">
        <f t="shared" si="131"/>
        <v>0</v>
      </c>
      <c r="CC44" s="1796">
        <f t="shared" si="131"/>
        <v>0</v>
      </c>
      <c r="CD44" s="1796">
        <f t="shared" si="131"/>
        <v>0</v>
      </c>
      <c r="CE44" s="1796">
        <f t="shared" si="131"/>
        <v>0</v>
      </c>
      <c r="CF44" s="1796">
        <f t="shared" si="131"/>
        <v>0</v>
      </c>
      <c r="CG44" s="1796">
        <f t="shared" si="131"/>
        <v>0</v>
      </c>
      <c r="CH44" s="1798">
        <f t="shared" si="131"/>
        <v>0</v>
      </c>
      <c r="CI44" s="1797">
        <v>0</v>
      </c>
      <c r="CJ44" s="1798">
        <v>0</v>
      </c>
      <c r="CK44" s="1797">
        <f t="shared" ref="CK44:CU44" si="132">IF(CK26&gt;0,ROUND(CK20/100/3*(ROUND((ROUND(VLOOKUP(CK8,skalalontabel,7,0)*CK22*CK25,0))/12,2)+ROUND(SUM(CK37+CK36)/12*CK22*CK25,2))+(CK34*CK22/12*CK25*CK20%/3)+((CK30+CK28)/CK24*CK25*CK20%/3),2)+IF(CK25&gt;0,-CK43),0)</f>
        <v>0</v>
      </c>
      <c r="CL44" s="1796">
        <f t="shared" si="132"/>
        <v>0</v>
      </c>
      <c r="CM44" s="1796">
        <f t="shared" si="132"/>
        <v>0</v>
      </c>
      <c r="CN44" s="1796">
        <f t="shared" si="132"/>
        <v>0</v>
      </c>
      <c r="CO44" s="1796">
        <f t="shared" si="132"/>
        <v>0</v>
      </c>
      <c r="CP44" s="1796">
        <f t="shared" si="132"/>
        <v>0</v>
      </c>
      <c r="CQ44" s="1796">
        <f t="shared" si="132"/>
        <v>0</v>
      </c>
      <c r="CR44" s="1796">
        <f t="shared" si="132"/>
        <v>0</v>
      </c>
      <c r="CS44" s="1796">
        <f t="shared" si="132"/>
        <v>0</v>
      </c>
      <c r="CT44" s="1796">
        <f t="shared" si="132"/>
        <v>0</v>
      </c>
      <c r="CU44" s="1798">
        <f t="shared" si="132"/>
        <v>0</v>
      </c>
      <c r="CV44" s="1797">
        <v>0</v>
      </c>
      <c r="CW44" s="1798">
        <v>0</v>
      </c>
      <c r="CX44" s="1797">
        <f>IF(CX26&gt;0,ROUND(CX20/100/3*(ROUND((ROUND(VLOOKUP(CX8,skalalontabel,7,0)*CX22*CX25,0))/12,2)+ROUND(SUM(CX37+CX36)/12*CX22*CX25,2))+(CX34*CX22/12*CX25*CX20%/3)+((CX30+CX28)/CX24*CX25*CX20%/3),2)+IF(CX25&gt;0,-CX43),0)</f>
        <v>0</v>
      </c>
      <c r="CY44" s="1796">
        <f>IF(CY26&gt;0,ROUND(CY20/100/3*(ROUND((ROUND(VLOOKUP(CY8,skalalontabel,7,0)*CY22*CY25,0))/12,2)+ROUND(SUM(CY37+CY36)/12*CY22*CY25,2))+(CY34*CY22/12*CY25*CY20%/3)+((CY30+CY28)/CY24*CY25*CY20%/3),2)+IF(CY25&gt;0,-CY43),0)</f>
        <v>0</v>
      </c>
      <c r="CZ44" s="1796">
        <f>IF(CZ26&gt;0,ROUND(CZ20/100/3*(ROUND((ROUND(VLOOKUP(CZ8,skalalontabel,7,0)*CZ22*CZ25,0))/12,2)+ROUND(SUM(CZ37+CZ36)/12*CZ22*CZ25,2))+(CZ34*CZ22/12*CZ25*CZ20%/3)+((CZ30+CZ28)/CZ24*CZ25*CZ20%/3),2)+IF(CZ25&gt;0,-CZ43),0)</f>
        <v>0</v>
      </c>
      <c r="DA44" s="1796">
        <f>IF(DA26&gt;0,ROUND(DA20/100/3*(ROUND((ROUND(VLOOKUP(DA8,skalalontabel,7,0)*DA22*DA25,0))/12,2)+ROUND(SUM(DA37+DA36)/12*DA22*DA25,2))+(DA34*DA22/12*DA25*DA20%/3)+((DA30+DA28)/DA24*DA25*DA20%/3),2)+IF(DA25&gt;0,-DA43),0)</f>
        <v>0</v>
      </c>
      <c r="DB44" s="1798">
        <f>IF(DB26&gt;0,ROUND(DB20/100/3*(ROUND((ROUND(VLOOKUP(DB8,skalalontabel,7,0)*DB22*DB25,0))/12,2)+ROUND(SUM(DB37+DB36)/12*DB22*DB25,2))+(DB34*DB22/12*DB25*DB20%/3)+((DB30+DB28)/DB24*DB25*DB20%/3),2)+IF(DB25&gt;0,-DB43),0)</f>
        <v>0</v>
      </c>
      <c r="DC44" s="1797">
        <v>0</v>
      </c>
      <c r="DD44" s="1798">
        <v>0</v>
      </c>
    </row>
    <row r="45" spans="1:119" ht="24" customHeight="1">
      <c r="A45" s="2850" t="s">
        <v>748</v>
      </c>
      <c r="B45" s="2851"/>
      <c r="C45" s="2433">
        <f t="shared" ref="C45:U45" si="133">IF(C21="JA",C42+C43+C44,C42)</f>
        <v>0</v>
      </c>
      <c r="D45" s="2434">
        <f t="shared" si="133"/>
        <v>0</v>
      </c>
      <c r="E45" s="2346">
        <f t="shared" si="133"/>
        <v>0</v>
      </c>
      <c r="F45" s="2457">
        <f t="shared" ref="F45" si="134">IF(F21="JA",F42+F43+F44,F42)</f>
        <v>0</v>
      </c>
      <c r="G45" s="1796">
        <f t="shared" si="133"/>
        <v>0</v>
      </c>
      <c r="H45" s="1796">
        <f t="shared" si="133"/>
        <v>0</v>
      </c>
      <c r="I45" s="1796">
        <f t="shared" ref="I45" si="135">IF(I21="JA",I42+I43+I44,I42)</f>
        <v>0</v>
      </c>
      <c r="J45" s="1796">
        <f t="shared" si="133"/>
        <v>0</v>
      </c>
      <c r="K45" s="1796">
        <f t="shared" si="133"/>
        <v>0</v>
      </c>
      <c r="L45" s="1796">
        <f t="shared" si="133"/>
        <v>0</v>
      </c>
      <c r="M45" s="1796">
        <f t="shared" si="133"/>
        <v>0</v>
      </c>
      <c r="N45" s="1796">
        <f t="shared" si="133"/>
        <v>0</v>
      </c>
      <c r="O45" s="1796">
        <f t="shared" si="133"/>
        <v>0</v>
      </c>
      <c r="P45" s="1796">
        <f t="shared" si="133"/>
        <v>0</v>
      </c>
      <c r="Q45" s="1796">
        <f t="shared" si="133"/>
        <v>0</v>
      </c>
      <c r="R45" s="1796">
        <f t="shared" si="133"/>
        <v>0</v>
      </c>
      <c r="S45" s="1796">
        <f t="shared" si="133"/>
        <v>0</v>
      </c>
      <c r="T45" s="1796">
        <f t="shared" si="133"/>
        <v>0</v>
      </c>
      <c r="U45" s="1798">
        <f t="shared" si="133"/>
        <v>0</v>
      </c>
      <c r="V45" s="1799">
        <f>IF(V21="JA",V42+V43+V44,0)</f>
        <v>0</v>
      </c>
      <c r="W45" s="1799">
        <f>IF(W21="JA",W42+W43+W44,0)</f>
        <v>0</v>
      </c>
      <c r="X45" s="2478">
        <f t="shared" ref="X45:AJ45" si="136">IF(X21="JA",X42+X43+X44,X42)</f>
        <v>0</v>
      </c>
      <c r="Y45" s="2457">
        <f t="shared" ref="Y45" si="137">IF(Y21="JA",Y42+Y43+Y44,Y42)</f>
        <v>0</v>
      </c>
      <c r="Z45" s="1800">
        <f t="shared" si="136"/>
        <v>0</v>
      </c>
      <c r="AA45" s="1797">
        <f t="shared" si="136"/>
        <v>0</v>
      </c>
      <c r="AB45" s="1796">
        <f t="shared" si="136"/>
        <v>0</v>
      </c>
      <c r="AC45" s="1796">
        <f t="shared" si="136"/>
        <v>0</v>
      </c>
      <c r="AD45" s="1796">
        <f t="shared" si="136"/>
        <v>0</v>
      </c>
      <c r="AE45" s="1796">
        <f t="shared" ref="AE45" si="138">IF(AE21="JA",AE42+AE43+AE44,AE42)</f>
        <v>0</v>
      </c>
      <c r="AF45" s="1796">
        <f t="shared" si="136"/>
        <v>0</v>
      </c>
      <c r="AG45" s="1796">
        <f t="shared" si="136"/>
        <v>0</v>
      </c>
      <c r="AH45" s="1796">
        <f t="shared" si="136"/>
        <v>0</v>
      </c>
      <c r="AI45" s="1796">
        <f t="shared" si="136"/>
        <v>0</v>
      </c>
      <c r="AJ45" s="1796">
        <f t="shared" si="136"/>
        <v>0</v>
      </c>
      <c r="AK45" s="1796">
        <f t="shared" ref="AK45:AN45" si="139">IF(AK21="JA",AK42+AK43+AK44,AK42)</f>
        <v>0</v>
      </c>
      <c r="AL45" s="1796">
        <f t="shared" si="139"/>
        <v>0</v>
      </c>
      <c r="AM45" s="1796">
        <f t="shared" si="139"/>
        <v>0</v>
      </c>
      <c r="AN45" s="1796">
        <f t="shared" si="139"/>
        <v>0</v>
      </c>
      <c r="AO45" s="1796">
        <f t="shared" ref="AO45:AY45" si="140">IF(AO21="JA",AO42+AO43+AO44,AO42)</f>
        <v>0</v>
      </c>
      <c r="AP45" s="1796">
        <f t="shared" si="140"/>
        <v>0</v>
      </c>
      <c r="AQ45" s="1800">
        <f t="shared" si="140"/>
        <v>0</v>
      </c>
      <c r="AR45" s="2478">
        <f t="shared" si="140"/>
        <v>0</v>
      </c>
      <c r="AS45" s="2457">
        <f t="shared" si="140"/>
        <v>0</v>
      </c>
      <c r="AT45" s="2457">
        <f t="shared" si="140"/>
        <v>0</v>
      </c>
      <c r="AU45" s="2517">
        <f t="shared" si="140"/>
        <v>0</v>
      </c>
      <c r="AV45" s="2346">
        <f t="shared" si="140"/>
        <v>0</v>
      </c>
      <c r="AW45" s="2457">
        <f t="shared" si="140"/>
        <v>0</v>
      </c>
      <c r="AX45" s="2457">
        <f t="shared" si="140"/>
        <v>0</v>
      </c>
      <c r="AY45" s="2517">
        <f t="shared" si="140"/>
        <v>0</v>
      </c>
      <c r="AZ45" s="1799">
        <f>IF(AZ21="JA",AZ42+AZ43+AZ44,0)</f>
        <v>0</v>
      </c>
      <c r="BA45" s="1799">
        <f>IF(BA21="JA",BA42+BA43+BA44,0)</f>
        <v>0</v>
      </c>
      <c r="BB45" s="2478">
        <f t="shared" ref="BB45:BL45" si="141">IF(BB21="JA",BB42+BB43+BB44,BB42)</f>
        <v>0</v>
      </c>
      <c r="BC45" s="2346">
        <f t="shared" ref="BC45" si="142">IF(BC21="JA",BC42+BC43+BC44,BC42)</f>
        <v>0</v>
      </c>
      <c r="BD45" s="1796">
        <f t="shared" si="141"/>
        <v>0</v>
      </c>
      <c r="BE45" s="1796">
        <f t="shared" si="141"/>
        <v>0</v>
      </c>
      <c r="BF45" s="1796">
        <f t="shared" si="141"/>
        <v>0</v>
      </c>
      <c r="BG45" s="1796">
        <f t="shared" si="141"/>
        <v>0</v>
      </c>
      <c r="BH45" s="1796">
        <f t="shared" si="141"/>
        <v>0</v>
      </c>
      <c r="BI45" s="1796">
        <f t="shared" si="141"/>
        <v>0</v>
      </c>
      <c r="BJ45" s="1796">
        <f t="shared" si="141"/>
        <v>0</v>
      </c>
      <c r="BK45" s="1796">
        <f t="shared" si="141"/>
        <v>0</v>
      </c>
      <c r="BL45" s="1798">
        <f t="shared" si="141"/>
        <v>0</v>
      </c>
      <c r="BM45" s="1797">
        <f>IF(BM21="JA",BM42+BM43+BM44,0)</f>
        <v>0</v>
      </c>
      <c r="BN45" s="1799">
        <f>IF(BN21="JA",BN42+BN43+BN44,0)</f>
        <v>0</v>
      </c>
      <c r="BO45" s="1797">
        <f t="shared" ref="BO45:BX45" si="143">IF(BO21="JA",BO42+BO43+BO44,BO42)</f>
        <v>0</v>
      </c>
      <c r="BP45" s="1796">
        <f t="shared" si="143"/>
        <v>0</v>
      </c>
      <c r="BQ45" s="1796">
        <f t="shared" si="143"/>
        <v>0</v>
      </c>
      <c r="BR45" s="1796">
        <f t="shared" si="143"/>
        <v>0</v>
      </c>
      <c r="BS45" s="1796">
        <f t="shared" si="143"/>
        <v>0</v>
      </c>
      <c r="BT45" s="1796">
        <f t="shared" si="143"/>
        <v>0</v>
      </c>
      <c r="BU45" s="1796">
        <f t="shared" si="143"/>
        <v>0</v>
      </c>
      <c r="BV45" s="1796">
        <f t="shared" si="143"/>
        <v>0</v>
      </c>
      <c r="BW45" s="1796">
        <f t="shared" si="143"/>
        <v>0</v>
      </c>
      <c r="BX45" s="1798">
        <f t="shared" si="143"/>
        <v>0</v>
      </c>
      <c r="BY45" s="1797">
        <f>IF(BY21="JA",BY42+BY43+BY44,0)</f>
        <v>0</v>
      </c>
      <c r="BZ45" s="1799">
        <f>IF(BZ21="JA",BZ42+BZ43+BZ44,0)</f>
        <v>0</v>
      </c>
      <c r="CA45" s="1797">
        <f t="shared" ref="CA45:CH45" si="144">IF(CA21="JA",CA42+CA43+CA44,CA42)</f>
        <v>0</v>
      </c>
      <c r="CB45" s="1796">
        <f t="shared" si="144"/>
        <v>0</v>
      </c>
      <c r="CC45" s="1796">
        <f t="shared" si="144"/>
        <v>0</v>
      </c>
      <c r="CD45" s="1796">
        <f t="shared" si="144"/>
        <v>0</v>
      </c>
      <c r="CE45" s="1796">
        <f t="shared" si="144"/>
        <v>0</v>
      </c>
      <c r="CF45" s="1796">
        <f t="shared" si="144"/>
        <v>0</v>
      </c>
      <c r="CG45" s="1796">
        <f t="shared" si="144"/>
        <v>0</v>
      </c>
      <c r="CH45" s="1798">
        <f t="shared" si="144"/>
        <v>0</v>
      </c>
      <c r="CI45" s="1797">
        <f>IF(CI21="JA",CI42+CI43+CI44,0)</f>
        <v>0</v>
      </c>
      <c r="CJ45" s="1799">
        <f>IF(CJ21="JA",CJ42+CJ43+CJ44,0)</f>
        <v>0</v>
      </c>
      <c r="CK45" s="1797">
        <f t="shared" ref="CK45:CU45" si="145">IF(CK21="JA",CK42+CK43+CK44,CK42)</f>
        <v>0</v>
      </c>
      <c r="CL45" s="1796">
        <f t="shared" si="145"/>
        <v>0</v>
      </c>
      <c r="CM45" s="1796">
        <f t="shared" si="145"/>
        <v>0</v>
      </c>
      <c r="CN45" s="1796">
        <f t="shared" si="145"/>
        <v>0</v>
      </c>
      <c r="CO45" s="1796">
        <f t="shared" si="145"/>
        <v>0</v>
      </c>
      <c r="CP45" s="1796">
        <f t="shared" si="145"/>
        <v>0</v>
      </c>
      <c r="CQ45" s="1796">
        <f t="shared" si="145"/>
        <v>0</v>
      </c>
      <c r="CR45" s="1796">
        <f t="shared" si="145"/>
        <v>0</v>
      </c>
      <c r="CS45" s="1796">
        <f t="shared" si="145"/>
        <v>0</v>
      </c>
      <c r="CT45" s="1796">
        <f t="shared" si="145"/>
        <v>0</v>
      </c>
      <c r="CU45" s="1798">
        <f t="shared" si="145"/>
        <v>0</v>
      </c>
      <c r="CV45" s="1797">
        <f>IF(CV21="JA",CV42+CV43+CV44,0)</f>
        <v>0</v>
      </c>
      <c r="CW45" s="1799">
        <f>IF(CW21="JA",CW42+CW43+CW44,0)</f>
        <v>0</v>
      </c>
      <c r="CX45" s="1797">
        <f>IF(CX21="JA",CX42+CX43+CX44,CX42)</f>
        <v>0</v>
      </c>
      <c r="CY45" s="1796">
        <f>IF(CY21="JA",CY42+CY43+CY44,CY42)</f>
        <v>0</v>
      </c>
      <c r="CZ45" s="1796">
        <f>IF(CZ21="JA",CZ42+CZ43+CZ44,CZ42)</f>
        <v>0</v>
      </c>
      <c r="DA45" s="1796">
        <f>IF(DA21="JA",DA42+DA43+DA44,DA42)</f>
        <v>0</v>
      </c>
      <c r="DB45" s="1798">
        <f>IF(DB21="JA",DB42+DB43+DB44,DB42)</f>
        <v>0</v>
      </c>
      <c r="DC45" s="1797">
        <f>IF(DC21="JA",DC42+DC43+DC44,0)</f>
        <v>0</v>
      </c>
      <c r="DD45" s="1799">
        <f>IF(DD21="JA",DD42+DD43+DD44,0)</f>
        <v>0</v>
      </c>
    </row>
    <row r="46" spans="1:119" ht="24" customHeight="1">
      <c r="A46" s="2850" t="s">
        <v>749</v>
      </c>
      <c r="B46" s="2851"/>
      <c r="C46" s="2433">
        <f>(C43+C44)*3</f>
        <v>0</v>
      </c>
      <c r="D46" s="2434">
        <f t="shared" ref="D46:CL46" si="146">(D43+D44)*3</f>
        <v>0</v>
      </c>
      <c r="E46" s="2346">
        <f t="shared" si="146"/>
        <v>0</v>
      </c>
      <c r="F46" s="2457">
        <f t="shared" ref="F46" si="147">(F43+F44)*3</f>
        <v>0</v>
      </c>
      <c r="G46" s="1796">
        <f t="shared" si="146"/>
        <v>0</v>
      </c>
      <c r="H46" s="1796">
        <f t="shared" si="146"/>
        <v>0</v>
      </c>
      <c r="I46" s="1796">
        <f t="shared" ref="I46" si="148">(I43+I44)*3</f>
        <v>0</v>
      </c>
      <c r="J46" s="1796">
        <f t="shared" si="146"/>
        <v>0</v>
      </c>
      <c r="K46" s="1796">
        <f t="shared" si="146"/>
        <v>0</v>
      </c>
      <c r="L46" s="1796">
        <f t="shared" si="146"/>
        <v>0</v>
      </c>
      <c r="M46" s="1796">
        <f t="shared" si="146"/>
        <v>0</v>
      </c>
      <c r="N46" s="1796">
        <f t="shared" si="146"/>
        <v>0</v>
      </c>
      <c r="O46" s="1796">
        <f t="shared" si="146"/>
        <v>0</v>
      </c>
      <c r="P46" s="1796">
        <f t="shared" si="146"/>
        <v>0</v>
      </c>
      <c r="Q46" s="1796">
        <f t="shared" si="146"/>
        <v>0</v>
      </c>
      <c r="R46" s="1796">
        <f t="shared" si="146"/>
        <v>0</v>
      </c>
      <c r="S46" s="1796">
        <f t="shared" si="146"/>
        <v>0</v>
      </c>
      <c r="T46" s="1796">
        <f t="shared" si="146"/>
        <v>0</v>
      </c>
      <c r="U46" s="1798">
        <f t="shared" si="146"/>
        <v>0</v>
      </c>
      <c r="V46" s="1799">
        <f t="shared" si="146"/>
        <v>0</v>
      </c>
      <c r="W46" s="1798">
        <f t="shared" si="146"/>
        <v>0</v>
      </c>
      <c r="X46" s="2478">
        <f t="shared" si="146"/>
        <v>0</v>
      </c>
      <c r="Y46" s="2457">
        <f t="shared" ref="Y46" si="149">(Y43+Y44)*3</f>
        <v>0</v>
      </c>
      <c r="Z46" s="1800">
        <f t="shared" si="146"/>
        <v>0</v>
      </c>
      <c r="AA46" s="1797">
        <f t="shared" si="146"/>
        <v>0</v>
      </c>
      <c r="AB46" s="1796">
        <f t="shared" si="146"/>
        <v>0</v>
      </c>
      <c r="AC46" s="1796">
        <f t="shared" si="146"/>
        <v>0</v>
      </c>
      <c r="AD46" s="1796">
        <f t="shared" si="146"/>
        <v>0</v>
      </c>
      <c r="AE46" s="1796">
        <f t="shared" ref="AE46" si="150">(AE43+AE44)*3</f>
        <v>0</v>
      </c>
      <c r="AF46" s="1796">
        <f t="shared" si="146"/>
        <v>0</v>
      </c>
      <c r="AG46" s="1796">
        <f t="shared" si="146"/>
        <v>0</v>
      </c>
      <c r="AH46" s="1796">
        <f t="shared" si="146"/>
        <v>0</v>
      </c>
      <c r="AI46" s="1796">
        <f t="shared" si="146"/>
        <v>0</v>
      </c>
      <c r="AJ46" s="1796">
        <f t="shared" si="146"/>
        <v>0</v>
      </c>
      <c r="AK46" s="1796">
        <f t="shared" ref="AK46:AN46" si="151">(AK43+AK44)*3</f>
        <v>0</v>
      </c>
      <c r="AL46" s="1796">
        <f t="shared" si="151"/>
        <v>0</v>
      </c>
      <c r="AM46" s="1796">
        <f t="shared" si="151"/>
        <v>0</v>
      </c>
      <c r="AN46" s="1796">
        <f t="shared" si="151"/>
        <v>0</v>
      </c>
      <c r="AO46" s="1796">
        <f t="shared" ref="AO46:AY46" si="152">(AO43+AO44)*3</f>
        <v>0</v>
      </c>
      <c r="AP46" s="1796">
        <f t="shared" si="152"/>
        <v>0</v>
      </c>
      <c r="AQ46" s="1800">
        <f t="shared" si="152"/>
        <v>0</v>
      </c>
      <c r="AR46" s="2478">
        <f t="shared" si="152"/>
        <v>0</v>
      </c>
      <c r="AS46" s="2457">
        <f t="shared" si="152"/>
        <v>0</v>
      </c>
      <c r="AT46" s="2457">
        <f t="shared" si="152"/>
        <v>0</v>
      </c>
      <c r="AU46" s="2517">
        <f t="shared" si="152"/>
        <v>0</v>
      </c>
      <c r="AV46" s="2346">
        <f t="shared" si="152"/>
        <v>0</v>
      </c>
      <c r="AW46" s="2457">
        <f t="shared" si="152"/>
        <v>0</v>
      </c>
      <c r="AX46" s="2457">
        <f t="shared" si="152"/>
        <v>0</v>
      </c>
      <c r="AY46" s="2517">
        <f t="shared" si="152"/>
        <v>0</v>
      </c>
      <c r="AZ46" s="1799">
        <f t="shared" si="146"/>
        <v>0</v>
      </c>
      <c r="BA46" s="1798">
        <f t="shared" si="146"/>
        <v>0</v>
      </c>
      <c r="BB46" s="2478">
        <f t="shared" si="146"/>
        <v>0</v>
      </c>
      <c r="BC46" s="2346">
        <f t="shared" ref="BC46" si="153">(BC43+BC44)*3</f>
        <v>0</v>
      </c>
      <c r="BD46" s="1796">
        <f t="shared" si="146"/>
        <v>0</v>
      </c>
      <c r="BE46" s="1796">
        <f t="shared" si="146"/>
        <v>0</v>
      </c>
      <c r="BF46" s="1796">
        <f t="shared" si="146"/>
        <v>0</v>
      </c>
      <c r="BG46" s="1796">
        <f t="shared" si="146"/>
        <v>0</v>
      </c>
      <c r="BH46" s="1796">
        <f t="shared" si="146"/>
        <v>0</v>
      </c>
      <c r="BI46" s="1796">
        <f t="shared" si="146"/>
        <v>0</v>
      </c>
      <c r="BJ46" s="1796">
        <f t="shared" si="146"/>
        <v>0</v>
      </c>
      <c r="BK46" s="1796">
        <f t="shared" si="146"/>
        <v>0</v>
      </c>
      <c r="BL46" s="1798">
        <f t="shared" si="146"/>
        <v>0</v>
      </c>
      <c r="BM46" s="1797">
        <f t="shared" si="146"/>
        <v>0</v>
      </c>
      <c r="BN46" s="1798">
        <f t="shared" si="146"/>
        <v>0</v>
      </c>
      <c r="BO46" s="1797">
        <f t="shared" si="146"/>
        <v>0</v>
      </c>
      <c r="BP46" s="1796">
        <f t="shared" si="146"/>
        <v>0</v>
      </c>
      <c r="BQ46" s="1796">
        <f t="shared" si="146"/>
        <v>0</v>
      </c>
      <c r="BR46" s="1796">
        <f t="shared" si="146"/>
        <v>0</v>
      </c>
      <c r="BS46" s="1796">
        <f t="shared" si="146"/>
        <v>0</v>
      </c>
      <c r="BT46" s="1796">
        <f t="shared" si="146"/>
        <v>0</v>
      </c>
      <c r="BU46" s="1796">
        <f t="shared" si="146"/>
        <v>0</v>
      </c>
      <c r="BV46" s="1796">
        <f t="shared" si="146"/>
        <v>0</v>
      </c>
      <c r="BW46" s="1796">
        <f t="shared" si="146"/>
        <v>0</v>
      </c>
      <c r="BX46" s="1798">
        <f t="shared" si="146"/>
        <v>0</v>
      </c>
      <c r="BY46" s="1797">
        <f t="shared" si="146"/>
        <v>0</v>
      </c>
      <c r="BZ46" s="1798">
        <f t="shared" si="146"/>
        <v>0</v>
      </c>
      <c r="CA46" s="1797">
        <f t="shared" si="146"/>
        <v>0</v>
      </c>
      <c r="CB46" s="1796">
        <f t="shared" si="146"/>
        <v>0</v>
      </c>
      <c r="CC46" s="1796">
        <f t="shared" si="146"/>
        <v>0</v>
      </c>
      <c r="CD46" s="1796">
        <f t="shared" ref="CD46" si="154">(CD43+CD44)*3</f>
        <v>0</v>
      </c>
      <c r="CE46" s="1796">
        <f t="shared" si="146"/>
        <v>0</v>
      </c>
      <c r="CF46" s="1796">
        <f t="shared" ref="CF46:CG46" si="155">(CF43+CF44)*3</f>
        <v>0</v>
      </c>
      <c r="CG46" s="1796">
        <f t="shared" si="155"/>
        <v>0</v>
      </c>
      <c r="CH46" s="1798">
        <f t="shared" si="146"/>
        <v>0</v>
      </c>
      <c r="CI46" s="1797">
        <f t="shared" si="146"/>
        <v>0</v>
      </c>
      <c r="CJ46" s="1798">
        <f t="shared" si="146"/>
        <v>0</v>
      </c>
      <c r="CK46" s="1797">
        <f t="shared" si="146"/>
        <v>0</v>
      </c>
      <c r="CL46" s="1796">
        <f t="shared" si="146"/>
        <v>0</v>
      </c>
      <c r="CM46" s="1796">
        <f t="shared" ref="CM46:DD46" si="156">(CM43+CM44)*3</f>
        <v>0</v>
      </c>
      <c r="CN46" s="1796">
        <f t="shared" si="156"/>
        <v>0</v>
      </c>
      <c r="CO46" s="1796">
        <f t="shared" si="156"/>
        <v>0</v>
      </c>
      <c r="CP46" s="1796">
        <f t="shared" si="156"/>
        <v>0</v>
      </c>
      <c r="CQ46" s="1796">
        <f t="shared" si="156"/>
        <v>0</v>
      </c>
      <c r="CR46" s="1796">
        <f t="shared" si="156"/>
        <v>0</v>
      </c>
      <c r="CS46" s="1796">
        <f t="shared" si="156"/>
        <v>0</v>
      </c>
      <c r="CT46" s="1796">
        <f t="shared" si="156"/>
        <v>0</v>
      </c>
      <c r="CU46" s="1798">
        <f t="shared" si="156"/>
        <v>0</v>
      </c>
      <c r="CV46" s="1797">
        <f t="shared" si="156"/>
        <v>0</v>
      </c>
      <c r="CW46" s="1798">
        <f t="shared" si="156"/>
        <v>0</v>
      </c>
      <c r="CX46" s="1797">
        <f t="shared" si="156"/>
        <v>0</v>
      </c>
      <c r="CY46" s="1796">
        <f t="shared" si="156"/>
        <v>0</v>
      </c>
      <c r="CZ46" s="1796">
        <f t="shared" si="156"/>
        <v>0</v>
      </c>
      <c r="DA46" s="1796">
        <f t="shared" si="156"/>
        <v>0</v>
      </c>
      <c r="DB46" s="1798">
        <f t="shared" si="156"/>
        <v>0</v>
      </c>
      <c r="DC46" s="1797">
        <f t="shared" si="156"/>
        <v>0</v>
      </c>
      <c r="DD46" s="1798">
        <f t="shared" si="156"/>
        <v>0</v>
      </c>
    </row>
    <row r="47" spans="1:119" ht="24" customHeight="1" thickBot="1">
      <c r="A47" s="2850" t="s">
        <v>580</v>
      </c>
      <c r="B47" s="2851"/>
      <c r="C47" s="2433">
        <f t="shared" ref="C47:U47" si="157">ATP/3*((C24&gt;=9/37)+(C24&gt;=18/37)+(C24&gt;=27/37))</f>
        <v>0</v>
      </c>
      <c r="D47" s="2435">
        <f t="shared" si="157"/>
        <v>0</v>
      </c>
      <c r="E47" s="2346">
        <f t="shared" si="157"/>
        <v>0</v>
      </c>
      <c r="F47" s="2457">
        <f t="shared" ref="F47" si="158">ATP/3*((F24&gt;=9/37)+(F24&gt;=18/37)+(F24&gt;=27/37))</f>
        <v>0</v>
      </c>
      <c r="G47" s="1796">
        <f t="shared" si="157"/>
        <v>0</v>
      </c>
      <c r="H47" s="1796">
        <f t="shared" si="157"/>
        <v>0</v>
      </c>
      <c r="I47" s="1796">
        <f t="shared" ref="I47" si="159">ATP/3*((I24&gt;=9/37)+(I24&gt;=18/37)+(I24&gt;=27/37))</f>
        <v>0</v>
      </c>
      <c r="J47" s="1796">
        <f t="shared" si="157"/>
        <v>0</v>
      </c>
      <c r="K47" s="1796">
        <f t="shared" si="157"/>
        <v>0</v>
      </c>
      <c r="L47" s="1796">
        <f t="shared" si="157"/>
        <v>0</v>
      </c>
      <c r="M47" s="1796">
        <f t="shared" si="157"/>
        <v>0</v>
      </c>
      <c r="N47" s="1796">
        <f t="shared" si="157"/>
        <v>0</v>
      </c>
      <c r="O47" s="1796">
        <f t="shared" si="157"/>
        <v>0</v>
      </c>
      <c r="P47" s="1796">
        <f t="shared" si="157"/>
        <v>0</v>
      </c>
      <c r="Q47" s="1796">
        <f t="shared" si="157"/>
        <v>0</v>
      </c>
      <c r="R47" s="1796">
        <f t="shared" si="157"/>
        <v>0</v>
      </c>
      <c r="S47" s="1796">
        <f t="shared" si="157"/>
        <v>0</v>
      </c>
      <c r="T47" s="1796">
        <f t="shared" si="157"/>
        <v>0</v>
      </c>
      <c r="U47" s="1798">
        <f t="shared" si="157"/>
        <v>0</v>
      </c>
      <c r="V47" s="1799">
        <f>SatsBilag!$B$14*'Lon pæd., TAP mm'!V10</f>
        <v>0</v>
      </c>
      <c r="W47" s="1798">
        <f>SatsBilag!$B$14*'Lon pæd., TAP mm'!W10</f>
        <v>0</v>
      </c>
      <c r="X47" s="2478">
        <f t="shared" ref="X47:AJ47" si="160">ATP/3*((X24&gt;=9/37)+(X24&gt;=18/37)+(X24&gt;=27/37))</f>
        <v>0</v>
      </c>
      <c r="Y47" s="2457">
        <f t="shared" ref="Y47" si="161">ATP/3*((Y24&gt;=9/37)+(Y24&gt;=18/37)+(Y24&gt;=27/37))</f>
        <v>0</v>
      </c>
      <c r="Z47" s="1800">
        <f t="shared" si="160"/>
        <v>0</v>
      </c>
      <c r="AA47" s="1797">
        <f t="shared" si="160"/>
        <v>0</v>
      </c>
      <c r="AB47" s="1796">
        <f t="shared" si="160"/>
        <v>0</v>
      </c>
      <c r="AC47" s="1796">
        <f t="shared" si="160"/>
        <v>0</v>
      </c>
      <c r="AD47" s="1796">
        <f t="shared" si="160"/>
        <v>0</v>
      </c>
      <c r="AE47" s="1796">
        <f t="shared" ref="AE47" si="162">ATP/3*((AE24&gt;=9/37)+(AE24&gt;=18/37)+(AE24&gt;=27/37))</f>
        <v>0</v>
      </c>
      <c r="AF47" s="1796">
        <f t="shared" si="160"/>
        <v>0</v>
      </c>
      <c r="AG47" s="1796">
        <f t="shared" si="160"/>
        <v>0</v>
      </c>
      <c r="AH47" s="1796">
        <f t="shared" si="160"/>
        <v>0</v>
      </c>
      <c r="AI47" s="1796">
        <f t="shared" si="160"/>
        <v>0</v>
      </c>
      <c r="AJ47" s="1796">
        <f t="shared" si="160"/>
        <v>0</v>
      </c>
      <c r="AK47" s="1796">
        <f t="shared" ref="AK47:AN47" si="163">ATP/3*((AK24&gt;=9/37)+(AK24&gt;=18/37)+(AK24&gt;=27/37))</f>
        <v>0</v>
      </c>
      <c r="AL47" s="1796">
        <f t="shared" si="163"/>
        <v>0</v>
      </c>
      <c r="AM47" s="1796">
        <f t="shared" si="163"/>
        <v>0</v>
      </c>
      <c r="AN47" s="1796">
        <f t="shared" si="163"/>
        <v>0</v>
      </c>
      <c r="AO47" s="1796">
        <f t="shared" ref="AO47:AQ47" si="164">ATP/3*((AO24&gt;=9/37)+(AO24&gt;=18/37)+(AO24&gt;=27/37))</f>
        <v>0</v>
      </c>
      <c r="AP47" s="1796">
        <f t="shared" si="164"/>
        <v>0</v>
      </c>
      <c r="AQ47" s="1800">
        <f t="shared" si="164"/>
        <v>0</v>
      </c>
      <c r="AR47" s="2478">
        <f t="shared" ref="AR47:AU47" si="165">ATP/3*((AR24&gt;=9/37)+(AR24&gt;=18/37)+(AR24&gt;=27/37))</f>
        <v>0</v>
      </c>
      <c r="AS47" s="2457">
        <f t="shared" si="165"/>
        <v>0</v>
      </c>
      <c r="AT47" s="2457">
        <f t="shared" ref="AT47" si="166">ATP/3*((AT24&gt;=9/37)+(AT24&gt;=18/37)+(AT24&gt;=27/37))</f>
        <v>0</v>
      </c>
      <c r="AU47" s="2517">
        <f t="shared" si="165"/>
        <v>0</v>
      </c>
      <c r="AV47" s="2346">
        <f t="shared" ref="AV47:AW47" si="167">ATP/3*((AV24&gt;=9/37)+(AV24&gt;=18/37)+(AV24&gt;=27/37))</f>
        <v>0</v>
      </c>
      <c r="AW47" s="2457">
        <f t="shared" si="167"/>
        <v>0</v>
      </c>
      <c r="AX47" s="2457">
        <f t="shared" ref="AX47" si="168">ATP/3*((AX24&gt;=9/37)+(AX24&gt;=18/37)+(AX24&gt;=27/37))</f>
        <v>0</v>
      </c>
      <c r="AY47" s="2517">
        <f t="shared" ref="AY47" si="169">ATP/3*((AY24&gt;=9/37)+(AY24&gt;=18/37)+(AY24&gt;=27/37))</f>
        <v>0</v>
      </c>
      <c r="AZ47" s="1799">
        <f>SatsBilag!$B$14*'Lon pæd., TAP mm'!AZ10</f>
        <v>0</v>
      </c>
      <c r="BA47" s="1798">
        <f>SatsBilag!$B$14*'Lon pæd., TAP mm'!BA10</f>
        <v>0</v>
      </c>
      <c r="BB47" s="2478">
        <f t="shared" ref="BB47:BL47" si="170">ATP/3*((BB24&gt;=9/37)+(BB24&gt;=18/37)+(BB24&gt;=27/37))</f>
        <v>0</v>
      </c>
      <c r="BC47" s="2346">
        <f t="shared" ref="BC47" si="171">ATP/3*((BC24&gt;=9/37)+(BC24&gt;=18/37)+(BC24&gt;=27/37))</f>
        <v>0</v>
      </c>
      <c r="BD47" s="1796">
        <f t="shared" si="170"/>
        <v>0</v>
      </c>
      <c r="BE47" s="1796">
        <f t="shared" si="170"/>
        <v>0</v>
      </c>
      <c r="BF47" s="1796">
        <f t="shared" si="170"/>
        <v>0</v>
      </c>
      <c r="BG47" s="1796">
        <f t="shared" si="170"/>
        <v>0</v>
      </c>
      <c r="BH47" s="1796">
        <f t="shared" si="170"/>
        <v>0</v>
      </c>
      <c r="BI47" s="1796">
        <f t="shared" si="170"/>
        <v>0</v>
      </c>
      <c r="BJ47" s="1796">
        <f t="shared" si="170"/>
        <v>0</v>
      </c>
      <c r="BK47" s="1796">
        <f t="shared" si="170"/>
        <v>0</v>
      </c>
      <c r="BL47" s="1798">
        <f t="shared" si="170"/>
        <v>0</v>
      </c>
      <c r="BM47" s="1797">
        <f>SatsBilag!$B$14*'Lon pæd., TAP mm'!BM10</f>
        <v>0</v>
      </c>
      <c r="BN47" s="1798">
        <f>SatsBilag!$B$14*'Lon pæd., TAP mm'!BN10</f>
        <v>0</v>
      </c>
      <c r="BO47" s="1797">
        <f t="shared" ref="BO47:BX47" si="172">ATP/3*((BO24&gt;=9/37)+(BO24&gt;=18/37)+(BO24&gt;=27/37))</f>
        <v>0</v>
      </c>
      <c r="BP47" s="1796">
        <f t="shared" si="172"/>
        <v>0</v>
      </c>
      <c r="BQ47" s="1796">
        <f t="shared" si="172"/>
        <v>0</v>
      </c>
      <c r="BR47" s="1796">
        <f t="shared" si="172"/>
        <v>0</v>
      </c>
      <c r="BS47" s="1796">
        <f t="shared" si="172"/>
        <v>0</v>
      </c>
      <c r="BT47" s="1796">
        <f t="shared" si="172"/>
        <v>0</v>
      </c>
      <c r="BU47" s="1796">
        <f t="shared" si="172"/>
        <v>0</v>
      </c>
      <c r="BV47" s="1796">
        <f t="shared" si="172"/>
        <v>0</v>
      </c>
      <c r="BW47" s="1796">
        <f t="shared" si="172"/>
        <v>0</v>
      </c>
      <c r="BX47" s="1798">
        <f t="shared" si="172"/>
        <v>0</v>
      </c>
      <c r="BY47" s="1797">
        <f>SatsBilag!$B$14*'Lon pæd., TAP mm'!BY10</f>
        <v>0</v>
      </c>
      <c r="BZ47" s="1798">
        <f>SatsBilag!$B$14*'Lon pæd., TAP mm'!BZ10</f>
        <v>0</v>
      </c>
      <c r="CA47" s="1799">
        <f t="shared" ref="CA47:CH47" si="173">ATP/3*((CA24&gt;=9/37)+(CA24&gt;=18/37)+(CA24&gt;=27/37))</f>
        <v>0</v>
      </c>
      <c r="CB47" s="1796">
        <f t="shared" si="173"/>
        <v>0</v>
      </c>
      <c r="CC47" s="1796">
        <f t="shared" si="173"/>
        <v>0</v>
      </c>
      <c r="CD47" s="1796">
        <f t="shared" si="173"/>
        <v>0</v>
      </c>
      <c r="CE47" s="1796">
        <f t="shared" si="173"/>
        <v>0</v>
      </c>
      <c r="CF47" s="1796">
        <f t="shared" si="173"/>
        <v>0</v>
      </c>
      <c r="CG47" s="1796">
        <f t="shared" si="173"/>
        <v>0</v>
      </c>
      <c r="CH47" s="1796">
        <f t="shared" si="173"/>
        <v>0</v>
      </c>
      <c r="CI47" s="1797">
        <f>SatsBilag!$B$14*'Lon pæd., TAP mm'!CI10</f>
        <v>0</v>
      </c>
      <c r="CJ47" s="1798">
        <f>SatsBilag!$B$14*'Lon pæd., TAP mm'!CJ10</f>
        <v>0</v>
      </c>
      <c r="CK47" s="1799">
        <f t="shared" ref="CK47:CU47" si="174">ATP/3*((CK24&gt;=9/37)+(CK24&gt;=18/37)+(CK24&gt;=27/37))</f>
        <v>0</v>
      </c>
      <c r="CL47" s="1796">
        <f t="shared" si="174"/>
        <v>0</v>
      </c>
      <c r="CM47" s="1796">
        <f t="shared" si="174"/>
        <v>0</v>
      </c>
      <c r="CN47" s="1796">
        <f t="shared" si="174"/>
        <v>0</v>
      </c>
      <c r="CO47" s="1796">
        <f t="shared" si="174"/>
        <v>0</v>
      </c>
      <c r="CP47" s="1796">
        <f t="shared" si="174"/>
        <v>0</v>
      </c>
      <c r="CQ47" s="1796">
        <f t="shared" si="174"/>
        <v>0</v>
      </c>
      <c r="CR47" s="1796">
        <f t="shared" si="174"/>
        <v>0</v>
      </c>
      <c r="CS47" s="1796">
        <f t="shared" si="174"/>
        <v>0</v>
      </c>
      <c r="CT47" s="1796">
        <f t="shared" si="174"/>
        <v>0</v>
      </c>
      <c r="CU47" s="1796">
        <f t="shared" si="174"/>
        <v>0</v>
      </c>
      <c r="CV47" s="1797">
        <f>SatsBilag!$B$14*'Lon pæd., TAP mm'!CV10</f>
        <v>0</v>
      </c>
      <c r="CW47" s="1798">
        <f>SatsBilag!$B$14*'Lon pæd., TAP mm'!CW10</f>
        <v>0</v>
      </c>
      <c r="CX47" s="1799">
        <f>ATP/3*((CX24&gt;=9/37)+(CX24&gt;=18/37)+(CX24&gt;=27/37))</f>
        <v>0</v>
      </c>
      <c r="CY47" s="1796">
        <f>ATP/3*((CY24&gt;=9/37)+(CY24&gt;=18/37)+(CY24&gt;=27/37))</f>
        <v>0</v>
      </c>
      <c r="CZ47" s="1796">
        <f>ATP/3*((CZ24&gt;=9/37)+(CZ24&gt;=18/37)+(CZ24&gt;=27/37))</f>
        <v>0</v>
      </c>
      <c r="DA47" s="1796">
        <f>ATP/3*((DA24&gt;=9/37)+(DA24&gt;=18/37)+(DA24&gt;=27/37))</f>
        <v>0</v>
      </c>
      <c r="DB47" s="1796">
        <f>ATP/3*((DB24&gt;=9/37)+(DB24&gt;=18/37)+(DB24&gt;=27/37))</f>
        <v>0</v>
      </c>
      <c r="DC47" s="1797">
        <f>SatsBilag!$B$14*'Lon pæd., TAP mm'!DC10</f>
        <v>0</v>
      </c>
      <c r="DD47" s="1798">
        <f>SatsBilag!$B$14*'Lon pæd., TAP mm'!DD10</f>
        <v>0</v>
      </c>
      <c r="DE47" s="63" t="s">
        <v>750</v>
      </c>
    </row>
    <row r="48" spans="1:119" ht="24" customHeight="1" thickBot="1">
      <c r="A48" s="2850" t="s">
        <v>582</v>
      </c>
      <c r="B48" s="2851"/>
      <c r="C48" s="2433">
        <f t="shared" ref="C48" si="175">C45+(C46/3*2)+(C47*2/3)</f>
        <v>0</v>
      </c>
      <c r="D48" s="2434">
        <f t="shared" ref="D48" si="176">D45+(D46/3*2)+(D47*2/3)</f>
        <v>0</v>
      </c>
      <c r="E48" s="2346">
        <f t="shared" ref="E48:J48" si="177">E45+(E46/3*2)+(E47*2/3)</f>
        <v>0</v>
      </c>
      <c r="F48" s="2457">
        <f t="shared" ref="F48" si="178">F45+(F46/3*2)+(F47*2/3)</f>
        <v>0</v>
      </c>
      <c r="G48" s="1796">
        <f t="shared" si="177"/>
        <v>0</v>
      </c>
      <c r="H48" s="1796">
        <f t="shared" si="177"/>
        <v>0</v>
      </c>
      <c r="I48" s="1796">
        <f t="shared" ref="I48" si="179">I45+(I46/3*2)+(I47*2/3)</f>
        <v>0</v>
      </c>
      <c r="J48" s="1796">
        <f t="shared" si="177"/>
        <v>0</v>
      </c>
      <c r="K48" s="1796">
        <f t="shared" ref="K48" si="180">K45+(K46/3*2)+(K47*2/3)</f>
        <v>0</v>
      </c>
      <c r="L48" s="1796">
        <f t="shared" ref="L48" si="181">L45+(L46/3*2)+(L47*2/3)</f>
        <v>0</v>
      </c>
      <c r="M48" s="1796">
        <f t="shared" ref="M48" si="182">M45+(M46/3*2)+(M47*2/3)</f>
        <v>0</v>
      </c>
      <c r="N48" s="1796">
        <f t="shared" ref="N48" si="183">N45+(N46/3*2)+(N47*2/3)</f>
        <v>0</v>
      </c>
      <c r="O48" s="1796">
        <f t="shared" ref="O48" si="184">O45+(O46/3*2)+(O47*2/3)</f>
        <v>0</v>
      </c>
      <c r="P48" s="1796">
        <f t="shared" ref="P48" si="185">P45+(P46/3*2)+(P47*2/3)</f>
        <v>0</v>
      </c>
      <c r="Q48" s="1796">
        <f t="shared" ref="Q48" si="186">Q45+(Q46/3*2)+(Q47*2/3)</f>
        <v>0</v>
      </c>
      <c r="R48" s="1796">
        <f t="shared" ref="R48" si="187">R45+(R46/3*2)+(R47*2/3)</f>
        <v>0</v>
      </c>
      <c r="S48" s="1796">
        <f t="shared" ref="S48" si="188">S45+(S46/3*2)+(S47*2/3)</f>
        <v>0</v>
      </c>
      <c r="T48" s="1796">
        <f t="shared" ref="T48" si="189">T45+(T46/3*2)+(T47*2/3)</f>
        <v>0</v>
      </c>
      <c r="U48" s="1798">
        <f t="shared" ref="U48" si="190">U45+(U46/3*2)+(U47*2/3)</f>
        <v>0</v>
      </c>
      <c r="V48" s="1799">
        <f t="shared" ref="V48:CJ48" si="191">V42+V46+V47*2/3</f>
        <v>0</v>
      </c>
      <c r="W48" s="1798">
        <f t="shared" si="191"/>
        <v>0</v>
      </c>
      <c r="X48" s="2478">
        <f t="shared" ref="X48:Y48" si="192">X45+(X46/3*2)+(X47*2/3)</f>
        <v>0</v>
      </c>
      <c r="Y48" s="2457">
        <f t="shared" si="192"/>
        <v>0</v>
      </c>
      <c r="Z48" s="1800">
        <f t="shared" ref="Z48" si="193">Z45+(Z46/3*2)+(Z47*2/3)</f>
        <v>0</v>
      </c>
      <c r="AA48" s="1797">
        <f t="shared" ref="AA48" si="194">AA45+(AA46/3*2)+(AA47*2/3)</f>
        <v>0</v>
      </c>
      <c r="AB48" s="1796">
        <f t="shared" ref="AB48" si="195">AB45+(AB46/3*2)+(AB47*2/3)</f>
        <v>0</v>
      </c>
      <c r="AC48" s="1796">
        <f t="shared" ref="AC48" si="196">AC45+(AC46/3*2)+(AC47*2/3)</f>
        <v>0</v>
      </c>
      <c r="AD48" s="1796">
        <f t="shared" ref="AD48:AE48" si="197">AD45+(AD46/3*2)+(AD47*2/3)</f>
        <v>0</v>
      </c>
      <c r="AE48" s="1796">
        <f t="shared" si="197"/>
        <v>0</v>
      </c>
      <c r="AF48" s="1796">
        <f t="shared" ref="AF48" si="198">AF45+(AF46/3*2)+(AF47*2/3)</f>
        <v>0</v>
      </c>
      <c r="AG48" s="1796">
        <f t="shared" ref="AG48" si="199">AG45+(AG46/3*2)+(AG47*2/3)</f>
        <v>0</v>
      </c>
      <c r="AH48" s="1796">
        <f t="shared" ref="AH48" si="200">AH45+(AH46/3*2)+(AH47*2/3)</f>
        <v>0</v>
      </c>
      <c r="AI48" s="1796">
        <f t="shared" ref="AI48" si="201">AI45+(AI46/3*2)+(AI47*2/3)</f>
        <v>0</v>
      </c>
      <c r="AJ48" s="1796">
        <f t="shared" ref="AJ48:AM48" si="202">AJ45+(AJ46/3*2)+(AJ47*2/3)</f>
        <v>0</v>
      </c>
      <c r="AK48" s="1796">
        <f t="shared" si="202"/>
        <v>0</v>
      </c>
      <c r="AL48" s="1796">
        <f t="shared" si="202"/>
        <v>0</v>
      </c>
      <c r="AM48" s="1796">
        <f t="shared" si="202"/>
        <v>0</v>
      </c>
      <c r="AN48" s="1796">
        <f t="shared" ref="AN48:AY48" si="203">AN45+(AN46/3*2)+(AN47*2/3)</f>
        <v>0</v>
      </c>
      <c r="AO48" s="1796">
        <f t="shared" si="203"/>
        <v>0</v>
      </c>
      <c r="AP48" s="1796">
        <f t="shared" si="203"/>
        <v>0</v>
      </c>
      <c r="AQ48" s="1800">
        <f t="shared" si="203"/>
        <v>0</v>
      </c>
      <c r="AR48" s="2478">
        <f t="shared" si="203"/>
        <v>0</v>
      </c>
      <c r="AS48" s="2457">
        <f t="shared" si="203"/>
        <v>0</v>
      </c>
      <c r="AT48" s="2457">
        <f t="shared" si="203"/>
        <v>0</v>
      </c>
      <c r="AU48" s="2517">
        <f t="shared" si="203"/>
        <v>0</v>
      </c>
      <c r="AV48" s="2346">
        <f t="shared" si="203"/>
        <v>0</v>
      </c>
      <c r="AW48" s="2457">
        <f t="shared" si="203"/>
        <v>0</v>
      </c>
      <c r="AX48" s="2457">
        <f t="shared" si="203"/>
        <v>0</v>
      </c>
      <c r="AY48" s="2517">
        <f t="shared" si="203"/>
        <v>0</v>
      </c>
      <c r="AZ48" s="1799">
        <f t="shared" si="191"/>
        <v>0</v>
      </c>
      <c r="BA48" s="1798">
        <f t="shared" si="191"/>
        <v>0</v>
      </c>
      <c r="BB48" s="2478">
        <f t="shared" ref="BB48:BC48" si="204">BB45+(BB46/3*2)+(BB47*2/3)</f>
        <v>0</v>
      </c>
      <c r="BC48" s="2346">
        <f t="shared" si="204"/>
        <v>0</v>
      </c>
      <c r="BD48" s="1796">
        <f t="shared" ref="BD48" si="205">BD45+(BD46/3*2)+(BD47*2/3)</f>
        <v>0</v>
      </c>
      <c r="BE48" s="1796">
        <f t="shared" ref="BE48" si="206">BE45+(BE46/3*2)+(BE47*2/3)</f>
        <v>0</v>
      </c>
      <c r="BF48" s="1796">
        <f t="shared" ref="BF48" si="207">BF45+(BF46/3*2)+(BF47*2/3)</f>
        <v>0</v>
      </c>
      <c r="BG48" s="1796">
        <f t="shared" ref="BG48" si="208">BG45+(BG46/3*2)+(BG47*2/3)</f>
        <v>0</v>
      </c>
      <c r="BH48" s="1796">
        <f t="shared" ref="BH48" si="209">BH45+(BH46/3*2)+(BH47*2/3)</f>
        <v>0</v>
      </c>
      <c r="BI48" s="1796">
        <f t="shared" ref="BI48" si="210">BI45+(BI46/3*2)+(BI47*2/3)</f>
        <v>0</v>
      </c>
      <c r="BJ48" s="1796">
        <f t="shared" ref="BJ48" si="211">BJ45+(BJ46/3*2)+(BJ47*2/3)</f>
        <v>0</v>
      </c>
      <c r="BK48" s="1796">
        <f t="shared" ref="BK48" si="212">BK45+(BK46/3*2)+(BK47*2/3)</f>
        <v>0</v>
      </c>
      <c r="BL48" s="1798">
        <f t="shared" ref="BL48" si="213">BL45+(BL46/3*2)+(BL47*2/3)</f>
        <v>0</v>
      </c>
      <c r="BM48" s="1797">
        <f t="shared" si="191"/>
        <v>0</v>
      </c>
      <c r="BN48" s="1798">
        <f t="shared" si="191"/>
        <v>0</v>
      </c>
      <c r="BO48" s="1797">
        <f t="shared" ref="BO48" si="214">BO45+(BO46/3*2)+(BO47*2/3)</f>
        <v>0</v>
      </c>
      <c r="BP48" s="1796">
        <f t="shared" ref="BP48" si="215">BP45+(BP46/3*2)+(BP47*2/3)</f>
        <v>0</v>
      </c>
      <c r="BQ48" s="1796">
        <f t="shared" ref="BQ48" si="216">BQ45+(BQ46/3*2)+(BQ47*2/3)</f>
        <v>0</v>
      </c>
      <c r="BR48" s="1796">
        <f t="shared" ref="BR48" si="217">BR45+(BR46/3*2)+(BR47*2/3)</f>
        <v>0</v>
      </c>
      <c r="BS48" s="1796">
        <f t="shared" ref="BS48" si="218">BS45+(BS46/3*2)+(BS47*2/3)</f>
        <v>0</v>
      </c>
      <c r="BT48" s="1796">
        <f t="shared" ref="BT48" si="219">BT45+(BT46/3*2)+(BT47*2/3)</f>
        <v>0</v>
      </c>
      <c r="BU48" s="1796">
        <f t="shared" ref="BU48" si="220">BU45+(BU46/3*2)+(BU47*2/3)</f>
        <v>0</v>
      </c>
      <c r="BV48" s="1796">
        <f>BV45+(BV46/3*2)+(BV47*2/3)</f>
        <v>0</v>
      </c>
      <c r="BW48" s="1796">
        <f t="shared" ref="BW48" si="221">BW45+(BW46/3*2)+(BW47*2/3)</f>
        <v>0</v>
      </c>
      <c r="BX48" s="1798">
        <f t="shared" ref="BX48" si="222">BX45+(BX46/3*2)+(BX47*2/3)</f>
        <v>0</v>
      </c>
      <c r="BY48" s="1797">
        <f t="shared" si="191"/>
        <v>0</v>
      </c>
      <c r="BZ48" s="1798">
        <f t="shared" si="191"/>
        <v>0</v>
      </c>
      <c r="CA48" s="1797">
        <f t="shared" ref="CA48" si="223">CA45+(CA46/3*2)+(CA47*2/3)</f>
        <v>0</v>
      </c>
      <c r="CB48" s="1796">
        <f t="shared" ref="CB48" si="224">CB45+(CB46/3*2)+(CB47*2/3)</f>
        <v>0</v>
      </c>
      <c r="CC48" s="1796">
        <f t="shared" ref="CC48:CG48" si="225">CC45+(CC46/3*2)+(CC47*2/3)</f>
        <v>0</v>
      </c>
      <c r="CD48" s="1796">
        <f t="shared" si="225"/>
        <v>0</v>
      </c>
      <c r="CE48" s="1796">
        <f t="shared" ref="CE48:CF48" si="226">CE45+(CE46/3*2)+(CE47*2/3)</f>
        <v>0</v>
      </c>
      <c r="CF48" s="1796">
        <f t="shared" si="226"/>
        <v>0</v>
      </c>
      <c r="CG48" s="1796">
        <f t="shared" si="225"/>
        <v>0</v>
      </c>
      <c r="CH48" s="1798">
        <f t="shared" ref="CH48" si="227">CH45+(CH46/3*2)+(CH47*2/3)</f>
        <v>0</v>
      </c>
      <c r="CI48" s="1797">
        <f t="shared" si="191"/>
        <v>0</v>
      </c>
      <c r="CJ48" s="1798">
        <f t="shared" si="191"/>
        <v>0</v>
      </c>
      <c r="CK48" s="1797">
        <f>CK45+(CK46/3*2)+(CK47/3*2)</f>
        <v>0</v>
      </c>
      <c r="CL48" s="1796">
        <f t="shared" ref="CL48:CU48" si="228">CL45+(CL46/3*2)+(CL47*2/3)</f>
        <v>0</v>
      </c>
      <c r="CM48" s="1796">
        <f t="shared" si="228"/>
        <v>0</v>
      </c>
      <c r="CN48" s="1796">
        <f t="shared" si="228"/>
        <v>0</v>
      </c>
      <c r="CO48" s="1796">
        <f t="shared" si="228"/>
        <v>0</v>
      </c>
      <c r="CP48" s="1796">
        <f t="shared" si="228"/>
        <v>0</v>
      </c>
      <c r="CQ48" s="1796">
        <f t="shared" si="228"/>
        <v>0</v>
      </c>
      <c r="CR48" s="1796">
        <f t="shared" si="228"/>
        <v>0</v>
      </c>
      <c r="CS48" s="1796">
        <f t="shared" si="228"/>
        <v>0</v>
      </c>
      <c r="CT48" s="1796">
        <f t="shared" si="228"/>
        <v>0</v>
      </c>
      <c r="CU48" s="1798">
        <f t="shared" si="228"/>
        <v>0</v>
      </c>
      <c r="CV48" s="1797">
        <f t="shared" ref="CV48:DD48" si="229">CV42+CV46+CV47*2/3</f>
        <v>0</v>
      </c>
      <c r="CW48" s="1798">
        <f t="shared" si="229"/>
        <v>0</v>
      </c>
      <c r="CX48" s="1797">
        <f t="shared" ref="CX48" si="230">CX45+(CX46/3*2)+(CX47*2/3)</f>
        <v>0</v>
      </c>
      <c r="CY48" s="1796">
        <f t="shared" ref="CY48" si="231">CY45+(CY46/3*2)+(CY47*2/3)</f>
        <v>0</v>
      </c>
      <c r="CZ48" s="1796">
        <f t="shared" ref="CZ48" si="232">CZ45+(CZ46/3*2)+(CZ47*2/3)</f>
        <v>0</v>
      </c>
      <c r="DA48" s="1796">
        <f t="shared" ref="DA48" si="233">DA45+(DA46/3*2)+(DA47*2/3)</f>
        <v>0</v>
      </c>
      <c r="DB48" s="1798">
        <f t="shared" ref="DB48" si="234">DB45+(DB46/3*2)+(DB47*2/3)</f>
        <v>0</v>
      </c>
      <c r="DC48" s="1797">
        <f t="shared" si="229"/>
        <v>0</v>
      </c>
      <c r="DD48" s="1798">
        <f t="shared" si="229"/>
        <v>0</v>
      </c>
      <c r="DE48" s="1801" t="str">
        <f>ROUND(SUM(C48:CB48),0)&amp;" i alt pr. måned"</f>
        <v>0 i alt pr. måned</v>
      </c>
    </row>
    <row r="49" spans="1:134" ht="36" customHeight="1">
      <c r="A49" s="2956" t="s">
        <v>751</v>
      </c>
      <c r="B49" s="2956"/>
      <c r="C49" s="2430"/>
      <c r="D49" s="2431"/>
      <c r="E49" s="2391"/>
      <c r="F49" s="2456"/>
      <c r="G49" s="1785"/>
      <c r="H49" s="1785"/>
      <c r="I49" s="1785"/>
      <c r="J49" s="1785"/>
      <c r="K49" s="1785"/>
      <c r="L49" s="1785"/>
      <c r="M49" s="1785"/>
      <c r="N49" s="1785"/>
      <c r="O49" s="1785"/>
      <c r="P49" s="1785"/>
      <c r="Q49" s="1785"/>
      <c r="R49" s="1785"/>
      <c r="S49" s="1785"/>
      <c r="T49" s="1785"/>
      <c r="U49" s="1783"/>
      <c r="V49" s="1802"/>
      <c r="W49" s="1803"/>
      <c r="X49" s="2477"/>
      <c r="Y49" s="2456"/>
      <c r="Z49" s="1786"/>
      <c r="AA49" s="1784"/>
      <c r="AB49" s="1785"/>
      <c r="AC49" s="1785"/>
      <c r="AD49" s="1785"/>
      <c r="AE49" s="1785"/>
      <c r="AF49" s="1785"/>
      <c r="AG49" s="1785"/>
      <c r="AH49" s="1785"/>
      <c r="AI49" s="1785"/>
      <c r="AJ49" s="1785"/>
      <c r="AK49" s="1785"/>
      <c r="AL49" s="1785"/>
      <c r="AM49" s="1785"/>
      <c r="AN49" s="1785"/>
      <c r="AO49" s="1785"/>
      <c r="AP49" s="1785"/>
      <c r="AQ49" s="1786"/>
      <c r="AR49" s="2477"/>
      <c r="AS49" s="2456"/>
      <c r="AT49" s="2456"/>
      <c r="AU49" s="2516"/>
      <c r="AV49" s="2391"/>
      <c r="AW49" s="2456"/>
      <c r="AX49" s="2456"/>
      <c r="AY49" s="2516"/>
      <c r="AZ49" s="1802"/>
      <c r="BA49" s="1803"/>
      <c r="BB49" s="2477"/>
      <c r="BC49" s="2391"/>
      <c r="BD49" s="1785"/>
      <c r="BE49" s="1785"/>
      <c r="BF49" s="1785"/>
      <c r="BG49" s="1785"/>
      <c r="BH49" s="1785"/>
      <c r="BI49" s="1785"/>
      <c r="BJ49" s="1785"/>
      <c r="BK49" s="1785"/>
      <c r="BL49" s="1783"/>
      <c r="BM49" s="1804"/>
      <c r="BN49" s="1803"/>
      <c r="BO49" s="1784"/>
      <c r="BP49" s="1785"/>
      <c r="BQ49" s="1785"/>
      <c r="BR49" s="1785"/>
      <c r="BS49" s="1785"/>
      <c r="BT49" s="1785"/>
      <c r="BU49" s="1785"/>
      <c r="BV49" s="1785"/>
      <c r="BW49" s="1785"/>
      <c r="BX49" s="1783"/>
      <c r="BY49" s="1804"/>
      <c r="BZ49" s="1803"/>
      <c r="CA49" s="1784"/>
      <c r="CB49" s="1785"/>
      <c r="CC49" s="1785"/>
      <c r="CD49" s="1785"/>
      <c r="CE49" s="1785"/>
      <c r="CF49" s="1785"/>
      <c r="CG49" s="1785"/>
      <c r="CH49" s="1783"/>
      <c r="CI49" s="1804"/>
      <c r="CJ49" s="1803"/>
      <c r="CK49" s="1784"/>
      <c r="CL49" s="1785"/>
      <c r="CM49" s="1785"/>
      <c r="CN49" s="1785"/>
      <c r="CO49" s="1785"/>
      <c r="CP49" s="1785"/>
      <c r="CQ49" s="1785"/>
      <c r="CR49" s="1785"/>
      <c r="CS49" s="1785"/>
      <c r="CT49" s="1785"/>
      <c r="CU49" s="1786"/>
      <c r="CV49" s="1804"/>
      <c r="CW49" s="1803"/>
      <c r="CX49" s="1784"/>
      <c r="CY49" s="1785"/>
      <c r="CZ49" s="1785"/>
      <c r="DA49" s="1785"/>
      <c r="DB49" s="1783"/>
      <c r="DC49" s="1804"/>
      <c r="DD49" s="1803"/>
      <c r="DE49" s="75"/>
    </row>
    <row r="50" spans="1:134" ht="47" customHeight="1">
      <c r="A50" s="2955" t="str">
        <f>"Vedr. beregning af det særlige ferietillæg der udbetales maj og august "&amp;budgetår&amp;" oplyses her antal ansættelsesmåneder i perioden september "&amp;budgetår-1&amp;" - august "&amp;budgetår&amp;". Hvis alle måneder - skriv 12. Hvis den ansatte har mere end en kolonne, oplyses tallet i den kolonne/ansættelse der går videre til "&amp;budgetår+1&amp;"."</f>
        <v>Vedr. beregning af det særlige ferietillæg der udbetales maj og august 2025 oplyses her antal ansættelsesmåneder i perioden september 2024 - august 2025. Hvis alle måneder - skriv 12. Hvis den ansatte har mere end en kolonne, oplyses tallet i den kolonne/ansættelse der går videre til 2026.</v>
      </c>
      <c r="B50" s="2956"/>
      <c r="C50" s="2436"/>
      <c r="D50" s="2437"/>
      <c r="E50" s="2392"/>
      <c r="F50" s="2458"/>
      <c r="G50" s="1791"/>
      <c r="H50" s="1791"/>
      <c r="I50" s="1791"/>
      <c r="J50" s="1791"/>
      <c r="K50" s="1791"/>
      <c r="L50" s="1791"/>
      <c r="M50" s="1791"/>
      <c r="N50" s="1791"/>
      <c r="O50" s="1791"/>
      <c r="P50" s="1791"/>
      <c r="Q50" s="1791"/>
      <c r="R50" s="1791"/>
      <c r="S50" s="1791"/>
      <c r="T50" s="1791"/>
      <c r="U50" s="1805"/>
      <c r="V50" s="1807"/>
      <c r="W50" s="1808"/>
      <c r="X50" s="2479"/>
      <c r="Y50" s="2458"/>
      <c r="Z50" s="1809"/>
      <c r="AA50" s="1806"/>
      <c r="AB50" s="1791"/>
      <c r="AC50" s="1791"/>
      <c r="AD50" s="1791"/>
      <c r="AE50" s="1791"/>
      <c r="AF50" s="1791"/>
      <c r="AG50" s="1791"/>
      <c r="AH50" s="1791"/>
      <c r="AI50" s="1791"/>
      <c r="AJ50" s="1791"/>
      <c r="AK50" s="1791"/>
      <c r="AL50" s="1791"/>
      <c r="AM50" s="1791"/>
      <c r="AN50" s="1791"/>
      <c r="AO50" s="1791"/>
      <c r="AP50" s="1791"/>
      <c r="AQ50" s="1809"/>
      <c r="AR50" s="2479"/>
      <c r="AS50" s="2458"/>
      <c r="AT50" s="2458"/>
      <c r="AU50" s="2518"/>
      <c r="AV50" s="2392"/>
      <c r="AW50" s="2458"/>
      <c r="AX50" s="2458"/>
      <c r="AY50" s="2518"/>
      <c r="AZ50" s="1807"/>
      <c r="BA50" s="1808"/>
      <c r="BB50" s="2479"/>
      <c r="BC50" s="2392"/>
      <c r="BD50" s="1791"/>
      <c r="BE50" s="1791"/>
      <c r="BF50" s="1791"/>
      <c r="BG50" s="1791"/>
      <c r="BH50" s="1791"/>
      <c r="BI50" s="1791"/>
      <c r="BJ50" s="1791"/>
      <c r="BK50" s="1791"/>
      <c r="BL50" s="1805"/>
      <c r="BM50" s="1810"/>
      <c r="BN50" s="1808"/>
      <c r="BO50" s="1806"/>
      <c r="BP50" s="1791"/>
      <c r="BQ50" s="1791"/>
      <c r="BR50" s="1791"/>
      <c r="BS50" s="1791"/>
      <c r="BT50" s="1791"/>
      <c r="BU50" s="1791"/>
      <c r="BV50" s="1791"/>
      <c r="BW50" s="1791"/>
      <c r="BX50" s="1805"/>
      <c r="BY50" s="1810"/>
      <c r="BZ50" s="1808"/>
      <c r="CA50" s="1806"/>
      <c r="CB50" s="1791"/>
      <c r="CC50" s="1791"/>
      <c r="CD50" s="1791"/>
      <c r="CE50" s="1791"/>
      <c r="CF50" s="1791"/>
      <c r="CG50" s="1791"/>
      <c r="CH50" s="1805"/>
      <c r="CI50" s="1810"/>
      <c r="CJ50" s="1808"/>
      <c r="CK50" s="1806"/>
      <c r="CL50" s="1791"/>
      <c r="CM50" s="1791"/>
      <c r="CN50" s="1791"/>
      <c r="CO50" s="1791"/>
      <c r="CP50" s="1791"/>
      <c r="CQ50" s="1791"/>
      <c r="CR50" s="1791"/>
      <c r="CS50" s="1791"/>
      <c r="CT50" s="1791"/>
      <c r="CU50" s="1809"/>
      <c r="CV50" s="1810"/>
      <c r="CW50" s="1808"/>
      <c r="CX50" s="1806"/>
      <c r="CY50" s="1791"/>
      <c r="CZ50" s="1791"/>
      <c r="DA50" s="1791"/>
      <c r="DB50" s="1805"/>
      <c r="DC50" s="1804"/>
      <c r="DD50" s="1803"/>
      <c r="DE50" s="75"/>
    </row>
    <row r="51" spans="1:134" ht="36" customHeight="1">
      <c r="A51" s="2953" t="str">
        <f>"Særlig ferietillæg - 2,02 % af den ferieberettiget løn optjent september "&amp;budgetår-1&amp;" - august "&amp;budgetår&amp;""</f>
        <v>Særlig ferietillæg - 2,02 % af den ferieberettiget løn optjent september 2024 - august 2025</v>
      </c>
      <c r="B51" s="2954"/>
      <c r="C51" s="2438">
        <f t="shared" ref="C51:U51" si="235">IF(C14&gt;0,(C42*C50*2.02%),0)</f>
        <v>0</v>
      </c>
      <c r="D51" s="2439">
        <f t="shared" si="235"/>
        <v>0</v>
      </c>
      <c r="E51" s="2393">
        <f t="shared" si="235"/>
        <v>0</v>
      </c>
      <c r="F51" s="2459">
        <f t="shared" ref="F51" si="236">IF(F14&gt;0,(F42*F50*2.02%),0)</f>
        <v>0</v>
      </c>
      <c r="G51" s="1813">
        <f t="shared" si="235"/>
        <v>0</v>
      </c>
      <c r="H51" s="1813">
        <f t="shared" si="235"/>
        <v>0</v>
      </c>
      <c r="I51" s="1813">
        <f t="shared" ref="I51" si="237">IF(I14&gt;0,(I42*I50*2.02%),0)</f>
        <v>0</v>
      </c>
      <c r="J51" s="1813">
        <f t="shared" si="235"/>
        <v>0</v>
      </c>
      <c r="K51" s="1813">
        <f t="shared" si="235"/>
        <v>0</v>
      </c>
      <c r="L51" s="1813">
        <f t="shared" si="235"/>
        <v>0</v>
      </c>
      <c r="M51" s="1813">
        <f t="shared" si="235"/>
        <v>0</v>
      </c>
      <c r="N51" s="1813">
        <f t="shared" si="235"/>
        <v>0</v>
      </c>
      <c r="O51" s="1813">
        <f t="shared" si="235"/>
        <v>0</v>
      </c>
      <c r="P51" s="1813">
        <f t="shared" si="235"/>
        <v>0</v>
      </c>
      <c r="Q51" s="1813">
        <f t="shared" si="235"/>
        <v>0</v>
      </c>
      <c r="R51" s="1813">
        <f t="shared" si="235"/>
        <v>0</v>
      </c>
      <c r="S51" s="1813">
        <f t="shared" si="235"/>
        <v>0</v>
      </c>
      <c r="T51" s="1813">
        <f t="shared" si="235"/>
        <v>0</v>
      </c>
      <c r="U51" s="1814">
        <f t="shared" si="235"/>
        <v>0</v>
      </c>
      <c r="V51" s="1815"/>
      <c r="W51" s="1816"/>
      <c r="X51" s="2480">
        <f t="shared" ref="X51:AJ51" si="238">IF(X14&gt;0,(X42*X50*2.02%),0)</f>
        <v>0</v>
      </c>
      <c r="Y51" s="2459">
        <f t="shared" ref="Y51" si="239">IF(Y14&gt;0,(Y42*Y50*2.02%),0)</f>
        <v>0</v>
      </c>
      <c r="Z51" s="1817">
        <f t="shared" si="238"/>
        <v>0</v>
      </c>
      <c r="AA51" s="1812">
        <f t="shared" si="238"/>
        <v>0</v>
      </c>
      <c r="AB51" s="1813">
        <f t="shared" si="238"/>
        <v>0</v>
      </c>
      <c r="AC51" s="1813">
        <f t="shared" si="238"/>
        <v>0</v>
      </c>
      <c r="AD51" s="1813">
        <f t="shared" si="238"/>
        <v>0</v>
      </c>
      <c r="AE51" s="1813">
        <f t="shared" ref="AE51" si="240">IF(AE14&gt;0,(AE42*AE50*2.02%),0)</f>
        <v>0</v>
      </c>
      <c r="AF51" s="1813">
        <f t="shared" si="238"/>
        <v>0</v>
      </c>
      <c r="AG51" s="1813">
        <f t="shared" si="238"/>
        <v>0</v>
      </c>
      <c r="AH51" s="1813">
        <f t="shared" si="238"/>
        <v>0</v>
      </c>
      <c r="AI51" s="1813">
        <f t="shared" si="238"/>
        <v>0</v>
      </c>
      <c r="AJ51" s="1813">
        <f t="shared" si="238"/>
        <v>0</v>
      </c>
      <c r="AK51" s="1813">
        <f t="shared" ref="AK51:AN51" si="241">IF(AK14&gt;0,(AK42*AK50*2.02%),0)</f>
        <v>0</v>
      </c>
      <c r="AL51" s="1813">
        <f t="shared" si="241"/>
        <v>0</v>
      </c>
      <c r="AM51" s="1813">
        <f t="shared" si="241"/>
        <v>0</v>
      </c>
      <c r="AN51" s="1813">
        <f t="shared" si="241"/>
        <v>0</v>
      </c>
      <c r="AO51" s="1813">
        <f t="shared" ref="AO51:AY51" si="242">IF(AO14&gt;0,(AO42*AO50*2.02%),0)</f>
        <v>0</v>
      </c>
      <c r="AP51" s="1813">
        <f t="shared" si="242"/>
        <v>0</v>
      </c>
      <c r="AQ51" s="1817">
        <f t="shared" si="242"/>
        <v>0</v>
      </c>
      <c r="AR51" s="2480">
        <f t="shared" si="242"/>
        <v>0</v>
      </c>
      <c r="AS51" s="2459">
        <f t="shared" si="242"/>
        <v>0</v>
      </c>
      <c r="AT51" s="2459">
        <f t="shared" si="242"/>
        <v>0</v>
      </c>
      <c r="AU51" s="2519">
        <f t="shared" si="242"/>
        <v>0</v>
      </c>
      <c r="AV51" s="2393">
        <f t="shared" si="242"/>
        <v>0</v>
      </c>
      <c r="AW51" s="2459">
        <f t="shared" si="242"/>
        <v>0</v>
      </c>
      <c r="AX51" s="2459">
        <f t="shared" si="242"/>
        <v>0</v>
      </c>
      <c r="AY51" s="2519">
        <f t="shared" si="242"/>
        <v>0</v>
      </c>
      <c r="AZ51" s="1815"/>
      <c r="BA51" s="1816"/>
      <c r="BB51" s="2480">
        <f t="shared" ref="BB51:BL51" si="243">IF(BB14&gt;0,(BB42*BB50*2.02%),0)</f>
        <v>0</v>
      </c>
      <c r="BC51" s="2393">
        <f t="shared" ref="BC51" si="244">IF(BC14&gt;0,(BC42*BC50*2.02%),0)</f>
        <v>0</v>
      </c>
      <c r="BD51" s="1813">
        <f t="shared" si="243"/>
        <v>0</v>
      </c>
      <c r="BE51" s="1813">
        <f t="shared" si="243"/>
        <v>0</v>
      </c>
      <c r="BF51" s="1813">
        <f t="shared" si="243"/>
        <v>0</v>
      </c>
      <c r="BG51" s="1813">
        <f t="shared" si="243"/>
        <v>0</v>
      </c>
      <c r="BH51" s="1813">
        <f t="shared" si="243"/>
        <v>0</v>
      </c>
      <c r="BI51" s="1813">
        <f t="shared" si="243"/>
        <v>0</v>
      </c>
      <c r="BJ51" s="1813">
        <f t="shared" si="243"/>
        <v>0</v>
      </c>
      <c r="BK51" s="1813">
        <f t="shared" si="243"/>
        <v>0</v>
      </c>
      <c r="BL51" s="1814">
        <f t="shared" si="243"/>
        <v>0</v>
      </c>
      <c r="BM51" s="1818"/>
      <c r="BN51" s="1816"/>
      <c r="BO51" s="1812">
        <f t="shared" ref="BO51:BX51" si="245">IF(BO14&gt;0,(BO42*BO50*2.02%),0)</f>
        <v>0</v>
      </c>
      <c r="BP51" s="1813">
        <f t="shared" si="245"/>
        <v>0</v>
      </c>
      <c r="BQ51" s="1813">
        <f t="shared" si="245"/>
        <v>0</v>
      </c>
      <c r="BR51" s="1813">
        <f t="shared" si="245"/>
        <v>0</v>
      </c>
      <c r="BS51" s="1813">
        <f t="shared" si="245"/>
        <v>0</v>
      </c>
      <c r="BT51" s="1813">
        <f t="shared" si="245"/>
        <v>0</v>
      </c>
      <c r="BU51" s="1813">
        <f t="shared" si="245"/>
        <v>0</v>
      </c>
      <c r="BV51" s="1813">
        <f t="shared" si="245"/>
        <v>0</v>
      </c>
      <c r="BW51" s="1813">
        <f t="shared" si="245"/>
        <v>0</v>
      </c>
      <c r="BX51" s="1814">
        <f t="shared" si="245"/>
        <v>0</v>
      </c>
      <c r="BY51" s="1818"/>
      <c r="BZ51" s="1816"/>
      <c r="CA51" s="1811">
        <f t="shared" ref="CA51:CH51" si="246">IF(CA14&gt;0,(CA42*CA50*2.02%),0)</f>
        <v>0</v>
      </c>
      <c r="CB51" s="1811">
        <f t="shared" si="246"/>
        <v>0</v>
      </c>
      <c r="CC51" s="1811">
        <f t="shared" si="246"/>
        <v>0</v>
      </c>
      <c r="CD51" s="1811">
        <f t="shared" si="246"/>
        <v>0</v>
      </c>
      <c r="CE51" s="1811">
        <f t="shared" si="246"/>
        <v>0</v>
      </c>
      <c r="CF51" s="1811">
        <f t="shared" si="246"/>
        <v>0</v>
      </c>
      <c r="CG51" s="1811">
        <f t="shared" si="246"/>
        <v>0</v>
      </c>
      <c r="CH51" s="1811">
        <f t="shared" si="246"/>
        <v>0</v>
      </c>
      <c r="CI51" s="1818"/>
      <c r="CJ51" s="1816"/>
      <c r="CK51" s="1811">
        <f t="shared" ref="CK51:CU51" si="247">IF(CK14&gt;0,(CK42*CK50*2.02%),0)</f>
        <v>0</v>
      </c>
      <c r="CL51" s="1811">
        <f t="shared" si="247"/>
        <v>0</v>
      </c>
      <c r="CM51" s="1811">
        <f t="shared" si="247"/>
        <v>0</v>
      </c>
      <c r="CN51" s="1811">
        <f t="shared" si="247"/>
        <v>0</v>
      </c>
      <c r="CO51" s="1811">
        <f t="shared" si="247"/>
        <v>0</v>
      </c>
      <c r="CP51" s="1811">
        <f t="shared" si="247"/>
        <v>0</v>
      </c>
      <c r="CQ51" s="1811">
        <f t="shared" si="247"/>
        <v>0</v>
      </c>
      <c r="CR51" s="1811">
        <f t="shared" si="247"/>
        <v>0</v>
      </c>
      <c r="CS51" s="1811">
        <f t="shared" si="247"/>
        <v>0</v>
      </c>
      <c r="CT51" s="1811">
        <f t="shared" si="247"/>
        <v>0</v>
      </c>
      <c r="CU51" s="1811">
        <f t="shared" si="247"/>
        <v>0</v>
      </c>
      <c r="CV51" s="1818"/>
      <c r="CW51" s="1816"/>
      <c r="CX51" s="1811">
        <f>IF(CX14&gt;0,(CX42*CX50*2.02%),0)</f>
        <v>0</v>
      </c>
      <c r="CY51" s="1811">
        <f>IF(CY14&gt;0,(CY42*CY50*2.02%),0)</f>
        <v>0</v>
      </c>
      <c r="CZ51" s="1811">
        <f>IF(CZ14&gt;0,(CZ42*CZ50*2.02%),0)</f>
        <v>0</v>
      </c>
      <c r="DA51" s="1811">
        <f>IF(DA14&gt;0,(DA42*DA50*2.02%),0)</f>
        <v>0</v>
      </c>
      <c r="DB51" s="1811">
        <f>IF(DB14&gt;0,(DB42*DB50*2.02%),0)</f>
        <v>0</v>
      </c>
      <c r="DC51" s="1818"/>
      <c r="DD51" s="1816"/>
      <c r="DE51" s="75"/>
    </row>
    <row r="52" spans="1:134" ht="57" customHeight="1">
      <c r="A52" s="2953" t="str">
        <f>'lon undervisning'!A65</f>
        <v>Antal særlige feriedage optjent 2023 som ikke er afholdt i perioden 1. maj 2024 - 30. april 2025 og som udbetales 30. april 2025. Hvis den ansatte har mere end en kolonne, oplyses antal skyldige særlige feriedage i den kolonne der videreføres til 2025. Ved en ansat der fratræder oplyses her antal feriedage og særlige feriedage der afregnes med.</v>
      </c>
      <c r="B52" s="2954"/>
      <c r="C52" s="2440"/>
      <c r="D52" s="2441"/>
      <c r="E52" s="2394"/>
      <c r="F52" s="2460"/>
      <c r="G52" s="1821"/>
      <c r="H52" s="1821"/>
      <c r="I52" s="1821"/>
      <c r="J52" s="1821"/>
      <c r="K52" s="1821"/>
      <c r="L52" s="1821"/>
      <c r="M52" s="1821"/>
      <c r="N52" s="1821"/>
      <c r="O52" s="1821"/>
      <c r="P52" s="1821"/>
      <c r="Q52" s="1821"/>
      <c r="R52" s="1821"/>
      <c r="S52" s="1821"/>
      <c r="T52" s="1821"/>
      <c r="U52" s="1819"/>
      <c r="V52" s="1822"/>
      <c r="W52" s="1823"/>
      <c r="X52" s="2481"/>
      <c r="Y52" s="2460"/>
      <c r="Z52" s="1824"/>
      <c r="AA52" s="1820"/>
      <c r="AB52" s="1821"/>
      <c r="AC52" s="1821"/>
      <c r="AD52" s="1821"/>
      <c r="AE52" s="1821"/>
      <c r="AF52" s="1821"/>
      <c r="AG52" s="1821"/>
      <c r="AH52" s="1821"/>
      <c r="AI52" s="1821"/>
      <c r="AJ52" s="1821"/>
      <c r="AK52" s="1821"/>
      <c r="AL52" s="1821"/>
      <c r="AM52" s="1821"/>
      <c r="AN52" s="1821"/>
      <c r="AO52" s="1821"/>
      <c r="AP52" s="1821"/>
      <c r="AQ52" s="1824"/>
      <c r="AR52" s="2481"/>
      <c r="AS52" s="2460"/>
      <c r="AT52" s="2460"/>
      <c r="AU52" s="2520"/>
      <c r="AV52" s="2394"/>
      <c r="AW52" s="2460"/>
      <c r="AX52" s="2460"/>
      <c r="AY52" s="2520"/>
      <c r="AZ52" s="1822"/>
      <c r="BA52" s="1823"/>
      <c r="BB52" s="2481"/>
      <c r="BC52" s="2394"/>
      <c r="BD52" s="1821"/>
      <c r="BE52" s="1821"/>
      <c r="BF52" s="1821"/>
      <c r="BG52" s="1821"/>
      <c r="BH52" s="1821"/>
      <c r="BI52" s="1821"/>
      <c r="BJ52" s="1821"/>
      <c r="BK52" s="1821"/>
      <c r="BL52" s="1819"/>
      <c r="BM52" s="1825"/>
      <c r="BN52" s="1823"/>
      <c r="BO52" s="1820"/>
      <c r="BP52" s="1821"/>
      <c r="BQ52" s="1821"/>
      <c r="BR52" s="1821"/>
      <c r="BS52" s="1821"/>
      <c r="BT52" s="1821"/>
      <c r="BU52" s="1821"/>
      <c r="BV52" s="1821"/>
      <c r="BW52" s="1821"/>
      <c r="BX52" s="1824"/>
      <c r="BY52" s="1825"/>
      <c r="BZ52" s="1823"/>
      <c r="CA52" s="1820"/>
      <c r="CB52" s="1821"/>
      <c r="CC52" s="1821"/>
      <c r="CD52" s="1821"/>
      <c r="CE52" s="1821"/>
      <c r="CF52" s="1821"/>
      <c r="CG52" s="1821"/>
      <c r="CH52" s="1819"/>
      <c r="CI52" s="1825"/>
      <c r="CJ52" s="1823"/>
      <c r="CK52" s="1820"/>
      <c r="CL52" s="1821"/>
      <c r="CM52" s="1821"/>
      <c r="CN52" s="1821"/>
      <c r="CO52" s="1821"/>
      <c r="CP52" s="1821"/>
      <c r="CQ52" s="1821"/>
      <c r="CR52" s="1821"/>
      <c r="CS52" s="1821"/>
      <c r="CT52" s="1821"/>
      <c r="CU52" s="1824"/>
      <c r="CV52" s="1825"/>
      <c r="CW52" s="1823"/>
      <c r="CX52" s="1820"/>
      <c r="CY52" s="1821"/>
      <c r="CZ52" s="1821"/>
      <c r="DA52" s="1821"/>
      <c r="DB52" s="1819"/>
      <c r="DC52" s="1818"/>
      <c r="DD52" s="1816"/>
      <c r="DE52" s="75"/>
    </row>
    <row r="53" spans="1:134" ht="35" customHeight="1" thickBot="1">
      <c r="A53" s="2953" t="str">
        <f>'lon undervisning'!A66</f>
        <v>Særlige feriedage optjent 2023 - udbetalt april 2025 (0,5% pr. skyldig dag) ELLER hvis afregne - skriv antal dage der afregnes med</v>
      </c>
      <c r="B53" s="2954"/>
      <c r="C53" s="2461">
        <f>((C42+C43)*12/C22*SatsBilag!$B$8-((C42+C43)/C22*SatsBilag!$B$8*12/52/5*25))*0.5%*C52</f>
        <v>0</v>
      </c>
      <c r="D53" s="2462">
        <f>((D42+D43)*12/D22*SatsBilag!$B$8-((D42+D43)/D22*SatsBilag!$B$8*12/52/5*25))*0.5%*D52</f>
        <v>0</v>
      </c>
      <c r="E53" s="2324">
        <f>((E42+E43)*12/E22*SatsBilag!$B$8-((E42+E43)/E22*SatsBilag!$B$8*12/52/5*25))*0.5%*E52</f>
        <v>0</v>
      </c>
      <c r="F53" s="2334">
        <f>((F42+F43)*12/F22*SatsBilag!$B$8-((F42+F43)/F22*SatsBilag!$B$8*12/52/5*25))*0.5%*F52</f>
        <v>0</v>
      </c>
      <c r="G53" s="2334">
        <f>((G42+G43)*12/G22*SatsBilag!$B$8-((G42+G43)/G22*SatsBilag!$B$8*12/52/5*25))*0.5%*G52</f>
        <v>0</v>
      </c>
      <c r="H53" s="2334">
        <f>((H42+H43)*12/H22*SatsBilag!$B$8-((H42+H43)/H22*SatsBilag!$B$8*12/52/5*25))*0.5%*H52</f>
        <v>0</v>
      </c>
      <c r="I53" s="2334">
        <f>((I42+I43)*12/I22*SatsBilag!$B$8-((I42+I43)/I22*SatsBilag!$B$8*12/52/5*25))*0.5%*I52</f>
        <v>0</v>
      </c>
      <c r="J53" s="2334">
        <f>((J42+J43)*12/J22*SatsBilag!$B$8-((J42+J43)/J22*SatsBilag!$B$8*12/52/5*25))*0.5%*J52</f>
        <v>0</v>
      </c>
      <c r="K53" s="2334">
        <f>((K42+K43)*12/K22*SatsBilag!$B$8-((K42+K43)/K22*SatsBilag!$B$8*12/52/5*25))*0.5%*K52</f>
        <v>0</v>
      </c>
      <c r="L53" s="2334">
        <f>((L42+L43)*12/L22*SatsBilag!$B$8-((L42+L43)/L22*SatsBilag!$B$8*12/52/5*25))*0.5%*L52</f>
        <v>0</v>
      </c>
      <c r="M53" s="2334">
        <f>((M42+M43)*12/M22*SatsBilag!$B$8-((M42+M43)/M22*SatsBilag!$B$8*12/52/5*25))*0.5%*M52</f>
        <v>0</v>
      </c>
      <c r="N53" s="2334">
        <f>((N42+N43)*12/N22*SatsBilag!$B$8-((N42+N43)/N22*SatsBilag!$B$8*12/52/5*25))*0.5%*N52</f>
        <v>0</v>
      </c>
      <c r="O53" s="2334">
        <f>((O42+O43)*12/O22*SatsBilag!$B$8-((O42+O43)/O22*SatsBilag!$B$8*12/52/5*25))*0.5%*O52</f>
        <v>0</v>
      </c>
      <c r="P53" s="2334">
        <f>((P42+P43)*12/P22*SatsBilag!$B$8-((P42+P43)/P22*SatsBilag!$B$8*12/52/5*25))*0.5%*P52</f>
        <v>0</v>
      </c>
      <c r="Q53" s="2334">
        <f>((Q42+Q43)*12/Q22*SatsBilag!$B$8-((Q42+Q43)/Q22*SatsBilag!$B$8*12/52/5*25))*0.5%*Q52</f>
        <v>0</v>
      </c>
      <c r="R53" s="2334">
        <f>((R42+R43)*12/R22*SatsBilag!$B$8-((R42+R43)/R22*SatsBilag!$B$8*12/52/5*25))*0.5%*R52</f>
        <v>0</v>
      </c>
      <c r="S53" s="2334">
        <f>((S42+S43)*12/S22*SatsBilag!$B$8-((S42+S43)/S22*SatsBilag!$B$8*12/52/5*25))*0.5%*S52</f>
        <v>0</v>
      </c>
      <c r="T53" s="2334">
        <f>((T42+T43)*12/T22*SatsBilag!$B$8-((T42+T43)/T22*SatsBilag!$B$8*12/52/5*25))*0.5%*T52</f>
        <v>0</v>
      </c>
      <c r="U53" s="2335">
        <f>((U42+U43)*12/U22*SatsBilag!$B$8-((U42+U43)/U22*SatsBilag!$B$8*12/52/5*25))*0.5%*U52</f>
        <v>0</v>
      </c>
      <c r="V53" s="2463"/>
      <c r="W53" s="2464"/>
      <c r="X53" s="2482">
        <f>((X42+X43)*12/X22*SatsBilag!$B$8-((X42+X43)/X22*SatsBilag!$B$8*12/52/5*25))*0.5%*X52</f>
        <v>0</v>
      </c>
      <c r="Y53" s="2483">
        <f>((Y42+Y43)*12/Y22*SatsBilag!$B$8-((Y42+Y43)/Y22*SatsBilag!$B$8*12/52/5*25))*0.5%*Y52</f>
        <v>0</v>
      </c>
      <c r="Z53" s="1831">
        <f>((Z42+Z43)*12/Z22*SatsBilag!$B$8-((Z42+Z43)/Z22*SatsBilag!$B$8*12/52/5*25))*0.5%*Z52</f>
        <v>0</v>
      </c>
      <c r="AA53" s="1827">
        <f>((AA42+AA43)*12/AA22*SatsBilag!$B$8-((AA42+AA43)/AA22*SatsBilag!$B$8*12/52/5*25))*0.5%*AA52</f>
        <v>0</v>
      </c>
      <c r="AB53" s="1828">
        <f>((AB42+AB43)*12/AB22*SatsBilag!$B$8-((AB42+AB43)/AB22*SatsBilag!$B$8*12/52/5*25))*0.5%*AB52</f>
        <v>0</v>
      </c>
      <c r="AC53" s="1828">
        <f>((AC42+AC43)*12/AC22*SatsBilag!$B$8-((AC42+AC43)/AC22*SatsBilag!$B$8*12/52/5*25))*0.5%*AC52</f>
        <v>0</v>
      </c>
      <c r="AD53" s="1828">
        <f>((AD42+AD43)*12/AD22*SatsBilag!$B$8-((AD42+AD43)/AD22*SatsBilag!$B$8*12/52/5*25))*0.5%*AD52</f>
        <v>0</v>
      </c>
      <c r="AE53" s="1828">
        <f>((AE42+AE43)*12/AE22*SatsBilag!$B$8-((AE42+AE43)/AE22*SatsBilag!$B$8*12/52/5*25))*0.5%*AE52</f>
        <v>0</v>
      </c>
      <c r="AF53" s="1828">
        <f>((AF42+AF43)*12/AF22*SatsBilag!$B$8-((AF42+AF43)/AF22*SatsBilag!$B$8*12/52/5*25))*0.5%*AF52</f>
        <v>0</v>
      </c>
      <c r="AG53" s="1828">
        <f>((AG42+AG43)*12/AG22*SatsBilag!$B$8-((AG42+AG43)/AG22*SatsBilag!$B$8*12/52/5*25))*0.5%*AG52</f>
        <v>0</v>
      </c>
      <c r="AH53" s="1828">
        <f>((AH42+AH43)*12/AH22*SatsBilag!$B$8-((AH42+AH43)/AH22*SatsBilag!$B$8*12/52/5*25))*0.5%*AH52</f>
        <v>0</v>
      </c>
      <c r="AI53" s="1828">
        <f>((AI42+AI43)*12/AI22*SatsBilag!$B$8-((AI42+AI43)/AI22*SatsBilag!$B$8*12/52/5*25))*0.5%*AI52</f>
        <v>0</v>
      </c>
      <c r="AJ53" s="1828">
        <f>((AJ42+AJ43)*12/AJ22*SatsBilag!$B$8-((AJ42+AJ43)/AJ22*SatsBilag!$B$8*12/52/5*25))*0.5%*AJ52</f>
        <v>0</v>
      </c>
      <c r="AK53" s="1828">
        <f>((AK42+AK43)*12/AK22*SatsBilag!$B$8-((AK42+AK43)/AK22*SatsBilag!$B$8*12/52/5*25))*0.5%*AK52</f>
        <v>0</v>
      </c>
      <c r="AL53" s="1828">
        <f>((AL42+AL43)*12/AL22*SatsBilag!$B$8-((AL42+AL43)/AL22*SatsBilag!$B$8*12/52/5*25))*0.5%*AL52</f>
        <v>0</v>
      </c>
      <c r="AM53" s="1828">
        <f>((AM42+AM43)*12/AM22*SatsBilag!$B$8-((AM42+AM43)/AM22*SatsBilag!$B$8*12/52/5*25))*0.5%*AM52</f>
        <v>0</v>
      </c>
      <c r="AN53" s="1828">
        <f>((AN42+AN43)*12/AN22*SatsBilag!$B$8-((AN42+AN43)/AN22*SatsBilag!$B$8*12/52/5*25))*0.5%*AN52</f>
        <v>0</v>
      </c>
      <c r="AO53" s="1828">
        <f>((AO42+AO43)*12/AO22*SatsBilag!$B$8-((AO42+AO43)/AO22*SatsBilag!$B$8*12/52/5*25))*0.5%*AO52</f>
        <v>0</v>
      </c>
      <c r="AP53" s="1828">
        <f>((AP42+AP43)*12/AP22*SatsBilag!$B$8-((AP42+AP43)/AP22*SatsBilag!$B$8*12/52/5*25))*0.5%*AP52</f>
        <v>0</v>
      </c>
      <c r="AQ53" s="2321">
        <f>((AQ42+AQ43)*12/AQ22*SatsBilag!$B$8-((AQ42+AQ43)/AQ22*SatsBilag!$B$8*12/52/5*25))*0.5%*AQ52</f>
        <v>0</v>
      </c>
      <c r="AR53" s="2526">
        <f>((AR42+AR43)*12/AR22*SatsBilag!$B$8-((AR42+AR43)/AR22*SatsBilag!$B$8*12/52/5*25))*0.5%*AR52</f>
        <v>0</v>
      </c>
      <c r="AS53" s="2527">
        <f>((AS42+AS43)*12/AS22*SatsBilag!$B$8-((AS42+AS43)/AS22*SatsBilag!$B$8*12/52/5*25))*0.5%*AS52</f>
        <v>0</v>
      </c>
      <c r="AT53" s="2527">
        <f>((AT42+AT43)*12/AT22*SatsBilag!$B$8-((AT42+AT43)/AT22*SatsBilag!$B$8*12/52/5*25))*0.5%*AT52</f>
        <v>0</v>
      </c>
      <c r="AU53" s="2528">
        <f>((AU42+AU43)*12/AU22*SatsBilag!$B$8-((AU42+AU43)/AU22*SatsBilag!$B$8*12/52/5*25))*0.5%*AU52</f>
        <v>0</v>
      </c>
      <c r="AV53" s="2526">
        <f>((AV42+AV43)*12/AV22*SatsBilag!$B$8-((AV42+AV43)/AV22*SatsBilag!$B$8*12/52/5*25))*0.5%*AV52</f>
        <v>0</v>
      </c>
      <c r="AW53" s="2527">
        <f>((AW42+AW43)*12/AW22*SatsBilag!$B$8-((AW42+AW43)/AW22*SatsBilag!$B$8*12/52/5*25))*0.5%*AW52</f>
        <v>0</v>
      </c>
      <c r="AX53" s="2527">
        <f>((AX42+AX43)*12/AX22*SatsBilag!$B$8-((AX42+AX43)/AX22*SatsBilag!$B$8*12/52/5*25))*0.5%*AX52</f>
        <v>0</v>
      </c>
      <c r="AY53" s="2528">
        <f>((AY42+AY43)*12/AY22*SatsBilag!$B$8-((AY42+AY43)/AY22*SatsBilag!$B$8*12/52/5*25))*0.5%*AY52</f>
        <v>0</v>
      </c>
      <c r="AZ53" s="1829"/>
      <c r="BA53" s="1830"/>
      <c r="BB53" s="2482">
        <f>((BB42+BB43)*12/BB22*SatsBilag!$B$8-((BB42+BB43)/BB22*SatsBilag!$B$8*12/52/5*25))*0.5%*BB52</f>
        <v>0</v>
      </c>
      <c r="BC53" s="2324">
        <f>((BC42+BC43)*12/BC22*SatsBilag!$B$8-((BC42+BC43)/BC22*SatsBilag!$B$8*12/52/5*25))*0.5%*BC52</f>
        <v>0</v>
      </c>
      <c r="BD53" s="1828">
        <f>((BD42+BD43)*12/BD22*SatsBilag!$B$8-((BD42+BD43)/BD22*SatsBilag!$B$8*12/52/5*25))*0.5%*BD52</f>
        <v>0</v>
      </c>
      <c r="BE53" s="1828">
        <f>((BE42+BE43)*12/BE22*SatsBilag!$B$8-((BE42+BE43)/BE22*SatsBilag!$B$8*12/52/5*25))*0.5%*BE52</f>
        <v>0</v>
      </c>
      <c r="BF53" s="1828">
        <f>((BF42+BF43)*12/BF22*SatsBilag!$B$8-((BF42+BF43)/BF22*SatsBilag!$B$8*12/52/5*25))*0.5%*BF52</f>
        <v>0</v>
      </c>
      <c r="BG53" s="1828">
        <f>((BG42+BG43)*12/BG22*SatsBilag!$B$8-((BG42+BG43)/BG22*SatsBilag!$B$8*12/52/5*25))*0.5%*BG52</f>
        <v>0</v>
      </c>
      <c r="BH53" s="1828">
        <f>((BH42+BH43)*12/BH22*SatsBilag!$B$8-((BH42+BH43)/BH22*SatsBilag!$B$8*12/52/5*25))*0.5%*BH52</f>
        <v>0</v>
      </c>
      <c r="BI53" s="1828">
        <f>((BI42+BI43)*12/BI22*SatsBilag!$B$8-((BI42+BI43)/BI22*SatsBilag!$B$8*12/52/5*25))*0.5%*BI52</f>
        <v>0</v>
      </c>
      <c r="BJ53" s="1828">
        <f>((BJ42+BJ43)*12/BJ22*SatsBilag!$B$8-((BJ42+BJ43)/BJ22*SatsBilag!$B$8*12/52/5*25))*0.5%*BJ52</f>
        <v>0</v>
      </c>
      <c r="BK53" s="1828">
        <f>((BK42+BK43)*12/BK22*SatsBilag!$B$8-((BK42+BK43)/BK22*SatsBilag!$B$8*12/52/5*25))*0.5%*BK52</f>
        <v>0</v>
      </c>
      <c r="BL53" s="1826">
        <f>((BL42+BL43)*12/BL22*SatsBilag!$B$8-((BL42+BL43)/BL22*SatsBilag!$B$8*12/52/5*25))*0.5%*BL52</f>
        <v>0</v>
      </c>
      <c r="BM53" s="1832"/>
      <c r="BN53" s="1830"/>
      <c r="BO53" s="1827">
        <f>((BO42+BO43)*12/BO22*SatsBilag!$B$8-((BO42+BO43)/BO22*SatsBilag!$B$8*12/52/5*25))*0.5%*BO52</f>
        <v>0</v>
      </c>
      <c r="BP53" s="1828">
        <f>((BP42+BP43)*12/BP22*SatsBilag!$B$8-((BP42+BP43)/BP22*SatsBilag!$B$8*12/52/5*25))*0.5%*BP52</f>
        <v>0</v>
      </c>
      <c r="BQ53" s="1828">
        <f>((BQ42+BQ43)*12/BQ22*SatsBilag!$B$8-((BQ42+BQ43)/BQ22*SatsBilag!$B$8*12/52/5*25))*0.5%*BQ52</f>
        <v>0</v>
      </c>
      <c r="BR53" s="1828">
        <f>((BR42+BR43)*12/BR22*SatsBilag!$B$8-((BR42+BR43)/BR22*SatsBilag!$B$8*12/52/5*25))*0.5%*BR52</f>
        <v>0</v>
      </c>
      <c r="BS53" s="1828">
        <f>((BS42+BS43)*12/BS22*SatsBilag!$B$8-((BS42+BS43)/BS22*SatsBilag!$B$8*12/52/5*25))*0.5%*BS52</f>
        <v>0</v>
      </c>
      <c r="BT53" s="1828">
        <f>((BT42+BT43)*12/BT22*SatsBilag!$B$8-((BT42+BT43)/BT22*SatsBilag!$B$8*12/52/5*25))*0.5%*BT52</f>
        <v>0</v>
      </c>
      <c r="BU53" s="1828">
        <f>((BU42+BU43)*12/BU22*SatsBilag!$B$8-((BU42+BU43)/BU22*SatsBilag!$B$8*12/52/5*25))*0.5%*BU52</f>
        <v>0</v>
      </c>
      <c r="BV53" s="1828">
        <f>((BV42+BV43)*12/BV22*SatsBilag!$B$8-((BV42+BV43)/BV22*SatsBilag!$B$8*12/52/5*25))*0.5%*BV52</f>
        <v>0</v>
      </c>
      <c r="BW53" s="1828">
        <f>((BW42+BW43)*12/BW22*SatsBilag!$B$8-((BW42+BW43)/BW22*SatsBilag!$B$8*12/52/5*25))*0.5%*BW52</f>
        <v>0</v>
      </c>
      <c r="BX53" s="1831">
        <f>((BX42+BX43)*12/BX22*SatsBilag!$B$8-((BX42+BX43)/BX22*SatsBilag!$B$8*12/52/5*25))*0.5%*BX52</f>
        <v>0</v>
      </c>
      <c r="BY53" s="1832"/>
      <c r="BZ53" s="1830"/>
      <c r="CA53" s="1827">
        <f>((CA42+CA43)*12/CA22*SatsBilag!$B$8-((CA42+CA43)/CA22*SatsBilag!$B$8*12/52/5*25))*0.5%*CA52</f>
        <v>0</v>
      </c>
      <c r="CB53" s="1828">
        <f>((CB42+CB43)*12/CB22*SatsBilag!$B$8-((CB42+CB43)/CB22*SatsBilag!$B$8*12/52/5*25))*0.5%*CB52</f>
        <v>0</v>
      </c>
      <c r="CC53" s="1828">
        <f>((CC42+CC43)*12/CC22*SatsBilag!$B$8-((CC42+CC43)/CC22*SatsBilag!$B$8*12/52/5*25))*0.5%*CC52</f>
        <v>0</v>
      </c>
      <c r="CD53" s="1828">
        <f>((CD42+CD43)*12/CD22*SatsBilag!$B$8-((CD42+CD43)/CD22*SatsBilag!$B$8*12/52/5*25))*0.5%*CD52</f>
        <v>0</v>
      </c>
      <c r="CE53" s="1828">
        <f>((CE42+CE43)*12/CE22*SatsBilag!$B$8-((CE42+CE43)/CE22*SatsBilag!$B$8*12/52/5*25))*0.5%*CE52</f>
        <v>0</v>
      </c>
      <c r="CF53" s="1828">
        <f>((CF42+CF43)*12/CF22*SatsBilag!$B$8-((CF42+CF43)/CF22*SatsBilag!$B$8*12/52/5*25))*0.5%*CF52</f>
        <v>0</v>
      </c>
      <c r="CG53" s="1828">
        <f>((CG42+CG43)*12/CG22*SatsBilag!$B$8-((CG42+CG43)/CG22*SatsBilag!$B$8*12/52/5*25))*0.5%*CG52</f>
        <v>0</v>
      </c>
      <c r="CH53" s="1826">
        <f>((CH42+CH43)*12/CH22*SatsBilag!$B$8-((CH42+CH43)/CH22*SatsBilag!$B$8*12/52/5*25))*0.5%*CH52</f>
        <v>0</v>
      </c>
      <c r="CI53" s="1832"/>
      <c r="CJ53" s="1830"/>
      <c r="CK53" s="1827">
        <f>((CK42+CK43)*12/CK22*SatsBilag!$B$8-((CK42+CK43)/CK22*SatsBilag!$B$8*12/52/5*25))*0.5%*CK52</f>
        <v>0</v>
      </c>
      <c r="CL53" s="1828">
        <f>((CL42+CL43)*12/CL22*SatsBilag!$B$8-((CL42+CL43)/CL22*SatsBilag!$B$8*12/52/5*25))*0.5%*CL52</f>
        <v>0</v>
      </c>
      <c r="CM53" s="1828">
        <f>((CM42+CM43)*12/CM22*SatsBilag!$B$8-((CM42+CM43)/CM22*SatsBilag!$B$8*12/52/5*25))*0.5%*CM52</f>
        <v>0</v>
      </c>
      <c r="CN53" s="1828">
        <f>((CN42+CN43)*12/CN22*SatsBilag!$B$8-((CN42+CN43)/CN22*SatsBilag!$B$8*12/52/5*25))*0.5%*CN52</f>
        <v>0</v>
      </c>
      <c r="CO53" s="1828">
        <f>((CO42+CO43)*12/CO22*SatsBilag!$B$8-((CO42+CO43)/CO22*SatsBilag!$B$8*12/52/5*25))*0.5%*CO52</f>
        <v>0</v>
      </c>
      <c r="CP53" s="1828">
        <f>((CP42+CP43)*12/CP22*SatsBilag!$B$8-((CP42+CP43)/CP22*SatsBilag!$B$8*12/52/5*25))*0.5%*CP52</f>
        <v>0</v>
      </c>
      <c r="CQ53" s="1828">
        <f>((CQ42+CQ43)*12/CQ22*SatsBilag!$B$8-((CQ42+CQ43)/CQ22*SatsBilag!$B$8*12/52/5*25))*0.5%*CQ52</f>
        <v>0</v>
      </c>
      <c r="CR53" s="1828">
        <f>((CR42+CR43)*12/CR22*SatsBilag!$B$8-((CR42+CR43)/CR22*SatsBilag!$B$8*12/52/5*25))*0.5%*CR52</f>
        <v>0</v>
      </c>
      <c r="CS53" s="1828">
        <f>((CS42+CS43)*12/CS22*SatsBilag!$B$8-((CS42+CS43)/CS22*SatsBilag!$B$8*12/52/5*25))*0.5%*CS52</f>
        <v>0</v>
      </c>
      <c r="CT53" s="1828">
        <f>((CT42+CT43)*12/CT22*SatsBilag!$B$8-((CT42+CT43)/CT22*SatsBilag!$B$8*12/52/5*25))*0.5%*CT52</f>
        <v>0</v>
      </c>
      <c r="CU53" s="1831">
        <f>((CU42+CU43)*12/CU22*SatsBilag!$B$8-((CU42+CU43)/CU22*SatsBilag!$B$8*12/52/5*25))*0.5%*CU52</f>
        <v>0</v>
      </c>
      <c r="CV53" s="1832"/>
      <c r="CW53" s="1830"/>
      <c r="CX53" s="1827">
        <f>((CX42+CX43)*12/CX22*SatsBilag!$B$8-((CX42+CX43)/CX22*SatsBilag!$B$8*12/52/5*25))*0.5%*CX52</f>
        <v>0</v>
      </c>
      <c r="CY53" s="1828">
        <f>((CY42+CY43)*12/CY22*SatsBilag!$B$8-((CY42+CY43)/CY22*SatsBilag!$B$8*12/52/5*25))*0.5%*CY52</f>
        <v>0</v>
      </c>
      <c r="CZ53" s="1828">
        <f>((CZ42+CZ43)*12/CZ22*SatsBilag!$B$8-((CZ42+CZ43)/CZ22*SatsBilag!$B$8*12/52/5*25))*0.5%*CZ52</f>
        <v>0</v>
      </c>
      <c r="DA53" s="1828">
        <f>((DA42+DA43)*12/DA22*SatsBilag!$B$8-((DA42+DA43)/DA22*SatsBilag!$B$8*12/52/5*25))*0.5%*DA52</f>
        <v>0</v>
      </c>
      <c r="DB53" s="1826">
        <f>((DB42+DB43)*12/DB22*SatsBilag!$B$8-((DB42+DB43)/DB22*SatsBilag!$B$8*12/52/5*25))*0.5%*DB52</f>
        <v>0</v>
      </c>
      <c r="DC53" s="1832"/>
      <c r="DD53" s="1830"/>
      <c r="DE53" s="75"/>
    </row>
    <row r="54" spans="1:134" ht="25" customHeight="1" thickBot="1">
      <c r="A54" s="2942" t="str">
        <f>"Skolens lønudgifter budget år "&amp;budgetår</f>
        <v>Skolens lønudgifter budget år 2025</v>
      </c>
      <c r="B54" s="2942"/>
      <c r="C54" s="634">
        <f t="shared" ref="C54:U54" si="248">IF(C16="orlov",C46*C14+C53+C51+C49-IF(C21="nej",C46/3*C14),(C48*C14)+C53+C51+C49)</f>
        <v>0</v>
      </c>
      <c r="D54" s="634">
        <f t="shared" si="248"/>
        <v>0</v>
      </c>
      <c r="E54" s="634">
        <f t="shared" si="248"/>
        <v>0</v>
      </c>
      <c r="F54" s="634">
        <f t="shared" ref="F54" si="249">IF(F16="orlov",F46*F14+F53+F51+F49-IF(F21="nej",F46/3*F14),(F48*F14)+F53+F51+F49)</f>
        <v>0</v>
      </c>
      <c r="G54" s="634">
        <f t="shared" si="248"/>
        <v>0</v>
      </c>
      <c r="H54" s="634">
        <f t="shared" si="248"/>
        <v>0</v>
      </c>
      <c r="I54" s="634">
        <f t="shared" ref="I54" si="250">IF(I16="orlov",I46*I14+I53+I51+I49-IF(I21="nej",I46/3*I14),(I48*I14)+I53+I51+I49)</f>
        <v>0</v>
      </c>
      <c r="J54" s="634">
        <f t="shared" si="248"/>
        <v>0</v>
      </c>
      <c r="K54" s="634">
        <f t="shared" si="248"/>
        <v>0</v>
      </c>
      <c r="L54" s="634">
        <f t="shared" si="248"/>
        <v>0</v>
      </c>
      <c r="M54" s="634">
        <f t="shared" si="248"/>
        <v>0</v>
      </c>
      <c r="N54" s="634">
        <f t="shared" si="248"/>
        <v>0</v>
      </c>
      <c r="O54" s="634">
        <f t="shared" si="248"/>
        <v>0</v>
      </c>
      <c r="P54" s="634">
        <f t="shared" si="248"/>
        <v>0</v>
      </c>
      <c r="Q54" s="634">
        <f t="shared" si="248"/>
        <v>0</v>
      </c>
      <c r="R54" s="634">
        <f t="shared" si="248"/>
        <v>0</v>
      </c>
      <c r="S54" s="634">
        <f t="shared" si="248"/>
        <v>0</v>
      </c>
      <c r="T54" s="634">
        <f t="shared" si="248"/>
        <v>0</v>
      </c>
      <c r="U54" s="634">
        <f t="shared" si="248"/>
        <v>0</v>
      </c>
      <c r="V54" s="634">
        <f>IF(V16="orlov",V46*V14+V53,V48*V14+V53)</f>
        <v>0</v>
      </c>
      <c r="W54" s="634">
        <f>IF(W16="orlov",W46*W14+W53,W48*W14+W53)</f>
        <v>0</v>
      </c>
      <c r="X54" s="634">
        <f t="shared" ref="X54:AJ54" si="251">IF(X16="orlov",X46*X14+X53+X51+X49-IF(X21="nej",X46/3*X14),(X48*X14)+X53+X51+X49)</f>
        <v>0</v>
      </c>
      <c r="Y54" s="634">
        <f t="shared" ref="Y54" si="252">IF(Y16="orlov",Y46*Y14+Y53+Y51+Y49-IF(Y21="nej",Y46/3*Y14),(Y48*Y14)+Y53+Y51+Y49)</f>
        <v>0</v>
      </c>
      <c r="Z54" s="634">
        <f t="shared" si="251"/>
        <v>0</v>
      </c>
      <c r="AA54" s="634">
        <f t="shared" si="251"/>
        <v>0</v>
      </c>
      <c r="AB54" s="634">
        <f t="shared" si="251"/>
        <v>0</v>
      </c>
      <c r="AC54" s="634">
        <f t="shared" si="251"/>
        <v>0</v>
      </c>
      <c r="AD54" s="634">
        <f t="shared" si="251"/>
        <v>0</v>
      </c>
      <c r="AE54" s="634">
        <f t="shared" ref="AE54" si="253">IF(AE16="orlov",AE46*AE14+AE53+AE51+AE49-IF(AE21="nej",AE46/3*AE14),(AE48*AE14)+AE53+AE51+AE49)</f>
        <v>0</v>
      </c>
      <c r="AF54" s="634">
        <f t="shared" si="251"/>
        <v>0</v>
      </c>
      <c r="AG54" s="634">
        <f t="shared" si="251"/>
        <v>0</v>
      </c>
      <c r="AH54" s="634">
        <f t="shared" si="251"/>
        <v>0</v>
      </c>
      <c r="AI54" s="634">
        <f t="shared" si="251"/>
        <v>0</v>
      </c>
      <c r="AJ54" s="634">
        <f t="shared" si="251"/>
        <v>0</v>
      </c>
      <c r="AK54" s="634">
        <f t="shared" ref="AK54:AN54" si="254">IF(AK16="orlov",AK46*AK14+AK53+AK51+AK49-IF(AK21="nej",AK46/3*AK14),(AK48*AK14)+AK53+AK51+AK49)</f>
        <v>0</v>
      </c>
      <c r="AL54" s="634">
        <f t="shared" si="254"/>
        <v>0</v>
      </c>
      <c r="AM54" s="634">
        <f t="shared" si="254"/>
        <v>0</v>
      </c>
      <c r="AN54" s="634">
        <f t="shared" si="254"/>
        <v>0</v>
      </c>
      <c r="AO54" s="634">
        <f t="shared" ref="AO54:AY54" si="255">IF(AO16="orlov",AO46*AO14+AO53+AO51+AO49-IF(AO21="nej",AO46/3*AO14),(AO48*AO14)+AO53+AO51+AO49)</f>
        <v>0</v>
      </c>
      <c r="AP54" s="634">
        <f t="shared" si="255"/>
        <v>0</v>
      </c>
      <c r="AQ54" s="634">
        <f t="shared" si="255"/>
        <v>0</v>
      </c>
      <c r="AR54" s="634">
        <f t="shared" si="255"/>
        <v>0</v>
      </c>
      <c r="AS54" s="634">
        <f t="shared" si="255"/>
        <v>0</v>
      </c>
      <c r="AT54" s="634">
        <f t="shared" si="255"/>
        <v>0</v>
      </c>
      <c r="AU54" s="634">
        <f t="shared" si="255"/>
        <v>0</v>
      </c>
      <c r="AV54" s="634">
        <f t="shared" si="255"/>
        <v>0</v>
      </c>
      <c r="AW54" s="634">
        <f t="shared" si="255"/>
        <v>0</v>
      </c>
      <c r="AX54" s="634">
        <f t="shared" si="255"/>
        <v>0</v>
      </c>
      <c r="AY54" s="634">
        <f t="shared" si="255"/>
        <v>0</v>
      </c>
      <c r="AZ54" s="634">
        <f>IF(AZ16="orlov",AZ46*AZ14+AZ53,AZ48*AZ14+AZ53)</f>
        <v>0</v>
      </c>
      <c r="BA54" s="634">
        <f>IF(BA16="orlov",BA46*BA14+BA53,BA48*BA14+BA53)</f>
        <v>0</v>
      </c>
      <c r="BB54" s="634">
        <f t="shared" ref="BB54:BL54" si="256">IF(BB16="orlov",BB46*BB14+BB53+BB51+BB49-IF(BB21="nej",BB46/3*BB14),(BB48*BB14)+BB53+BB51+BB49)</f>
        <v>0</v>
      </c>
      <c r="BC54" s="634">
        <f t="shared" ref="BC54" si="257">IF(BC16="orlov",BC46*BC14+BC53+BC51+BC49-IF(BC21="nej",BC46/3*BC14),(BC48*BC14)+BC53+BC51+BC49)</f>
        <v>0</v>
      </c>
      <c r="BD54" s="634">
        <f t="shared" si="256"/>
        <v>0</v>
      </c>
      <c r="BE54" s="634">
        <f t="shared" si="256"/>
        <v>0</v>
      </c>
      <c r="BF54" s="634">
        <f t="shared" si="256"/>
        <v>0</v>
      </c>
      <c r="BG54" s="634">
        <f t="shared" si="256"/>
        <v>0</v>
      </c>
      <c r="BH54" s="634">
        <f t="shared" si="256"/>
        <v>0</v>
      </c>
      <c r="BI54" s="634">
        <f t="shared" si="256"/>
        <v>0</v>
      </c>
      <c r="BJ54" s="634">
        <f t="shared" si="256"/>
        <v>0</v>
      </c>
      <c r="BK54" s="634">
        <f t="shared" si="256"/>
        <v>0</v>
      </c>
      <c r="BL54" s="634">
        <f t="shared" si="256"/>
        <v>0</v>
      </c>
      <c r="BM54" s="634">
        <f>IF(BM16="orlov",BM46*BM14+BM53,BM48*BM14+BM53)</f>
        <v>0</v>
      </c>
      <c r="BN54" s="634">
        <f>IF(BN16="orlov",BN46*BN14+BN53,BN48*BN14+BN53)</f>
        <v>0</v>
      </c>
      <c r="BO54" s="634">
        <f t="shared" ref="BO54:BX54" si="258">IF(BO16="orlov",BO46*BO14+BO53+BO51+BO49-IF(BO21="nej",BO46/3*BO14),(BO48*BO14)+BO53+BO51+BO49)</f>
        <v>0</v>
      </c>
      <c r="BP54" s="634">
        <f t="shared" si="258"/>
        <v>0</v>
      </c>
      <c r="BQ54" s="634">
        <f t="shared" si="258"/>
        <v>0</v>
      </c>
      <c r="BR54" s="634">
        <f t="shared" si="258"/>
        <v>0</v>
      </c>
      <c r="BS54" s="634">
        <f t="shared" si="258"/>
        <v>0</v>
      </c>
      <c r="BT54" s="634">
        <f t="shared" si="258"/>
        <v>0</v>
      </c>
      <c r="BU54" s="634">
        <f t="shared" si="258"/>
        <v>0</v>
      </c>
      <c r="BV54" s="634">
        <f t="shared" si="258"/>
        <v>0</v>
      </c>
      <c r="BW54" s="634">
        <f t="shared" si="258"/>
        <v>0</v>
      </c>
      <c r="BX54" s="634">
        <f t="shared" si="258"/>
        <v>0</v>
      </c>
      <c r="BY54" s="634">
        <f>IF(BY16="orlov",BY46*BY14+BY53,BY48*BY14+BY53)</f>
        <v>0</v>
      </c>
      <c r="BZ54" s="634">
        <f>IF(BZ16="orlov",BZ46*BZ14+#REF!+BZ53,BZ48*BZ14+BZ53)</f>
        <v>0</v>
      </c>
      <c r="CA54" s="634">
        <f t="shared" ref="CA54:CH54" si="259">IF(CA16="orlov",CA46*CA14+CA53+CA51+CA49-IF(CA21="nej",CA46/3*CA14),(CA48*CA14)+CA53+CA51+CA49)</f>
        <v>0</v>
      </c>
      <c r="CB54" s="634">
        <f t="shared" si="259"/>
        <v>0</v>
      </c>
      <c r="CC54" s="634">
        <f t="shared" si="259"/>
        <v>0</v>
      </c>
      <c r="CD54" s="634">
        <f t="shared" si="259"/>
        <v>0</v>
      </c>
      <c r="CE54" s="634">
        <f t="shared" si="259"/>
        <v>0</v>
      </c>
      <c r="CF54" s="634">
        <f t="shared" si="259"/>
        <v>0</v>
      </c>
      <c r="CG54" s="634">
        <f t="shared" si="259"/>
        <v>0</v>
      </c>
      <c r="CH54" s="634">
        <f t="shared" si="259"/>
        <v>0</v>
      </c>
      <c r="CI54" s="634">
        <f>IF(CI16="orlov",CI46*CI14+CI53,CI48*CI14+CI53)</f>
        <v>0</v>
      </c>
      <c r="CJ54" s="634">
        <f>IF(CJ16="orlov",CJ46*CJ14+CJ53,CJ48*CJ14+CJ53)</f>
        <v>0</v>
      </c>
      <c r="CK54" s="634">
        <f t="shared" ref="CK54:CU54" si="260">IF(CK16="orlov",CK46*CK14+CK53+CK51+CK49-IF(CK21="nej",CK46/3*CK14),(CK48*CK14)+CK53+CK51+CK49)</f>
        <v>0</v>
      </c>
      <c r="CL54" s="634">
        <f t="shared" si="260"/>
        <v>0</v>
      </c>
      <c r="CM54" s="634">
        <f t="shared" si="260"/>
        <v>0</v>
      </c>
      <c r="CN54" s="634">
        <f t="shared" si="260"/>
        <v>0</v>
      </c>
      <c r="CO54" s="634">
        <f t="shared" si="260"/>
        <v>0</v>
      </c>
      <c r="CP54" s="634">
        <f t="shared" si="260"/>
        <v>0</v>
      </c>
      <c r="CQ54" s="634">
        <f t="shared" si="260"/>
        <v>0</v>
      </c>
      <c r="CR54" s="634">
        <f t="shared" si="260"/>
        <v>0</v>
      </c>
      <c r="CS54" s="634">
        <f t="shared" si="260"/>
        <v>0</v>
      </c>
      <c r="CT54" s="634">
        <f t="shared" si="260"/>
        <v>0</v>
      </c>
      <c r="CU54" s="634">
        <f t="shared" si="260"/>
        <v>0</v>
      </c>
      <c r="CV54" s="634">
        <f>IF(CV16="orlov",CV46*CV14+CV53,CV48*CV14+CV53)</f>
        <v>0</v>
      </c>
      <c r="CW54" s="634">
        <f>IF(CW16="orlov",CW46*CW14+CW53,CW48*CW14+CW53)</f>
        <v>0</v>
      </c>
      <c r="CX54" s="634">
        <f>IF(CX16="orlov",CX46*CX14+CX53+CX51+CX49-IF(CX21="nej",CX46/3*CX14),(CX48*CX14)+CX53+CX51+CX49)</f>
        <v>0</v>
      </c>
      <c r="CY54" s="634">
        <f>IF(CY16="orlov",CY46*CY14+CY53+CY51+CY49-IF(CY21="nej",CY46/3*CY14),(CY48*CY14)+CY53+CY51+CY49)</f>
        <v>0</v>
      </c>
      <c r="CZ54" s="634">
        <f>IF(CZ16="orlov",CZ46*CZ14+CZ53+CZ51+CZ49-IF(CZ21="nej",CZ46/3*CZ14),(CZ48*CZ14)+CZ53+CZ51+CZ49)</f>
        <v>0</v>
      </c>
      <c r="DA54" s="634">
        <f>IF(DA16="orlov",DA46*DA14+DA53+DA51+DA49-IF(DA21="nej",DA46/3*DA14),(DA48*DA14)+DA53+DA51+DA49)</f>
        <v>0</v>
      </c>
      <c r="DB54" s="634">
        <f>IF(DB16="orlov",DB46*DB14+DB53+DB51+DB49-IF(DB21="nej",DB46/3*DB14),(DB48*DB14)+DB53+DB51+DB49)</f>
        <v>0</v>
      </c>
      <c r="DC54" s="634">
        <f>IF(DC16="orlov",DC46*DC14+DC53,DC48*DC14+DC53)</f>
        <v>0</v>
      </c>
      <c r="DD54" s="634">
        <f>IF(DD16="orlov",DD46*DD14+DD53,DD48*DD14+DD53)</f>
        <v>0</v>
      </c>
    </row>
    <row r="55" spans="1:134" ht="25" customHeight="1" thickBot="1">
      <c r="A55" s="2942" t="str">
        <f>"Skolens lønudgifter anslået år  "&amp;budgetår+1</f>
        <v>Skolens lønudgifter anslået år  2026</v>
      </c>
      <c r="B55" s="2942"/>
      <c r="C55" s="634">
        <f>IF(AND(C15&gt;0,C16="ORLOV"),(C54*(Lønfremskivning+1)),(((C48)*'Lon pæd., TAP mm'!C15)+IF(C15&gt;0,+C53+C49+C58+C51+C125+C130))*(Lønfremskivning+1))</f>
        <v>0</v>
      </c>
      <c r="D55" s="634">
        <f>IF(AND(D15&gt;0,D16="ORLOV"),(D54*(Lønfremskivning+1)),(((D48)*'Lon pæd., TAP mm'!D15)+IF(D15&gt;0,+D53+D49+D58+D51+D125+D130))*(Lønfremskivning+1))</f>
        <v>0</v>
      </c>
      <c r="E55" s="634">
        <f>IF(AND(E15&gt;0,E16="ORLOV"),(E54*(Lønfremskivning+1)),(((E48)*'Lon pæd., TAP mm'!E15)+IF(E15&gt;0,+E53+E49+E58+E51+E125+E130))*(Lønfremskivning+1))</f>
        <v>0</v>
      </c>
      <c r="F55" s="634">
        <f>IF(AND(F15&gt;0,F16="ORLOV"),(F54*(Lønfremskivning+1)),(((F48)*'Lon pæd., TAP mm'!F15)+IF(F15&gt;0,+F53+F49+F58+F51+F125+F130))*(Lønfremskivning+1))</f>
        <v>0</v>
      </c>
      <c r="G55" s="634">
        <f>IF(AND(G15&gt;0,G16="ORLOV"),(G54*(Lønfremskivning+1)),(((G48)*'Lon pæd., TAP mm'!G15)+IF(G15&gt;0,+G53+G49+G58+G51+G125+G130))*(Lønfremskivning+1))</f>
        <v>0</v>
      </c>
      <c r="H55" s="634">
        <f>IF(AND(H15&gt;0,H16="ORLOV"),(H54*(Lønfremskivning+1)),(((H48)*'Lon pæd., TAP mm'!H15)+IF(H15&gt;0,+H53+H49+H58+H51+H125+H130))*(Lønfremskivning+1))</f>
        <v>0</v>
      </c>
      <c r="I55" s="634">
        <f>IF(AND(I15&gt;0,I16="ORLOV"),(I54*(Lønfremskivning+1)),(((I48)*'Lon pæd., TAP mm'!I15)+IF(I15&gt;0,+I53+I49+I58+I51+I125+I130))*(Lønfremskivning+1))</f>
        <v>0</v>
      </c>
      <c r="J55" s="634">
        <f>IF(AND(J15&gt;0,J16="ORLOV"),(J54*(Lønfremskivning+1)),(((J48)*'Lon pæd., TAP mm'!J15)+IF(J15&gt;0,+J53+J49+J58+J51+J125+J130))*(Lønfremskivning+1))</f>
        <v>0</v>
      </c>
      <c r="K55" s="634">
        <f>IF(AND(K15&gt;0,K16="ORLOV"),(K54*(Lønfremskivning+1)),(((K48)*'Lon pæd., TAP mm'!K15)+IF(K15&gt;0,+K53+K49+K58+K51+K125+K130))*(Lønfremskivning+1))</f>
        <v>0</v>
      </c>
      <c r="L55" s="634">
        <f>IF(AND(L15&gt;0,L16="ORLOV"),(L54*(Lønfremskivning+1)),(((L48)*'Lon pæd., TAP mm'!L15)+IF(L15&gt;0,+L53+L49+L58+L51+L125+L130))*(Lønfremskivning+1))</f>
        <v>0</v>
      </c>
      <c r="M55" s="634">
        <f>IF(AND(M15&gt;0,M16="ORLOV"),(M54*(Lønfremskivning+1)),(((M48)*'Lon pæd., TAP mm'!M15)+IF(M15&gt;0,+M53+M49+M58+M51+M125+M130))*(Lønfremskivning+1))</f>
        <v>0</v>
      </c>
      <c r="N55" s="634">
        <f>IF(AND(N15&gt;0,N16="ORLOV"),(N54*(Lønfremskivning+1)),(((N48)*'Lon pæd., TAP mm'!N15)+IF(N15&gt;0,+N53+N49+N58+N51+N125+N130))*(Lønfremskivning+1))</f>
        <v>0</v>
      </c>
      <c r="O55" s="634">
        <f>IF(AND(O15&gt;0,O16="ORLOV"),(O54*(Lønfremskivning+1)),(((O48)*'Lon pæd., TAP mm'!O15)+IF(O15&gt;0,+O53+O49+O58+O51+O125+O130))*(Lønfremskivning+1))</f>
        <v>0</v>
      </c>
      <c r="P55" s="634">
        <f>IF(AND(P15&gt;0,P16="ORLOV"),(P54*(Lønfremskivning+1)),(((P48)*'Lon pæd., TAP mm'!P15)+IF(P15&gt;0,+P53+P49+P58+P51+P125+P130))*(Lønfremskivning+1))</f>
        <v>0</v>
      </c>
      <c r="Q55" s="634">
        <f>IF(AND(Q15&gt;0,Q16="ORLOV"),(Q54*(Lønfremskivning+1)),(((Q48)*'Lon pæd., TAP mm'!Q15)+IF(Q15&gt;0,+Q53+Q49+Q58+Q51+Q125+Q130))*(Lønfremskivning+1))</f>
        <v>0</v>
      </c>
      <c r="R55" s="634">
        <f>IF(AND(R15&gt;0,R16="ORLOV"),(R54*(Lønfremskivning+1)),(((R48)*'Lon pæd., TAP mm'!R15)+IF(R15&gt;0,+R53+R49+R58+R51+R125+R130))*(Lønfremskivning+1))</f>
        <v>0</v>
      </c>
      <c r="S55" s="634">
        <f>IF(AND(S15&gt;0,S16="ORLOV"),(S54*(Lønfremskivning+1)),(((S48)*'Lon pæd., TAP mm'!S15)+IF(S15&gt;0,+S53+S49+S58+S51+S125+S130))*(Lønfremskivning+1))</f>
        <v>0</v>
      </c>
      <c r="T55" s="634">
        <f>IF(AND(T15&gt;0,T16="ORLOV"),(T54*(Lønfremskivning+1)),(((T48)*'Lon pæd., TAP mm'!T15)+IF(T15&gt;0,+T53+T49+T58+T51+T125+T130))*(Lønfremskivning+1))</f>
        <v>0</v>
      </c>
      <c r="U55" s="634">
        <f>IF(AND(U15&gt;0,U16="ORLOV"),(U54*(Lønfremskivning+1)),(((U48)*'Lon pæd., TAP mm'!U15)+IF(U15&gt;0,+U53+U49+U58+U51+U125+U130))*(Lønfremskivning+1))</f>
        <v>0</v>
      </c>
      <c r="V55" s="634">
        <f>IF(AND(V15&gt;0,V16="ORLOV"),V46*V15*(Lønfremskivning+1),(V48*'Lon pæd., TAP mm'!V15+V53)*(Lønfremskivning+1))</f>
        <v>0</v>
      </c>
      <c r="W55" s="634">
        <f>IF(AND(W15&gt;0,W16="ORLOV"),W46*W15*(Lønfremskivning+1),(W48*'Lon pæd., TAP mm'!W15+W53)*(Lønfremskivning+1))</f>
        <v>0</v>
      </c>
      <c r="X55" s="634">
        <f>IF(AND(X15&gt;0,X16="ORLOV"),(X54*(Lønfremskivning+1)),(((X48)*'Lon pæd., TAP mm'!X15)+IF(X15&gt;0,+X53+X49+X58+X51+X125+X130))*(Lønfremskivning+1))</f>
        <v>0</v>
      </c>
      <c r="Y55" s="634">
        <f>IF(AND(Y15&gt;0,Y16="ORLOV"),(Y54*(Lønfremskivning+1)),(((Y48)*'Lon pæd., TAP mm'!Y15)+IF(Y15&gt;0,+Y53+Y49+Y58+Y51+Y125+Y130))*(Lønfremskivning+1))</f>
        <v>0</v>
      </c>
      <c r="Z55" s="634">
        <f>IF(AND(Z15&gt;0,Z16="ORLOV"),(Z54*(Lønfremskivning+1)),(((Z48)*'Lon pæd., TAP mm'!Z15)+IF(Z15&gt;0,+Z53+Z49+Z58+Z51+Z125+Z130))*(Lønfremskivning+1))</f>
        <v>0</v>
      </c>
      <c r="AA55" s="634">
        <f>IF(AND(AA15&gt;0,AA16="ORLOV"),(AA54*(Lønfremskivning+1)),(((AA48)*'Lon pæd., TAP mm'!AA15)+IF(AA15&gt;0,+AA53+AA49+AA58+AA51+AA125+AA130))*(Lønfremskivning+1))</f>
        <v>0</v>
      </c>
      <c r="AB55" s="634">
        <f>IF(AND(AB15&gt;0,AB16="ORLOV"),(AB54*(Lønfremskivning+1)),(((AB48)*'Lon pæd., TAP mm'!AB15)+IF(AB15&gt;0,+AB53+AB49+AB58+AB51+AB125+AB130))*(Lønfremskivning+1))</f>
        <v>0</v>
      </c>
      <c r="AC55" s="634">
        <f>IF(AND(AC15&gt;0,AC16="ORLOV"),(AC54*(Lønfremskivning+1)),(((AC48)*'Lon pæd., TAP mm'!AC15)+IF(AC15&gt;0,+AC53+AC49+AC58+AC51+AC125+AC130))*(Lønfremskivning+1))</f>
        <v>0</v>
      </c>
      <c r="AD55" s="634">
        <f>IF(AND(AD15&gt;0,AD16="ORLOV"),(AD54*(Lønfremskivning+1)),(((AD48)*'Lon pæd., TAP mm'!AD15)+IF(AD15&gt;0,+AD53+AD49+AD58+AD51+AD125+AD130))*(Lønfremskivning+1))</f>
        <v>0</v>
      </c>
      <c r="AE55" s="634">
        <f>IF(AND(AE15&gt;0,AE16="ORLOV"),(AE54*(Lønfremskivning+1)),(((AE48)*'Lon pæd., TAP mm'!AE15)+IF(AE15&gt;0,+AE53+AE49+AE58+AE51+AE125+AE130))*(Lønfremskivning+1))</f>
        <v>0</v>
      </c>
      <c r="AF55" s="634">
        <f>IF(AND(AF15&gt;0,AF16="ORLOV"),(AF54*(Lønfremskivning+1)),(((AF48)*'Lon pæd., TAP mm'!AF15)+IF(AF15&gt;0,+AF53+AF49+AF58+AF51+AF125+AF130))*(Lønfremskivning+1))</f>
        <v>0</v>
      </c>
      <c r="AG55" s="634">
        <f>IF(AND(AG15&gt;0,AG16="ORLOV"),(AG54*(Lønfremskivning+1)),(((AG48)*'Lon pæd., TAP mm'!AG15)+IF(AG15&gt;0,+AG53+AG49+AG58+AG51+AG125+AG130))*(Lønfremskivning+1))</f>
        <v>0</v>
      </c>
      <c r="AH55" s="634">
        <f>IF(AND(AH15&gt;0,AH16="ORLOV"),(AH54*(Lønfremskivning+1)),(((AH48)*'Lon pæd., TAP mm'!AH15)+IF(AH15&gt;0,+AH53+AH49+AH58+AH51+AH125+AH130))*(Lønfremskivning+1))</f>
        <v>0</v>
      </c>
      <c r="AI55" s="634">
        <f>IF(AND(AI15&gt;0,AI16="ORLOV"),(AI54*(Lønfremskivning+1)),(((AI48)*'Lon pæd., TAP mm'!AI15)+IF(AI15&gt;0,+AI53+AI49+AI58+AI51+AI125+AI130))*(Lønfremskivning+1))</f>
        <v>0</v>
      </c>
      <c r="AJ55" s="634">
        <f>IF(AND(AJ15&gt;0,AJ16="ORLOV"),(AJ54*(Lønfremskivning+1)),(((AJ48)*'Lon pæd., TAP mm'!AJ15)+IF(AJ15&gt;0,+AJ53+AJ49+AJ58+AJ51+AJ125+AJ130))*(Lønfremskivning+1))</f>
        <v>0</v>
      </c>
      <c r="AK55" s="634">
        <f>IF(AND(AK15&gt;0,AK16="ORLOV"),(AK54*(Lønfremskivning+1)),(((AK48)*'Lon pæd., TAP mm'!AK15)+IF(AK15&gt;0,+AK53+AK49+AK58+AK51+AK125+AK130))*(Lønfremskivning+1))</f>
        <v>0</v>
      </c>
      <c r="AL55" s="634">
        <f>IF(AND(AL15&gt;0,AL16="ORLOV"),(AL54*(Lønfremskivning+1)),(((AL48)*'Lon pæd., TAP mm'!AL15)+IF(AL15&gt;0,+AL53+AL49+AL58+AL51+AL125+AL130))*(Lønfremskivning+1))</f>
        <v>0</v>
      </c>
      <c r="AM55" s="634">
        <f>IF(AND(AM15&gt;0,AM16="ORLOV"),(AM54*(Lønfremskivning+1)),(((AM48)*'Lon pæd., TAP mm'!AM15)+IF(AM15&gt;0,+AM53+AM49+AM58+AM51+AM125+AM130))*(Lønfremskivning+1))</f>
        <v>0</v>
      </c>
      <c r="AN55" s="634">
        <f>IF(AND(AN15&gt;0,AN16="ORLOV"),(AN54*(Lønfremskivning+1)),(((AN48)*'Lon pæd., TAP mm'!AN15)+IF(AN15&gt;0,+AN53+AN49+AN58+AN51+AN125+AN130))*(Lønfremskivning+1))</f>
        <v>0</v>
      </c>
      <c r="AO55" s="634">
        <f>IF(AND(AO15&gt;0,AO16="ORLOV"),(AO54*(Lønfremskivning+1)),(((AO48)*'Lon pæd., TAP mm'!AO15)+IF(AO15&gt;0,+AO53+AO49+AO58+AO51+AO125+AO130))*(Lønfremskivning+1))</f>
        <v>0</v>
      </c>
      <c r="AP55" s="634">
        <f>IF(AND(AP15&gt;0,AP16="ORLOV"),(AP54*(Lønfremskivning+1)),(((AP48)*'Lon pæd., TAP mm'!AP15)+IF(AP15&gt;0,+AP53+AP49+AP58+AP51+AP125+AP130))*(Lønfremskivning+1))</f>
        <v>0</v>
      </c>
      <c r="AQ55" s="634">
        <f>IF(AND(AQ15&gt;0,AQ16="ORLOV"),(AQ54*(Lønfremskivning+1)),(((AQ48)*'Lon pæd., TAP mm'!AQ15)+IF(AQ15&gt;0,+AQ53+AQ49+AQ58+AQ51+AQ125+AQ130))*(Lønfremskivning+1))</f>
        <v>0</v>
      </c>
      <c r="AR55" s="634">
        <f t="shared" ref="AR55:AY55" si="261">IF(AND(AR15&gt;0,AR16="ORLOV"),(AR54*(Lønfremskivning+1)),(((AR48)*AR15)+IF(AR15&gt;0,+AR53+AR49+AR58+AR51+AR125+AR130))*(Lønfremskivning+1))</f>
        <v>0</v>
      </c>
      <c r="AS55" s="634">
        <f t="shared" si="261"/>
        <v>0</v>
      </c>
      <c r="AT55" s="634">
        <f t="shared" si="261"/>
        <v>0</v>
      </c>
      <c r="AU55" s="634">
        <f t="shared" si="261"/>
        <v>0</v>
      </c>
      <c r="AV55" s="634">
        <f t="shared" si="261"/>
        <v>0</v>
      </c>
      <c r="AW55" s="634">
        <f t="shared" si="261"/>
        <v>0</v>
      </c>
      <c r="AX55" s="634">
        <f t="shared" si="261"/>
        <v>0</v>
      </c>
      <c r="AY55" s="634">
        <f t="shared" si="261"/>
        <v>0</v>
      </c>
      <c r="AZ55" s="634">
        <f>IF(AND(AZ15&gt;0,AZ16="ORLOV"),AZ46*AZ15*(Lønfremskivning+1),(AZ48*'Lon pæd., TAP mm'!AZ15+AZ53)*(Lønfremskivning+1))</f>
        <v>0</v>
      </c>
      <c r="BA55" s="634">
        <f>IF(AND(BA15&gt;0,BA16="ORLOV"),BA46*BA15*(Lønfremskivning+1),(BA48*'Lon pæd., TAP mm'!BA15+BA53)*(Lønfremskivning+1))</f>
        <v>0</v>
      </c>
      <c r="BB55" s="634">
        <f>IF(AND(BB15&gt;0,BB16="ORLOV"),(BB54*(Lønfremskivning+1)),(((BB48)*'Lon pæd., TAP mm'!BB15)+IF(BB15&gt;0,+BB53+BB49+BB58+BB51+BB125+BB130))*(Lønfremskivning+1))</f>
        <v>0</v>
      </c>
      <c r="BC55" s="634">
        <f>IF(AND(BC15&gt;0,BC16="ORLOV"),(BC54*(Lønfremskivning+1)),(((BC48)*'Lon pæd., TAP mm'!BC15)+IF(BC15&gt;0,+BC53+BC49+BC58+BC51+BC125+BC130))*(Lønfremskivning+1))</f>
        <v>0</v>
      </c>
      <c r="BD55" s="634">
        <f>IF(AND(BD15&gt;0,BD16="ORLOV"),(BD54*(Lønfremskivning+1)),(((BD48)*'Lon pæd., TAP mm'!BD15)+IF(BD15&gt;0,+BD53+BD49+BD58+BD51+BD125+BD130))*(Lønfremskivning+1))</f>
        <v>0</v>
      </c>
      <c r="BE55" s="634">
        <f>IF(AND(BE15&gt;0,BE16="ORLOV"),(BE54*(Lønfremskivning+1)),(((BE48)*'Lon pæd., TAP mm'!BE15)+IF(BE15&gt;0,+BE53+BE49+BE58+BE51+BE125+BE130))*(Lønfremskivning+1))</f>
        <v>0</v>
      </c>
      <c r="BF55" s="634">
        <f>IF(AND(BF15&gt;0,BF16="ORLOV"),(BF54*(Lønfremskivning+1)),(((BF48)*'Lon pæd., TAP mm'!BF15)+IF(BF15&gt;0,+BF53+BF49+BF58+BF51+BF125+BF130))*(Lønfremskivning+1))</f>
        <v>0</v>
      </c>
      <c r="BG55" s="634">
        <f>IF(AND(BG15&gt;0,BG16="ORLOV"),(BG54*(Lønfremskivning+1)),(((BG48)*'Lon pæd., TAP mm'!BG15)+IF(BG15&gt;0,+BG53+BG49+BG58+BG51+BG125+BG130))*(Lønfremskivning+1))</f>
        <v>0</v>
      </c>
      <c r="BH55" s="634">
        <f>IF(AND(BH15&gt;0,BH16="ORLOV"),(BH54*(Lønfremskivning+1)),(((BH48)*'Lon pæd., TAP mm'!BH15)+IF(BH15&gt;0,+BH53+BH49+BH58+BH51+BH125+BH130))*(Lønfremskivning+1))</f>
        <v>0</v>
      </c>
      <c r="BI55" s="634">
        <f>IF(AND(BI15&gt;0,BI16="ORLOV"),(BI54*(Lønfremskivning+1)),(((BI48)*'Lon pæd., TAP mm'!BI15)+IF(BI15&gt;0,+BI53+BI49+BI58+BI51+BI125+BI130))*(Lønfremskivning+1))</f>
        <v>0</v>
      </c>
      <c r="BJ55" s="634">
        <f>IF(AND(BJ15&gt;0,BJ16="ORLOV"),(BJ54*(Lønfremskivning+1)),(((BJ48)*'Lon pæd., TAP mm'!BJ15)+IF(BJ15&gt;0,+BJ53+BJ49+BJ58+BJ51+BJ125+BJ130))*(Lønfremskivning+1))</f>
        <v>0</v>
      </c>
      <c r="BK55" s="634">
        <f>IF(AND(BK15&gt;0,BK16="ORLOV"),(BK54*(Lønfremskivning+1)),(((BK48)*'Lon pæd., TAP mm'!BK15)+IF(BK15&gt;0,+BK53+BK49+BK58+BK51+BK125+BK130))*(Lønfremskivning+1))</f>
        <v>0</v>
      </c>
      <c r="BL55" s="634">
        <f>IF(AND(BL15&gt;0,BL16="ORLOV"),(BL54*(Lønfremskivning+1)),(((BL48)*'Lon pæd., TAP mm'!BL15)+IF(BL15&gt;0,+BL53+BL49+BL58+BL51+BL125+BL130))*(Lønfremskivning+1))</f>
        <v>0</v>
      </c>
      <c r="BM55" s="634">
        <f>IF(AND(BM15&gt;0,BM16="ORLOV"),BM46*BM15*(Lønfremskivning+1),(BM48*'Lon pæd., TAP mm'!BM15+BM53)*(Lønfremskivning+1))</f>
        <v>0</v>
      </c>
      <c r="BN55" s="634">
        <f>IF(AND(BN15&gt;0,BN16="ORLOV"),BN46*BN15*(Lønfremskivning+1),(BN48*'Lon pæd., TAP mm'!BN15+BN53)*(Lønfremskivning+1))</f>
        <v>0</v>
      </c>
      <c r="BO55" s="634">
        <f>IF(AND(BO15&gt;0,BO16="ORLOV"),(BO54*(Lønfremskivning+1)),(((BO48)*'Lon pæd., TAP mm'!BO15)+IF(BO15&gt;0,+BO53+BO49+BO58+BO51+BO125+BO130))*(Lønfremskivning+1))</f>
        <v>0</v>
      </c>
      <c r="BP55" s="634">
        <f>IF(AND(BP15&gt;0,BP16="ORLOV"),(BP54*(Lønfremskivning+1)),(((BP48)*'Lon pæd., TAP mm'!BP15)+IF(BP15&gt;0,+BP53+BP49+BP58+BP51+BP125+BP130))*(Lønfremskivning+1))</f>
        <v>0</v>
      </c>
      <c r="BQ55" s="634">
        <f>IF(AND(BQ15&gt;0,BQ16="ORLOV"),(BQ54*(Lønfremskivning+1)),(((BQ48)*'Lon pæd., TAP mm'!BQ15)+IF(BQ15&gt;0,+BQ53+BQ49+BQ58+BQ51+BQ125+BQ130))*(Lønfremskivning+1))</f>
        <v>0</v>
      </c>
      <c r="BR55" s="634">
        <f>IF(AND(BR15&gt;0,BR16="ORLOV"),(BR54*(Lønfremskivning+1)),(((BR48)*'Lon pæd., TAP mm'!BR15)+IF(BR15&gt;0,+BR53+BR49+BR58+BR51+BR125+BR130))*(Lønfremskivning+1))</f>
        <v>0</v>
      </c>
      <c r="BS55" s="634">
        <f>IF(AND(BS15&gt;0,BS16="ORLOV"),(BS54*(Lønfremskivning+1)),(((BS48)*'Lon pæd., TAP mm'!BS15)+IF(BS15&gt;0,+BS53+BS49+BS58+BS51+BS125+BS130))*(Lønfremskivning+1))</f>
        <v>0</v>
      </c>
      <c r="BT55" s="634">
        <f>IF(AND(BT15&gt;0,BT16="ORLOV"),(BT54*(Lønfremskivning+1)),(((BT48)*'Lon pæd., TAP mm'!BT15)+IF(BT15&gt;0,+BT53+BT49+BT58+BT51+BT125+BT130))*(Lønfremskivning+1))</f>
        <v>0</v>
      </c>
      <c r="BU55" s="634">
        <f>IF(AND(BU15&gt;0,BU16="ORLOV"),(BU54*(Lønfremskivning+1)),(((BU48)*'Lon pæd., TAP mm'!BU15)+IF(BU15&gt;0,+BU53+BU49+BU58+BU51+BU125+BU130))*(Lønfremskivning+1))</f>
        <v>0</v>
      </c>
      <c r="BV55" s="634">
        <f>IF(AND(BV15&gt;0,BV16="ORLOV"),(BV54*(Lønfremskivning+1)),(((BV48)*'Lon pæd., TAP mm'!BV15)+IF(BV15&gt;0,+BV53+BV49+BV58+BV51+BV125+BV130))*(Lønfremskivning+1))</f>
        <v>0</v>
      </c>
      <c r="BW55" s="634">
        <f>IF(AND(BW15&gt;0,BW16="ORLOV"),(BW54*(Lønfremskivning+1)),(((BW48)*'Lon pæd., TAP mm'!BW15)+IF(BW15&gt;0,+BW53+BW49+BW58+BW51+BW125+BW130))*(Lønfremskivning+1))</f>
        <v>0</v>
      </c>
      <c r="BX55" s="634">
        <f>IF(AND(BX15&gt;0,BX16="ORLOV"),(BX54*(Lønfremskivning+1)),(((BX48)*'Lon pæd., TAP mm'!BX15)+IF(BX15&gt;0,+BX53+BX49+BX58+BX51+BX125+BX130))*(Lønfremskivning+1))</f>
        <v>0</v>
      </c>
      <c r="BY55" s="634">
        <f>IF(AND(BY15&gt;0,BY16="ORLOV"),BY46*BY15*(Lønfremskivning+1),(BY48*'Lon pæd., TAP mm'!BY15+BY53)*(Lønfremskivning+1))</f>
        <v>0</v>
      </c>
      <c r="BZ55" s="634">
        <f>IF(AND(BZ15&gt;0,BZ16="ORLOV"),BZ46*BZ15*(Lønfremskivning+1),(BZ48*'Lon pæd., TAP mm'!BZ15+BZ53)*(Lønfremskivning+1))</f>
        <v>0</v>
      </c>
      <c r="CA55" s="634">
        <f>IF(AND(CA15&gt;0,CA16="ORLOV"),(CA54*(Lønfremskivning+1)),(((CA48)*'Lon pæd., TAP mm'!CA15)+IF(CA15&gt;0,+CA53+CA49+CA58+CA51+CA125+CA130))*(Lønfremskivning+1))</f>
        <v>0</v>
      </c>
      <c r="CB55" s="634">
        <f>IF(AND(CB15&gt;0,CB16="ORLOV"),(CB54*(Lønfremskivning+1)),(((CB48)*'Lon pæd., TAP mm'!CB15)+IF(CB15&gt;0,+CB53+CB49+CB58+CB51+CB125+CB130))*(Lønfremskivning+1))</f>
        <v>0</v>
      </c>
      <c r="CC55" s="634">
        <f>IF(AND(CC15&gt;0,CC16="ORLOV"),(CC54*(Lønfremskivning+1)),(((CC48)*'Lon pæd., TAP mm'!CC15)+IF(CC15&gt;0,+CC53+CC49+CC58+CC51+CC125+CC130))*(Lønfremskivning+1))</f>
        <v>0</v>
      </c>
      <c r="CD55" s="634">
        <f>IF(AND(CD15&gt;0,CD16="ORLOV"),(CD54*(Lønfremskivning+1)),(((CD48)*'Lon pæd., TAP mm'!CD15)+IF(CD15&gt;0,+CD53+CD49+CD58+CD51+CD125+CD130))*(Lønfremskivning+1))</f>
        <v>0</v>
      </c>
      <c r="CE55" s="634">
        <f>IF(AND(CE15&gt;0,CE16="ORLOV"),(CE54*(Lønfremskivning+1)),(((CE48)*'Lon pæd., TAP mm'!CE15)+IF(CE15&gt;0,+CE53+CE49+CE58+CE51+CE125+CE130))*(Lønfremskivning+1))</f>
        <v>0</v>
      </c>
      <c r="CF55" s="634">
        <f>IF(AND(CF15&gt;0,CF16="ORLOV"),(CF54*(Lønfremskivning+1)),(((CF48)*'Lon pæd., TAP mm'!CF15)+IF(CF15&gt;0,+CF53+CF49+CF58+CF51+CF125+CF130))*(Lønfremskivning+1))</f>
        <v>0</v>
      </c>
      <c r="CG55" s="634">
        <f>IF(AND(CG15&gt;0,CG16="ORLOV"),(CG54*(Lønfremskivning+1)),(((CG48)*'Lon pæd., TAP mm'!CG15)+IF(CG15&gt;0,+CG53+CG49+CG58+CG51+CG125+CG130))*(Lønfremskivning+1))</f>
        <v>0</v>
      </c>
      <c r="CH55" s="634">
        <f>IF(AND(CH15&gt;0,CH16="ORLOV"),(CH54*(Lønfremskivning+1)),(((CH48)*'Lon pæd., TAP mm'!CH15)+IF(CH15&gt;0,+CH53+CH49+CH58+CH51+CH125+CH130))*(Lønfremskivning+1))</f>
        <v>0</v>
      </c>
      <c r="CI55" s="634">
        <f>IF(AND(CI15&gt;0,CI16="ORLOV"),CI46*CI15*(Lønfremskivning+1),(CI48*'Lon pæd., TAP mm'!CI15+CI53)*(Lønfremskivning+1))</f>
        <v>0</v>
      </c>
      <c r="CJ55" s="634">
        <f>IF(AND(CJ15&gt;0,CJ16="ORLOV"),CJ46*CJ15*(Lønfremskivning+1),(CJ48*'Lon pæd., TAP mm'!CJ15+CJ53)*(Lønfremskivning+1))</f>
        <v>0</v>
      </c>
      <c r="CK55" s="634">
        <f>IF(AND(CK15&gt;0,CK16="ORLOV"),(CK54*(Lønfremskivning+1)),(((CK48)*'Lon pæd., TAP mm'!CK15)+IF(CK15&gt;0,+CK53+CK49+CK58+CK51+CK125+CK130))*(Lønfremskivning+1))</f>
        <v>0</v>
      </c>
      <c r="CL55" s="634">
        <f>IF(AND(CL15&gt;0,CL16="ORLOV"),(CL54*(Lønfremskivning+1)),(((CL48)*'Lon pæd., TAP mm'!CL15)+IF(CL15&gt;0,+CL53+CL49+CL58+CL51+CL125+CL130))*(Lønfremskivning+1))</f>
        <v>0</v>
      </c>
      <c r="CM55" s="634">
        <f>IF(AND(CM15&gt;0,CM16="ORLOV"),(CM54*(Lønfremskivning+1)),(((CM48)*'Lon pæd., TAP mm'!CM15)+IF(CM15&gt;0,+CM53+CM49+CM58+CM51+CM125+CM130))*(Lønfremskivning+1))</f>
        <v>0</v>
      </c>
      <c r="CN55" s="634">
        <f>IF(AND(CN15&gt;0,CN16="ORLOV"),(CN54*(Lønfremskivning+1)),(((CN48)*'Lon pæd., TAP mm'!CN15)+IF(CN15&gt;0,+CN53+CN49+CN58+CN51+CN125+CN130))*(Lønfremskivning+1))</f>
        <v>0</v>
      </c>
      <c r="CO55" s="634">
        <f>IF(AND(CO15&gt;0,CO16="ORLOV"),(CO54*(Lønfremskivning+1)),(((CO48)*'Lon pæd., TAP mm'!CO15)+IF(CO15&gt;0,+CO53+CO49+CO58+CO51+CO125+CO130))*(Lønfremskivning+1))</f>
        <v>0</v>
      </c>
      <c r="CP55" s="634">
        <f>IF(AND(CP15&gt;0,CP16="ORLOV"),(CP54*(Lønfremskivning+1)),(((CP48)*'Lon pæd., TAP mm'!CP15)+IF(CP15&gt;0,+CP53+CP49+CP58+CP51+CP125+CP130))*(Lønfremskivning+1))</f>
        <v>0</v>
      </c>
      <c r="CQ55" s="634">
        <f>IF(AND(CQ15&gt;0,CQ16="ORLOV"),(CQ54*(Lønfremskivning+1)),(((CQ48)*'Lon pæd., TAP mm'!CQ15)+IF(CQ15&gt;0,+CQ53+CQ49+CQ58+CQ51+CQ125+CQ130))*(Lønfremskivning+1))</f>
        <v>0</v>
      </c>
      <c r="CR55" s="634">
        <f>IF(AND(CR15&gt;0,CR16="ORLOV"),(CR54*(Lønfremskivning+1)),(((CR48)*'Lon pæd., TAP mm'!CR15)+IF(CR15&gt;0,+CR53+CR49+CR58+CR51+CR125+CR130))*(Lønfremskivning+1))</f>
        <v>0</v>
      </c>
      <c r="CS55" s="634">
        <f>IF(AND(CS15&gt;0,CS16="ORLOV"),(CS54*(Lønfremskivning+1)),(((CS48)*'Lon pæd., TAP mm'!CS15)+IF(CS15&gt;0,+CS53+CS49+CS58+CS51+CS125+CS130))*(Lønfremskivning+1))</f>
        <v>0</v>
      </c>
      <c r="CT55" s="634">
        <f>IF(AND(CT15&gt;0,CT16="ORLOV"),(CT54*(Lønfremskivning+1)),(((CT48)*'Lon pæd., TAP mm'!CT15)+IF(CT15&gt;0,+CT53+CT49+CT58+CT51+CT125+CT130))*(Lønfremskivning+1))</f>
        <v>0</v>
      </c>
      <c r="CU55" s="634">
        <f>IF(AND(CU15&gt;0,CU16="ORLOV"),(CU54*(Lønfremskivning+1)),(((CU48)*'Lon pæd., TAP mm'!CU15)+IF(CU15&gt;0,+CU53+CU49+CU58+CU51+CU125+CU130))*(Lønfremskivning+1))</f>
        <v>0</v>
      </c>
      <c r="CV55" s="634">
        <f>IF(AND(CV15&gt;0,CV16="ORLOV"),CV46*CV15*(Lønfremskivning+1),(CV48*'Lon pæd., TAP mm'!CV15+CV53)*(Lønfremskivning+1))</f>
        <v>0</v>
      </c>
      <c r="CW55" s="634">
        <f>IF(AND(CW15&gt;0,CW16="ORLOV"),CW46*CW15*(Lønfremskivning+1),(CW48*'Lon pæd., TAP mm'!CW15+CW53)*(Lønfremskivning+1))</f>
        <v>0</v>
      </c>
      <c r="CX55" s="634">
        <f>IF(AND(CX15&gt;0,CX16="ORLOV"),(CX54*(Lønfremskivning+1)),(((CX48)*'Lon pæd., TAP mm'!CX15)+IF(CX15&gt;0,+CX53+CX49+CX58+CX51+CX125+CX130))*(Lønfremskivning+1))</f>
        <v>0</v>
      </c>
      <c r="CY55" s="634">
        <f>IF(AND(CY15&gt;0,CY16="ORLOV"),(CY54*(Lønfremskivning+1)),(((CY48)*'Lon pæd., TAP mm'!CY15)+IF(CY15&gt;0,+CY53+CY49+CY58+CY51+CY125+CY130))*(Lønfremskivning+1))</f>
        <v>0</v>
      </c>
      <c r="CZ55" s="634">
        <f>IF(AND(CZ15&gt;0,CZ16="ORLOV"),(CZ54*(Lønfremskivning+1)),(((CZ48)*'Lon pæd., TAP mm'!CZ15)+IF(CZ15&gt;0,+CZ53+CZ49+CZ58+CZ51+CZ125+CZ130))*(Lønfremskivning+1))</f>
        <v>0</v>
      </c>
      <c r="DA55" s="634">
        <f>IF(AND(DA15&gt;0,DA16="ORLOV"),(DA54*(Lønfremskivning+1)),(((DA48)*'Lon pæd., TAP mm'!DA15)+IF(DA15&gt;0,+DA53+DA49+DA58+DA51+DA125+DA130))*(Lønfremskivning+1))</f>
        <v>0</v>
      </c>
      <c r="DB55" s="634">
        <f>IF(AND(DB15&gt;0,DB16="ORLOV"),(DB54*(Lønfremskivning+1)),(((DB48)*'Lon pæd., TAP mm'!DB15)+IF(DB15&gt;0,+DB53+DB49+DB58+DB51+DB125+DB130))*(Lønfremskivning+1))</f>
        <v>0</v>
      </c>
      <c r="DC55" s="634">
        <f>IF(AND(DC15&gt;0,DC16="ORLOV"),DC46*DC15*(Lønfremskivning+1),(DC48*'Lon pæd., TAP mm'!DC15+DC53)*(Lønfremskivning+1))</f>
        <v>0</v>
      </c>
      <c r="DD55" s="634">
        <f>IF(AND(DD15&gt;0,DD16="ORLOV"),DD46*DD15*(Lønfremskivning+1),(DD48*'Lon pæd., TAP mm'!DD15+DD53)*(Lønfremskivning+1))</f>
        <v>0</v>
      </c>
    </row>
    <row r="56" spans="1:134" ht="25" customHeight="1">
      <c r="A56" s="2958"/>
      <c r="B56" s="2958"/>
      <c r="C56" s="571" t="str">
        <f>"SFO i alt året "&amp;budgetår</f>
        <v>SFO i alt året 2025</v>
      </c>
      <c r="D56" s="572"/>
      <c r="E56" s="572"/>
      <c r="F56" s="572"/>
      <c r="G56" s="572"/>
      <c r="H56" s="572"/>
      <c r="I56" s="572"/>
      <c r="J56" s="572"/>
      <c r="K56" s="572"/>
      <c r="L56" s="572"/>
      <c r="M56" s="572"/>
      <c r="N56" s="572"/>
      <c r="O56" s="572"/>
      <c r="P56" s="572"/>
      <c r="Q56" s="572"/>
      <c r="R56" s="572"/>
      <c r="S56" s="572"/>
      <c r="T56" s="572"/>
      <c r="U56" s="572"/>
      <c r="V56" s="572"/>
      <c r="W56" s="573">
        <f>SUM(C54:W54)</f>
        <v>0</v>
      </c>
      <c r="X56" s="572" t="str">
        <f>"Daginstitution i alt året "&amp;budgetår</f>
        <v>Daginstitution i alt året 2025</v>
      </c>
      <c r="Y56" s="572" t="str">
        <f>"Daginstitution i alt året "&amp;budgetår</f>
        <v>Daginstitution i alt året 2025</v>
      </c>
      <c r="Z56" s="572" t="str">
        <f>"Daginstitution i alt året "&amp;budgetår</f>
        <v>Daginstitution i alt året 2025</v>
      </c>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1"/>
      <c r="BA56" s="573">
        <f>SUM(X54:BA54)</f>
        <v>0</v>
      </c>
      <c r="BB56" s="2942" t="str">
        <f>"Heltidsskolefritidsordning i alt året "&amp;budgetår</f>
        <v>Heltidsskolefritidsordning i alt året 2025</v>
      </c>
      <c r="BC56" s="2942"/>
      <c r="BD56" s="2942"/>
      <c r="BE56" s="2942"/>
      <c r="BF56" s="2942"/>
      <c r="BG56" s="2942"/>
      <c r="BH56" s="2942"/>
      <c r="BI56" s="572"/>
      <c r="BJ56" s="572"/>
      <c r="BK56" s="572"/>
      <c r="BL56" s="572"/>
      <c r="BM56" s="572"/>
      <c r="BN56" s="573">
        <f>SUM(BB54:BN54)</f>
        <v>0</v>
      </c>
      <c r="BO56" s="2942" t="str">
        <f>"Pædagogisk personale i skolen i alt året "&amp;budgetår</f>
        <v>Pædagogisk personale i skolen i alt året 2025</v>
      </c>
      <c r="BP56" s="2942"/>
      <c r="BQ56" s="2942"/>
      <c r="BR56" s="2942"/>
      <c r="BS56" s="2942"/>
      <c r="BT56" s="2942"/>
      <c r="BU56" s="572"/>
      <c r="BV56" s="572"/>
      <c r="BW56" s="572"/>
      <c r="BX56" s="572"/>
      <c r="BY56" s="572"/>
      <c r="BZ56" s="573">
        <f>SUM(BO54:BZ54)</f>
        <v>0</v>
      </c>
      <c r="CA56" s="572" t="str">
        <f>"Adm personale i alt år "&amp;budgetår</f>
        <v>Adm personale i alt år 2025</v>
      </c>
      <c r="CB56" s="572"/>
      <c r="CC56" s="572"/>
      <c r="CD56" s="572"/>
      <c r="CE56" s="572"/>
      <c r="CF56" s="572"/>
      <c r="CG56" s="572"/>
      <c r="CH56" s="572"/>
      <c r="CI56" s="572"/>
      <c r="CJ56" s="573">
        <f>SUM(CA54:CJ54)</f>
        <v>0</v>
      </c>
      <c r="CK56" s="572" t="str">
        <f>"Pedel og Rengøring "&amp;budgetår</f>
        <v>Pedel og Rengøring 2025</v>
      </c>
      <c r="CL56" s="572"/>
      <c r="CM56" s="572"/>
      <c r="CN56" s="572"/>
      <c r="CO56" s="572"/>
      <c r="CP56" s="572"/>
      <c r="CQ56" s="572"/>
      <c r="CR56" s="572"/>
      <c r="CS56" s="572"/>
      <c r="CT56" s="572"/>
      <c r="CU56" s="572"/>
      <c r="CV56" s="572"/>
      <c r="CW56" s="573">
        <f>SUM(CK54:CW54)</f>
        <v>0</v>
      </c>
      <c r="CX56" s="572" t="str">
        <f>"Kostafdeling i alt "&amp;budgetår</f>
        <v>Kostafdeling i alt 2025</v>
      </c>
      <c r="CY56" s="572"/>
      <c r="CZ56" s="572"/>
      <c r="DA56" s="572"/>
      <c r="DB56" s="572"/>
      <c r="DC56" s="572"/>
      <c r="DD56" s="573">
        <f>SUM(CX54:DD54)</f>
        <v>0</v>
      </c>
      <c r="DJ56" s="707"/>
      <c r="DK56" s="707"/>
      <c r="DL56" s="707"/>
      <c r="DM56" s="707"/>
      <c r="DN56" s="707"/>
      <c r="DO56" s="707"/>
      <c r="DS56" s="707"/>
      <c r="DT56" s="707"/>
      <c r="DU56" s="707"/>
      <c r="DV56" s="707"/>
      <c r="DW56" s="707"/>
      <c r="DX56" s="707"/>
      <c r="DY56" s="707"/>
      <c r="DZ56" s="707"/>
      <c r="EA56" s="707"/>
    </row>
    <row r="57" spans="1:134" ht="22.5" customHeight="1">
      <c r="A57" s="2958"/>
      <c r="B57" s="2958"/>
      <c r="C57" s="571" t="str">
        <f>"SFO i alt året "&amp;budgetår+1</f>
        <v>SFO i alt året 2026</v>
      </c>
      <c r="D57" s="572"/>
      <c r="E57" s="572"/>
      <c r="F57" s="572"/>
      <c r="G57" s="572"/>
      <c r="H57" s="572"/>
      <c r="I57" s="572"/>
      <c r="J57" s="572"/>
      <c r="K57" s="572"/>
      <c r="L57" s="572"/>
      <c r="M57" s="572"/>
      <c r="N57" s="572"/>
      <c r="O57" s="572"/>
      <c r="P57" s="572"/>
      <c r="Q57" s="572"/>
      <c r="R57" s="572"/>
      <c r="S57" s="572"/>
      <c r="T57" s="572"/>
      <c r="U57" s="572"/>
      <c r="V57" s="572"/>
      <c r="W57" s="574">
        <f>SUM(C55:W55)</f>
        <v>0</v>
      </c>
      <c r="X57" s="572" t="str">
        <f>"Daginstitution i alt året "&amp;budgetår+1</f>
        <v>Daginstitution i alt året 2026</v>
      </c>
      <c r="Y57" s="572" t="str">
        <f>"Daginstitution i alt året "&amp;budgetår+1</f>
        <v>Daginstitution i alt året 2026</v>
      </c>
      <c r="Z57" s="572" t="str">
        <f>"Daginstitution i alt året "&amp;budgetår+1</f>
        <v>Daginstitution i alt året 2026</v>
      </c>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1"/>
      <c r="BA57" s="574">
        <f>SUM(X55:BA55)</f>
        <v>0</v>
      </c>
      <c r="BB57" s="2943" t="str">
        <f>"Heltidsskolefritidsordning i alt året "&amp;budgetår+1</f>
        <v>Heltidsskolefritidsordning i alt året 2026</v>
      </c>
      <c r="BC57" s="2943"/>
      <c r="BD57" s="2943"/>
      <c r="BE57" s="2943"/>
      <c r="BF57" s="2943"/>
      <c r="BG57" s="2943"/>
      <c r="BH57" s="2943"/>
      <c r="BI57" s="572"/>
      <c r="BJ57" s="572"/>
      <c r="BK57" s="572"/>
      <c r="BL57" s="572"/>
      <c r="BM57" s="572"/>
      <c r="BN57" s="574">
        <f>SUM(BB55:BN55)</f>
        <v>0</v>
      </c>
      <c r="BO57" s="2943" t="str">
        <f>"Pædagogisk personele i skolen i alt året "&amp;budgetår+1</f>
        <v>Pædagogisk personele i skolen i alt året 2026</v>
      </c>
      <c r="BP57" s="2943"/>
      <c r="BQ57" s="2943"/>
      <c r="BR57" s="2943"/>
      <c r="BS57" s="2943"/>
      <c r="BT57" s="2943"/>
      <c r="BU57" s="572"/>
      <c r="BV57" s="572"/>
      <c r="BW57" s="572"/>
      <c r="BX57" s="572"/>
      <c r="BY57" s="572"/>
      <c r="BZ57" s="574">
        <f>SUM(BO55:BZ55)</f>
        <v>0</v>
      </c>
      <c r="CA57" s="572" t="str">
        <f>"Adm personale i alt år "&amp;budgetår+1</f>
        <v>Adm personale i alt år 2026</v>
      </c>
      <c r="CB57" s="572"/>
      <c r="CC57" s="572"/>
      <c r="CD57" s="572"/>
      <c r="CE57" s="572"/>
      <c r="CF57" s="572"/>
      <c r="CG57" s="572"/>
      <c r="CH57" s="572"/>
      <c r="CI57" s="572"/>
      <c r="CJ57" s="574">
        <f>SUM(CA55:CJ55)</f>
        <v>0</v>
      </c>
      <c r="CK57" s="572" t="str">
        <f>"Pedel og Rengøring "&amp;budgetår+1</f>
        <v>Pedel og Rengøring 2026</v>
      </c>
      <c r="CL57" s="572"/>
      <c r="CM57" s="572"/>
      <c r="CN57" s="572"/>
      <c r="CO57" s="572"/>
      <c r="CP57" s="572"/>
      <c r="CQ57" s="572"/>
      <c r="CR57" s="572"/>
      <c r="CS57" s="572"/>
      <c r="CT57" s="572"/>
      <c r="CU57" s="572"/>
      <c r="CV57" s="572"/>
      <c r="CW57" s="574">
        <f>SUM(CK55:CW55)</f>
        <v>0</v>
      </c>
      <c r="CX57" s="572" t="str">
        <f>"Kostafdeling i alt "&amp;budgetår+1</f>
        <v>Kostafdeling i alt 2026</v>
      </c>
      <c r="CY57" s="572"/>
      <c r="CZ57" s="572"/>
      <c r="DA57" s="572"/>
      <c r="DB57" s="572"/>
      <c r="DC57" s="572"/>
      <c r="DD57" s="574">
        <f>SUM(CX55:DD55)</f>
        <v>0</v>
      </c>
      <c r="DJ57" s="707"/>
      <c r="DK57" s="707"/>
      <c r="DL57" s="707"/>
      <c r="DM57" s="707"/>
      <c r="DN57" s="707"/>
      <c r="DO57" s="707"/>
      <c r="DP57" s="707"/>
      <c r="DQ57" s="707"/>
      <c r="DR57" s="707"/>
      <c r="DS57" s="707"/>
      <c r="DT57" s="707"/>
      <c r="DU57" s="707"/>
      <c r="DV57" s="707"/>
      <c r="DW57" s="707"/>
      <c r="DX57" s="707"/>
      <c r="DY57" s="707"/>
      <c r="DZ57" s="707"/>
      <c r="EA57" s="707"/>
      <c r="EB57" s="707"/>
      <c r="EC57" s="707"/>
      <c r="ED57" s="707"/>
    </row>
    <row r="58" spans="1:134" s="707" customFormat="1" ht="24" hidden="1" customHeight="1">
      <c r="A58" s="704" t="s">
        <v>590</v>
      </c>
      <c r="B58" s="704"/>
      <c r="C58" s="705">
        <f>IF(AND(C18="Nej",C19="Ja"),(C10+C26)*1.17*0.8%*C15,0)</f>
        <v>0</v>
      </c>
      <c r="D58" s="705">
        <f>IF(AND(D18="Nej",D19="Ja"),(D10+D26)*1.17*0.8%*D15,0)</f>
        <v>0</v>
      </c>
      <c r="E58" s="705">
        <f>IF(AND(E18="Nej",E19="Ja"),(E38+E39+E40+E26)*E20%*0.8%*E15+(E38+E39+E40+E26)*0.8%*E15,0)</f>
        <v>0</v>
      </c>
      <c r="F58" s="705">
        <f>IF(AND(F18="Nej",F19="Ja"),(F38+F39+F40+F26)*F20%*0.8%*F15+(F38+F39+F40+F26)*0.8%*F15,0)</f>
        <v>0</v>
      </c>
      <c r="G58" s="705">
        <f>IF(AND(G18="Nej",G19="Ja"),(G38+G39+G40+G26)*G20%*0.8%*G15+(G38+G39+G40+G26)*0.8%*G15,0)</f>
        <v>0</v>
      </c>
      <c r="H58" s="705">
        <f>IF(AND(H18="Nej",H19="Ja"),(H38+H39+H40+H26)*H20%*0.8%*H15+(H38+H39+H40+H26)*0.8%*H15,0)</f>
        <v>0</v>
      </c>
      <c r="I58" s="705">
        <f>IF(AND(I18="Nej",I19="Ja"),(I38+I39+I40+I26)*I20%*0.8%*I15+(I38+I39+I40+I26)*0.8%*I15,0)</f>
        <v>0</v>
      </c>
      <c r="J58" s="705">
        <f t="shared" ref="J58:BF58" si="262">IF(AND(J18="Nej",J19="Ja"),(J10+J26)*1.17*0.8%*J15,0)</f>
        <v>0</v>
      </c>
      <c r="K58" s="705">
        <f t="shared" si="262"/>
        <v>0</v>
      </c>
      <c r="L58" s="705">
        <f t="shared" si="262"/>
        <v>0</v>
      </c>
      <c r="M58" s="705">
        <f t="shared" si="262"/>
        <v>0</v>
      </c>
      <c r="N58" s="705">
        <f t="shared" si="262"/>
        <v>0</v>
      </c>
      <c r="O58" s="705">
        <f t="shared" si="262"/>
        <v>0</v>
      </c>
      <c r="P58" s="705">
        <f t="shared" si="262"/>
        <v>0</v>
      </c>
      <c r="Q58" s="705">
        <f t="shared" si="262"/>
        <v>0</v>
      </c>
      <c r="R58" s="705">
        <f t="shared" si="262"/>
        <v>0</v>
      </c>
      <c r="S58" s="705">
        <f t="shared" si="262"/>
        <v>0</v>
      </c>
      <c r="T58" s="705">
        <f t="shared" si="262"/>
        <v>0</v>
      </c>
      <c r="U58" s="705">
        <f t="shared" si="262"/>
        <v>0</v>
      </c>
      <c r="V58" s="705">
        <f t="shared" si="262"/>
        <v>0</v>
      </c>
      <c r="W58" s="705">
        <f t="shared" si="262"/>
        <v>0</v>
      </c>
      <c r="X58" s="705">
        <f t="shared" si="262"/>
        <v>0</v>
      </c>
      <c r="Y58" s="705">
        <f t="shared" ref="Y58" si="263">IF(AND(Y18="Nej",Y19="Ja"),(Y10+Y26)*1.17*0.8%*Y15,0)</f>
        <v>0</v>
      </c>
      <c r="Z58" s="705">
        <f t="shared" si="262"/>
        <v>0</v>
      </c>
      <c r="AA58" s="705">
        <f t="shared" si="262"/>
        <v>0</v>
      </c>
      <c r="AB58" s="705">
        <f t="shared" si="262"/>
        <v>0</v>
      </c>
      <c r="AC58" s="705">
        <f t="shared" si="262"/>
        <v>0</v>
      </c>
      <c r="AD58" s="705">
        <f t="shared" si="262"/>
        <v>0</v>
      </c>
      <c r="AE58" s="705">
        <f t="shared" ref="AE58" si="264">IF(AND(AE18="Nej",AE19="Ja"),(AE10+AE26)*1.17*0.8%*AE15,0)</f>
        <v>0</v>
      </c>
      <c r="AF58" s="705">
        <f t="shared" si="262"/>
        <v>0</v>
      </c>
      <c r="AG58" s="705">
        <f t="shared" si="262"/>
        <v>0</v>
      </c>
      <c r="AH58" s="705">
        <f t="shared" si="262"/>
        <v>0</v>
      </c>
      <c r="AI58" s="705">
        <f t="shared" si="262"/>
        <v>0</v>
      </c>
      <c r="AJ58" s="705">
        <f t="shared" si="262"/>
        <v>0</v>
      </c>
      <c r="AK58" s="705">
        <f t="shared" ref="AK58:AN58" si="265">IF(AND(AK18="Nej",AK19="Ja"),(AK10+AK26)*1.17*0.8%*AK15,0)</f>
        <v>0</v>
      </c>
      <c r="AL58" s="705">
        <f t="shared" si="265"/>
        <v>0</v>
      </c>
      <c r="AM58" s="705">
        <f t="shared" si="265"/>
        <v>0</v>
      </c>
      <c r="AN58" s="705">
        <f t="shared" si="265"/>
        <v>0</v>
      </c>
      <c r="AO58" s="705">
        <f t="shared" ref="AO58:AY58" si="266">IF(AND(AO18="Nej",AO19="Ja"),(AO10+AO26)*1.17*0.8%*AO15,0)</f>
        <v>0</v>
      </c>
      <c r="AP58" s="705">
        <f t="shared" si="266"/>
        <v>0</v>
      </c>
      <c r="AQ58" s="705">
        <f t="shared" si="266"/>
        <v>0</v>
      </c>
      <c r="AR58" s="705">
        <f t="shared" si="266"/>
        <v>0</v>
      </c>
      <c r="AS58" s="705">
        <f t="shared" si="266"/>
        <v>0</v>
      </c>
      <c r="AT58" s="705">
        <f t="shared" si="266"/>
        <v>0</v>
      </c>
      <c r="AU58" s="705">
        <f t="shared" si="266"/>
        <v>0</v>
      </c>
      <c r="AV58" s="705">
        <f t="shared" si="266"/>
        <v>0</v>
      </c>
      <c r="AW58" s="705">
        <f t="shared" si="266"/>
        <v>0</v>
      </c>
      <c r="AX58" s="705">
        <f t="shared" si="266"/>
        <v>0</v>
      </c>
      <c r="AY58" s="705">
        <f t="shared" si="266"/>
        <v>0</v>
      </c>
      <c r="AZ58" s="705">
        <f t="shared" si="262"/>
        <v>0</v>
      </c>
      <c r="BA58" s="705">
        <f t="shared" si="262"/>
        <v>0</v>
      </c>
      <c r="BB58" s="705">
        <f t="shared" si="262"/>
        <v>0</v>
      </c>
      <c r="BC58" s="705">
        <f t="shared" ref="BC58" si="267">IF(AND(BC18="Nej",BC19="Ja"),(BC10+BC26)*1.17*0.8%*BC15,0)</f>
        <v>0</v>
      </c>
      <c r="BD58" s="705">
        <f t="shared" si="262"/>
        <v>0</v>
      </c>
      <c r="BE58" s="705">
        <f t="shared" si="262"/>
        <v>0</v>
      </c>
      <c r="BF58" s="705">
        <f t="shared" si="262"/>
        <v>0</v>
      </c>
      <c r="BG58" s="705">
        <f t="shared" ref="BG58:CP58" si="268">IF(AND(BG18="Nej",BG19="Ja"),(BG10+BG26)*1.17*0.8%*BG15,0)</f>
        <v>0</v>
      </c>
      <c r="BH58" s="705">
        <f t="shared" si="268"/>
        <v>0</v>
      </c>
      <c r="BI58" s="705">
        <f t="shared" si="268"/>
        <v>0</v>
      </c>
      <c r="BJ58" s="705">
        <f t="shared" si="268"/>
        <v>0</v>
      </c>
      <c r="BK58" s="705">
        <f t="shared" si="268"/>
        <v>0</v>
      </c>
      <c r="BL58" s="705">
        <f t="shared" si="268"/>
        <v>0</v>
      </c>
      <c r="BM58" s="705">
        <f t="shared" si="268"/>
        <v>0</v>
      </c>
      <c r="BN58" s="705">
        <f t="shared" si="268"/>
        <v>0</v>
      </c>
      <c r="BO58" s="705">
        <f t="shared" si="268"/>
        <v>0</v>
      </c>
      <c r="BP58" s="705">
        <f t="shared" si="268"/>
        <v>0</v>
      </c>
      <c r="BQ58" s="705">
        <f t="shared" si="268"/>
        <v>0</v>
      </c>
      <c r="BR58" s="705">
        <f t="shared" si="268"/>
        <v>0</v>
      </c>
      <c r="BS58" s="705">
        <f t="shared" si="268"/>
        <v>0</v>
      </c>
      <c r="BT58" s="705">
        <f t="shared" si="268"/>
        <v>0</v>
      </c>
      <c r="BU58" s="705">
        <f t="shared" si="268"/>
        <v>0</v>
      </c>
      <c r="BV58" s="705">
        <f t="shared" si="268"/>
        <v>0</v>
      </c>
      <c r="BW58" s="705">
        <f t="shared" si="268"/>
        <v>0</v>
      </c>
      <c r="BX58" s="705">
        <f t="shared" si="268"/>
        <v>0</v>
      </c>
      <c r="BY58" s="705">
        <f t="shared" si="268"/>
        <v>0</v>
      </c>
      <c r="BZ58" s="705">
        <f t="shared" si="268"/>
        <v>0</v>
      </c>
      <c r="CA58" s="705">
        <f t="shared" si="268"/>
        <v>0</v>
      </c>
      <c r="CB58" s="705">
        <f t="shared" si="268"/>
        <v>0</v>
      </c>
      <c r="CC58" s="705">
        <f t="shared" si="268"/>
        <v>0</v>
      </c>
      <c r="CD58" s="705">
        <f t="shared" ref="CD58" si="269">IF(AND(CD18="Nej",CD19="Ja"),(CD10+CD26)*1.17*0.8%*CD15,0)</f>
        <v>0</v>
      </c>
      <c r="CE58" s="705">
        <f t="shared" si="268"/>
        <v>0</v>
      </c>
      <c r="CF58" s="705">
        <f t="shared" ref="CF58:CG58" si="270">IF(AND(CF18="Nej",CF19="Ja"),(CF10+CF26)*1.17*0.8%*CF15,0)</f>
        <v>0</v>
      </c>
      <c r="CG58" s="705">
        <f t="shared" si="270"/>
        <v>0</v>
      </c>
      <c r="CH58" s="705">
        <f t="shared" si="268"/>
        <v>0</v>
      </c>
      <c r="CI58" s="705">
        <f t="shared" si="268"/>
        <v>0</v>
      </c>
      <c r="CJ58" s="705">
        <f t="shared" si="268"/>
        <v>0</v>
      </c>
      <c r="CK58" s="705">
        <f t="shared" si="268"/>
        <v>0</v>
      </c>
      <c r="CL58" s="705">
        <f t="shared" si="268"/>
        <v>0</v>
      </c>
      <c r="CM58" s="705">
        <f t="shared" si="268"/>
        <v>0</v>
      </c>
      <c r="CN58" s="705">
        <f t="shared" si="268"/>
        <v>0</v>
      </c>
      <c r="CO58" s="705">
        <f t="shared" si="268"/>
        <v>0</v>
      </c>
      <c r="CP58" s="705">
        <f t="shared" si="268"/>
        <v>0</v>
      </c>
      <c r="CQ58" s="705">
        <f t="shared" ref="CQ58:DD58" si="271">IF(AND(CQ18="Nej",CQ19="Ja"),(CQ10+CQ26)*1.17*0.8%*CQ15,0)</f>
        <v>0</v>
      </c>
      <c r="CR58" s="705">
        <f t="shared" si="271"/>
        <v>0</v>
      </c>
      <c r="CS58" s="705">
        <f t="shared" si="271"/>
        <v>0</v>
      </c>
      <c r="CT58" s="705">
        <f t="shared" si="271"/>
        <v>0</v>
      </c>
      <c r="CU58" s="705">
        <f t="shared" si="271"/>
        <v>0</v>
      </c>
      <c r="CV58" s="705">
        <f t="shared" si="271"/>
        <v>0</v>
      </c>
      <c r="CW58" s="705">
        <f t="shared" si="271"/>
        <v>0</v>
      </c>
      <c r="CX58" s="705">
        <f t="shared" si="271"/>
        <v>0</v>
      </c>
      <c r="CY58" s="705">
        <f t="shared" si="271"/>
        <v>0</v>
      </c>
      <c r="CZ58" s="705">
        <f t="shared" si="271"/>
        <v>0</v>
      </c>
      <c r="DA58" s="705">
        <f t="shared" si="271"/>
        <v>0</v>
      </c>
      <c r="DB58" s="705">
        <f t="shared" si="271"/>
        <v>0</v>
      </c>
      <c r="DC58" s="705">
        <f t="shared" si="271"/>
        <v>0</v>
      </c>
      <c r="DD58" s="705">
        <f t="shared" si="271"/>
        <v>0</v>
      </c>
      <c r="DJ58" s="511"/>
      <c r="DK58" s="511"/>
      <c r="DL58" s="511"/>
      <c r="DM58" s="511"/>
      <c r="DN58" s="63"/>
      <c r="DO58" s="63"/>
      <c r="DS58" s="63"/>
      <c r="DT58" s="63"/>
      <c r="DU58" s="63"/>
      <c r="DV58" s="63"/>
      <c r="DW58" s="63"/>
      <c r="DX58" s="63"/>
      <c r="DY58" s="63"/>
      <c r="DZ58" s="63"/>
      <c r="EA58" s="63"/>
    </row>
    <row r="59" spans="1:134" ht="14" thickBot="1">
      <c r="A59" s="575"/>
      <c r="B59" s="545"/>
      <c r="C59" s="576"/>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row>
    <row r="60" spans="1:134" ht="24.75" customHeight="1">
      <c r="A60" s="2961" t="s">
        <v>752</v>
      </c>
      <c r="B60" s="2962"/>
      <c r="C60" s="1833"/>
      <c r="D60" s="1834"/>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2521"/>
      <c r="AS60" s="2521"/>
      <c r="AT60" s="2521"/>
      <c r="AU60" s="2521"/>
      <c r="AV60" s="2521"/>
      <c r="AW60" s="2521"/>
      <c r="AX60" s="2521"/>
      <c r="AY60" s="2521"/>
      <c r="AZ60" s="1835"/>
      <c r="BA60" s="1835"/>
      <c r="BB60" s="1835"/>
      <c r="BC60" s="1835"/>
      <c r="BD60" s="1835"/>
      <c r="BE60" s="1835"/>
      <c r="BF60" s="1835"/>
      <c r="BG60" s="1835"/>
      <c r="BH60" s="1835"/>
      <c r="BI60" s="1835"/>
      <c r="BJ60" s="1835"/>
      <c r="BK60" s="1835"/>
      <c r="BL60" s="1835"/>
      <c r="BM60" s="1835"/>
      <c r="BN60" s="1835"/>
      <c r="BO60" s="1835"/>
      <c r="BP60" s="1835"/>
      <c r="BQ60" s="1835"/>
      <c r="BR60" s="1835"/>
      <c r="BS60" s="1835"/>
      <c r="BT60" s="1835"/>
      <c r="BU60" s="1835"/>
      <c r="BV60" s="1835"/>
      <c r="BW60" s="1835"/>
      <c r="BX60" s="1835"/>
      <c r="BY60" s="1835"/>
      <c r="BZ60" s="1835"/>
      <c r="CA60" s="1835"/>
      <c r="CB60" s="1835"/>
      <c r="CC60" s="1835"/>
      <c r="CD60" s="1835"/>
      <c r="CE60" s="1835"/>
      <c r="CF60" s="1835"/>
      <c r="CG60" s="1835"/>
      <c r="CH60" s="1835"/>
      <c r="CI60" s="1835"/>
      <c r="CJ60" s="1835"/>
      <c r="CK60" s="1835"/>
      <c r="CL60" s="1835"/>
      <c r="CM60" s="1835"/>
      <c r="CN60" s="1835"/>
      <c r="CO60" s="1835"/>
      <c r="CP60" s="1835"/>
      <c r="CQ60" s="1835"/>
      <c r="CR60" s="1835"/>
      <c r="CS60" s="1835"/>
      <c r="CT60" s="1835"/>
      <c r="CU60" s="1835"/>
      <c r="CV60" s="1835"/>
      <c r="CW60" s="1835"/>
      <c r="CX60" s="1835"/>
      <c r="CY60" s="1835"/>
      <c r="CZ60" s="1835"/>
      <c r="DA60" s="1835"/>
      <c r="DB60" s="1835"/>
      <c r="DC60" s="1835"/>
      <c r="DD60" s="1835"/>
    </row>
    <row r="61" spans="1:134" ht="25" customHeight="1">
      <c r="A61" s="577">
        <v>1</v>
      </c>
      <c r="B61" s="729" t="s">
        <v>753</v>
      </c>
      <c r="C61" s="578"/>
      <c r="D61" s="560"/>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row>
    <row r="62" spans="1:134">
      <c r="A62" s="932">
        <v>2</v>
      </c>
      <c r="B62" s="579" t="s">
        <v>754</v>
      </c>
      <c r="C62" s="578"/>
      <c r="D62" s="560"/>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row>
    <row r="63" spans="1:134">
      <c r="A63" s="932">
        <v>3</v>
      </c>
      <c r="B63" s="579" t="s">
        <v>755</v>
      </c>
      <c r="C63" s="578"/>
      <c r="D63" s="560"/>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row>
    <row r="64" spans="1:134">
      <c r="A64" s="932">
        <v>4</v>
      </c>
      <c r="B64" s="579" t="s">
        <v>756</v>
      </c>
      <c r="C64" s="578"/>
      <c r="D64" s="560"/>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P64" s="511"/>
      <c r="DQ64" s="511"/>
      <c r="DR64" s="511"/>
    </row>
    <row r="65" spans="1:134">
      <c r="A65" s="932">
        <v>5</v>
      </c>
      <c r="B65" s="579" t="s">
        <v>757</v>
      </c>
      <c r="C65" s="578"/>
      <c r="D65" s="560"/>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row>
    <row r="66" spans="1:134">
      <c r="A66" s="932">
        <v>6</v>
      </c>
      <c r="B66" s="580" t="s">
        <v>758</v>
      </c>
      <c r="C66" s="578"/>
      <c r="D66" s="560"/>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561"/>
      <c r="CE66" s="561"/>
      <c r="CF66" s="561"/>
      <c r="CG66" s="561"/>
      <c r="CH66" s="561"/>
      <c r="CI66" s="561"/>
      <c r="CJ66" s="561"/>
      <c r="CK66" s="561"/>
      <c r="CL66" s="561"/>
      <c r="CM66" s="561"/>
      <c r="CN66" s="561"/>
      <c r="CO66" s="561"/>
      <c r="CP66" s="561"/>
      <c r="CQ66" s="561"/>
      <c r="CR66" s="561"/>
      <c r="CS66" s="561"/>
      <c r="CT66" s="561"/>
      <c r="CU66" s="561"/>
      <c r="CV66" s="561"/>
      <c r="CW66" s="561"/>
      <c r="CX66" s="561"/>
      <c r="CY66" s="561"/>
      <c r="CZ66" s="561"/>
      <c r="DA66" s="561"/>
      <c r="DB66" s="561"/>
      <c r="DC66" s="561"/>
      <c r="DD66" s="561"/>
    </row>
    <row r="67" spans="1:134" ht="14" thickBot="1">
      <c r="A67" s="932">
        <v>7</v>
      </c>
      <c r="B67" s="580" t="s">
        <v>600</v>
      </c>
      <c r="C67" s="578"/>
      <c r="D67" s="560"/>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row>
    <row r="68" spans="1:134" ht="14" thickBot="1">
      <c r="A68" s="581"/>
      <c r="B68" s="1836" t="str">
        <f>"Samlede lønrefusioner pr. år "&amp;budgetår</f>
        <v>Samlede lønrefusioner pr. år 2025</v>
      </c>
      <c r="C68" s="1837">
        <f t="shared" ref="C68:AJ68" si="272">SUM(C61:C67)</f>
        <v>0</v>
      </c>
      <c r="D68" s="1838">
        <f t="shared" si="272"/>
        <v>0</v>
      </c>
      <c r="E68" s="1839">
        <f t="shared" si="272"/>
        <v>0</v>
      </c>
      <c r="F68" s="1839">
        <f t="shared" ref="F68" si="273">SUM(F61:F67)</f>
        <v>0</v>
      </c>
      <c r="G68" s="1839">
        <f t="shared" si="272"/>
        <v>0</v>
      </c>
      <c r="H68" s="1839">
        <f t="shared" ref="H68:I68" si="274">SUM(H61:H67)</f>
        <v>0</v>
      </c>
      <c r="I68" s="1839">
        <f t="shared" si="274"/>
        <v>0</v>
      </c>
      <c r="J68" s="1839">
        <f t="shared" si="272"/>
        <v>0</v>
      </c>
      <c r="K68" s="1839">
        <f t="shared" si="272"/>
        <v>0</v>
      </c>
      <c r="L68" s="1839">
        <f t="shared" ref="L68" si="275">SUM(L61:L67)</f>
        <v>0</v>
      </c>
      <c r="M68" s="1839">
        <f t="shared" si="272"/>
        <v>0</v>
      </c>
      <c r="N68" s="1839">
        <f t="shared" si="272"/>
        <v>0</v>
      </c>
      <c r="O68" s="1839">
        <f t="shared" si="272"/>
        <v>0</v>
      </c>
      <c r="P68" s="1839">
        <f t="shared" si="272"/>
        <v>0</v>
      </c>
      <c r="Q68" s="1839">
        <f t="shared" si="272"/>
        <v>0</v>
      </c>
      <c r="R68" s="1839">
        <f t="shared" si="272"/>
        <v>0</v>
      </c>
      <c r="S68" s="1839">
        <f t="shared" si="272"/>
        <v>0</v>
      </c>
      <c r="T68" s="1839">
        <f t="shared" si="272"/>
        <v>0</v>
      </c>
      <c r="U68" s="1839">
        <f t="shared" si="272"/>
        <v>0</v>
      </c>
      <c r="V68" s="1839">
        <f t="shared" si="272"/>
        <v>0</v>
      </c>
      <c r="W68" s="1839">
        <f t="shared" si="272"/>
        <v>0</v>
      </c>
      <c r="X68" s="1839">
        <f t="shared" si="272"/>
        <v>0</v>
      </c>
      <c r="Y68" s="1839">
        <f t="shared" ref="Y68" si="276">SUM(Y61:Y67)</f>
        <v>0</v>
      </c>
      <c r="Z68" s="1839">
        <f t="shared" si="272"/>
        <v>0</v>
      </c>
      <c r="AA68" s="1839">
        <f t="shared" si="272"/>
        <v>0</v>
      </c>
      <c r="AB68" s="1839">
        <f t="shared" si="272"/>
        <v>0</v>
      </c>
      <c r="AC68" s="1839">
        <f t="shared" si="272"/>
        <v>0</v>
      </c>
      <c r="AD68" s="1839">
        <f t="shared" si="272"/>
        <v>0</v>
      </c>
      <c r="AE68" s="1839">
        <f t="shared" ref="AE68" si="277">SUM(AE61:AE67)</f>
        <v>0</v>
      </c>
      <c r="AF68" s="1839">
        <f t="shared" si="272"/>
        <v>0</v>
      </c>
      <c r="AG68" s="1839">
        <f t="shared" si="272"/>
        <v>0</v>
      </c>
      <c r="AH68" s="1839">
        <f t="shared" si="272"/>
        <v>0</v>
      </c>
      <c r="AI68" s="1839">
        <f t="shared" si="272"/>
        <v>0</v>
      </c>
      <c r="AJ68" s="1839">
        <f t="shared" si="272"/>
        <v>0</v>
      </c>
      <c r="AK68" s="1839">
        <f t="shared" ref="AK68:AN68" si="278">SUM(AK61:AK67)</f>
        <v>0</v>
      </c>
      <c r="AL68" s="1839">
        <f t="shared" si="278"/>
        <v>0</v>
      </c>
      <c r="AM68" s="1839">
        <f t="shared" si="278"/>
        <v>0</v>
      </c>
      <c r="AN68" s="1839">
        <f t="shared" si="278"/>
        <v>0</v>
      </c>
      <c r="AO68" s="1839">
        <f t="shared" ref="AO68:AX68" si="279">SUM(AO61:AO67)</f>
        <v>0</v>
      </c>
      <c r="AP68" s="1839">
        <f t="shared" si="279"/>
        <v>0</v>
      </c>
      <c r="AQ68" s="1839">
        <f t="shared" si="279"/>
        <v>0</v>
      </c>
      <c r="AR68" s="2522">
        <f t="shared" si="279"/>
        <v>0</v>
      </c>
      <c r="AS68" s="2522">
        <f t="shared" si="279"/>
        <v>0</v>
      </c>
      <c r="AT68" s="2522">
        <f t="shared" si="279"/>
        <v>0</v>
      </c>
      <c r="AU68" s="2522">
        <f t="shared" si="279"/>
        <v>0</v>
      </c>
      <c r="AV68" s="2522">
        <f t="shared" si="279"/>
        <v>0</v>
      </c>
      <c r="AW68" s="2522">
        <f t="shared" si="279"/>
        <v>0</v>
      </c>
      <c r="AX68" s="2522">
        <f t="shared" si="279"/>
        <v>0</v>
      </c>
      <c r="AY68" s="2522">
        <f t="shared" ref="AY68" si="280">SUM(AY61:AY67)</f>
        <v>0</v>
      </c>
      <c r="AZ68" s="1839">
        <f t="shared" ref="AZ68:BN68" si="281">SUM(AZ61:AZ67)</f>
        <v>0</v>
      </c>
      <c r="BA68" s="1839">
        <f t="shared" si="281"/>
        <v>0</v>
      </c>
      <c r="BB68" s="1839">
        <f t="shared" si="281"/>
        <v>0</v>
      </c>
      <c r="BC68" s="1839">
        <f t="shared" ref="BC68" si="282">SUM(BC61:BC67)</f>
        <v>0</v>
      </c>
      <c r="BD68" s="1839">
        <f>SUM(BD61:BD67)</f>
        <v>0</v>
      </c>
      <c r="BE68" s="1839">
        <f t="shared" si="281"/>
        <v>0</v>
      </c>
      <c r="BF68" s="1839">
        <f>SUM(BF61:BF67)</f>
        <v>0</v>
      </c>
      <c r="BG68" s="1839">
        <f t="shared" si="281"/>
        <v>0</v>
      </c>
      <c r="BH68" s="1839">
        <f>SUM(BH61:BH67)</f>
        <v>0</v>
      </c>
      <c r="BI68" s="1839">
        <f t="shared" si="281"/>
        <v>0</v>
      </c>
      <c r="BJ68" s="1839">
        <f>SUM(BJ61:BJ67)</f>
        <v>0</v>
      </c>
      <c r="BK68" s="1839">
        <f>SUM(BK61:BK67)</f>
        <v>0</v>
      </c>
      <c r="BL68" s="1839">
        <f t="shared" si="281"/>
        <v>0</v>
      </c>
      <c r="BM68" s="1839">
        <f t="shared" si="281"/>
        <v>0</v>
      </c>
      <c r="BN68" s="1839">
        <f t="shared" si="281"/>
        <v>0</v>
      </c>
      <c r="BO68" s="1839">
        <f t="shared" ref="BO68" si="283">SUM(BO61:BO67)</f>
        <v>0</v>
      </c>
      <c r="BP68" s="1839">
        <f>SUM(BP61:BP67)</f>
        <v>0</v>
      </c>
      <c r="BQ68" s="1839">
        <f t="shared" ref="BQ68" si="284">SUM(BQ61:BQ67)</f>
        <v>0</v>
      </c>
      <c r="BR68" s="1839">
        <f>SUM(BR61:BR67)</f>
        <v>0</v>
      </c>
      <c r="BS68" s="1839">
        <f t="shared" ref="BS68" si="285">SUM(BS61:BS67)</f>
        <v>0</v>
      </c>
      <c r="BT68" s="1839">
        <f>SUM(BT61:BT67)</f>
        <v>0</v>
      </c>
      <c r="BU68" s="1839">
        <f t="shared" ref="BU68" si="286">SUM(BU61:BU67)</f>
        <v>0</v>
      </c>
      <c r="BV68" s="1839">
        <f>SUM(BV61:BV67)</f>
        <v>0</v>
      </c>
      <c r="BW68" s="1839">
        <f>SUM(BW61:BW67)</f>
        <v>0</v>
      </c>
      <c r="BX68" s="1839">
        <f t="shared" ref="BX68:BZ68" si="287">SUM(BX61:BX67)</f>
        <v>0</v>
      </c>
      <c r="BY68" s="1839">
        <f t="shared" si="287"/>
        <v>0</v>
      </c>
      <c r="BZ68" s="1839">
        <f t="shared" si="287"/>
        <v>0</v>
      </c>
      <c r="CA68" s="1839">
        <f t="shared" ref="CA68:DD68" si="288">SUM(CA61:CA67)</f>
        <v>0</v>
      </c>
      <c r="CB68" s="1839">
        <f t="shared" si="288"/>
        <v>0</v>
      </c>
      <c r="CC68" s="1839">
        <f t="shared" si="288"/>
        <v>0</v>
      </c>
      <c r="CD68" s="1839">
        <f t="shared" ref="CD68" si="289">SUM(CD61:CD67)</f>
        <v>0</v>
      </c>
      <c r="CE68" s="1839">
        <f t="shared" si="288"/>
        <v>0</v>
      </c>
      <c r="CF68" s="1839">
        <f t="shared" ref="CF68:CG68" si="290">SUM(CF61:CF67)</f>
        <v>0</v>
      </c>
      <c r="CG68" s="1839">
        <f t="shared" si="290"/>
        <v>0</v>
      </c>
      <c r="CH68" s="1839">
        <f t="shared" si="288"/>
        <v>0</v>
      </c>
      <c r="CI68" s="1839">
        <f t="shared" si="288"/>
        <v>0</v>
      </c>
      <c r="CJ68" s="1839">
        <f t="shared" si="288"/>
        <v>0</v>
      </c>
      <c r="CK68" s="582">
        <f t="shared" si="288"/>
        <v>0</v>
      </c>
      <c r="CL68" s="582">
        <f t="shared" ref="CL68" si="291">SUM(CL61:CL67)</f>
        <v>0</v>
      </c>
      <c r="CM68" s="583">
        <f t="shared" si="288"/>
        <v>0</v>
      </c>
      <c r="CN68" s="583">
        <f t="shared" ref="CN68" si="292">SUM(CN61:CN67)</f>
        <v>0</v>
      </c>
      <c r="CO68" s="583">
        <f t="shared" ref="CO68:CQ68" si="293">SUM(CO61:CO67)</f>
        <v>0</v>
      </c>
      <c r="CP68" s="583">
        <f t="shared" ref="CP68" si="294">SUM(CP61:CP67)</f>
        <v>0</v>
      </c>
      <c r="CQ68" s="583">
        <f t="shared" si="293"/>
        <v>0</v>
      </c>
      <c r="CR68" s="583">
        <f t="shared" ref="CR68" si="295">SUM(CR61:CR67)</f>
        <v>0</v>
      </c>
      <c r="CS68" s="583">
        <f t="shared" si="288"/>
        <v>0</v>
      </c>
      <c r="CT68" s="583">
        <f t="shared" si="288"/>
        <v>0</v>
      </c>
      <c r="CU68" s="583">
        <f t="shared" si="288"/>
        <v>0</v>
      </c>
      <c r="CV68" s="1839">
        <f t="shared" si="288"/>
        <v>0</v>
      </c>
      <c r="CW68" s="1839">
        <f t="shared" si="288"/>
        <v>0</v>
      </c>
      <c r="CX68" s="582">
        <f t="shared" si="288"/>
        <v>0</v>
      </c>
      <c r="CY68" s="583">
        <f t="shared" si="288"/>
        <v>0</v>
      </c>
      <c r="CZ68" s="583">
        <f t="shared" si="288"/>
        <v>0</v>
      </c>
      <c r="DA68" s="583">
        <f t="shared" si="288"/>
        <v>0</v>
      </c>
      <c r="DB68" s="583">
        <f t="shared" si="288"/>
        <v>0</v>
      </c>
      <c r="DC68" s="1839">
        <f t="shared" si="288"/>
        <v>0</v>
      </c>
      <c r="DD68" s="1839">
        <f t="shared" si="288"/>
        <v>0</v>
      </c>
    </row>
    <row r="69" spans="1:134" ht="16">
      <c r="A69" s="584"/>
      <c r="B69" s="627" t="str">
        <f>"Indtast forventede refusioner år "&amp;budgetår+1</f>
        <v>Indtast forventede refusioner år 2026</v>
      </c>
      <c r="C69" s="578"/>
      <c r="D69" s="560"/>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561"/>
      <c r="CE69" s="561"/>
      <c r="CF69" s="561"/>
      <c r="CG69" s="561"/>
      <c r="CH69" s="561"/>
      <c r="CI69" s="561"/>
      <c r="CJ69" s="561"/>
      <c r="CK69" s="561"/>
      <c r="CL69" s="561"/>
      <c r="CM69" s="561"/>
      <c r="CN69" s="561"/>
      <c r="CO69" s="561"/>
      <c r="CP69" s="561"/>
      <c r="CQ69" s="561"/>
      <c r="CR69" s="561"/>
      <c r="CS69" s="561"/>
      <c r="CT69" s="561"/>
      <c r="CU69" s="561"/>
      <c r="CV69" s="561"/>
      <c r="CW69" s="561"/>
      <c r="CX69" s="561"/>
      <c r="CY69" s="561"/>
      <c r="CZ69" s="561"/>
      <c r="DA69" s="561"/>
      <c r="DB69" s="561"/>
      <c r="DC69" s="561"/>
      <c r="DD69" s="561"/>
      <c r="DN69" s="511"/>
      <c r="DO69" s="511"/>
      <c r="DS69" s="511"/>
      <c r="DT69" s="511"/>
      <c r="DU69" s="511"/>
      <c r="DV69" s="511"/>
      <c r="DW69" s="511"/>
      <c r="DX69" s="511"/>
      <c r="DY69" s="511"/>
      <c r="DZ69" s="511"/>
      <c r="EA69" s="511"/>
    </row>
    <row r="70" spans="1:134" ht="14" thickBot="1">
      <c r="A70" s="585"/>
      <c r="B70" s="572"/>
      <c r="C70" s="1840" t="str">
        <f>"I alt pr år til hovedskema "&amp;budgetår</f>
        <v>I alt pr år til hovedskema 2025</v>
      </c>
      <c r="D70" s="628" t="str">
        <f>"I alt pr år til hovedskema "&amp;budgetår</f>
        <v>I alt pr år til hovedskema 2025</v>
      </c>
      <c r="E70" s="628"/>
      <c r="F70" s="628"/>
      <c r="G70" s="628"/>
      <c r="H70" s="628"/>
      <c r="I70" s="628"/>
      <c r="J70" s="628"/>
      <c r="K70" s="628"/>
      <c r="L70" s="628"/>
      <c r="M70" s="628"/>
      <c r="N70" s="628"/>
      <c r="O70" s="628"/>
      <c r="P70" s="628"/>
      <c r="Q70" s="628"/>
      <c r="R70" s="629"/>
      <c r="S70" s="629"/>
      <c r="T70" s="629"/>
      <c r="U70" s="629"/>
      <c r="V70" s="629"/>
      <c r="W70" s="629">
        <f>SUM(C68:W68)</f>
        <v>0</v>
      </c>
      <c r="X70" s="862" t="str">
        <f>"I alt pr år til hovedskema "&amp;budgetår</f>
        <v>I alt pr år til hovedskema 2025</v>
      </c>
      <c r="Y70" s="862" t="str">
        <f>"I alt pr år til hovedskema "&amp;budgetår</f>
        <v>I alt pr år til hovedskema 2025</v>
      </c>
      <c r="Z70" s="862" t="str">
        <f>"I alt pr år til hovedskema "&amp;budgetår</f>
        <v>I alt pr år til hovedskema 2025</v>
      </c>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9"/>
      <c r="BA70" s="629">
        <f>SUM(X68:BA68)</f>
        <v>0</v>
      </c>
      <c r="BB70" s="628" t="s">
        <v>759</v>
      </c>
      <c r="BC70" s="628" t="s">
        <v>759</v>
      </c>
      <c r="BD70" s="628" t="s">
        <v>759</v>
      </c>
      <c r="BE70" s="628"/>
      <c r="BF70" s="628"/>
      <c r="BG70" s="628"/>
      <c r="BH70" s="628"/>
      <c r="BI70" s="628"/>
      <c r="BJ70" s="628"/>
      <c r="BK70" s="628"/>
      <c r="BL70" s="628"/>
      <c r="BM70" s="629"/>
      <c r="BN70" s="629">
        <f>SUM(BB68:BN68)</f>
        <v>0</v>
      </c>
      <c r="BO70" s="628" t="s">
        <v>759</v>
      </c>
      <c r="BP70" s="628" t="s">
        <v>759</v>
      </c>
      <c r="BQ70" s="628"/>
      <c r="BR70" s="628"/>
      <c r="BS70" s="628"/>
      <c r="BT70" s="628"/>
      <c r="BU70" s="628"/>
      <c r="BV70" s="628"/>
      <c r="BW70" s="628"/>
      <c r="BX70" s="628"/>
      <c r="BY70" s="629"/>
      <c r="BZ70" s="629">
        <f>SUM(BO68:BZ68)</f>
        <v>0</v>
      </c>
      <c r="CA70" s="628" t="str">
        <f>"I alt pr år til hovedskema "&amp;budgetår</f>
        <v>I alt pr år til hovedskema 2025</v>
      </c>
      <c r="CB70" s="628"/>
      <c r="CC70" s="628"/>
      <c r="CD70" s="628"/>
      <c r="CE70" s="628"/>
      <c r="CF70" s="628"/>
      <c r="CG70" s="628"/>
      <c r="CH70" s="628"/>
      <c r="CI70" s="629"/>
      <c r="CJ70" s="629">
        <f>SUM(CA68:CJ68)</f>
        <v>0</v>
      </c>
      <c r="CK70" s="628" t="str">
        <f>"I alt pr år til hovedskema "&amp;budgetår</f>
        <v>I alt pr år til hovedskema 2025</v>
      </c>
      <c r="CL70" s="628" t="str">
        <f>"I alt pr år til hovedskema "&amp;budgetår</f>
        <v>I alt pr år til hovedskema 2025</v>
      </c>
      <c r="CM70" s="630"/>
      <c r="CN70" s="630"/>
      <c r="CO70" s="631"/>
      <c r="CP70" s="631"/>
      <c r="CQ70" s="631"/>
      <c r="CR70" s="631"/>
      <c r="CS70" s="631"/>
      <c r="CT70" s="631"/>
      <c r="CU70" s="630"/>
      <c r="CV70" s="629"/>
      <c r="CW70" s="629">
        <f>SUM(CK68:CW68)</f>
        <v>0</v>
      </c>
      <c r="CX70" s="628" t="str">
        <f>"I alt pr år til hovedskema "&amp;budgetår</f>
        <v>I alt pr år til hovedskema 2025</v>
      </c>
      <c r="CY70" s="630"/>
      <c r="CZ70" s="630"/>
      <c r="DA70" s="631"/>
      <c r="DB70" s="631"/>
      <c r="DC70" s="629"/>
      <c r="DD70" s="629">
        <f>SUM(CX68:DD68)</f>
        <v>0</v>
      </c>
      <c r="EB70" s="511"/>
      <c r="EC70" s="511"/>
      <c r="ED70" s="511"/>
    </row>
    <row r="71" spans="1:134" s="511" customFormat="1">
      <c r="A71" s="586"/>
      <c r="B71" s="587"/>
      <c r="C71" s="588"/>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c r="CA71" s="587"/>
      <c r="CB71" s="587"/>
      <c r="CC71" s="587"/>
      <c r="CD71" s="587"/>
      <c r="CE71" s="587"/>
      <c r="CF71" s="587"/>
      <c r="CG71" s="587"/>
      <c r="CH71" s="587"/>
      <c r="CI71" s="587"/>
      <c r="CJ71" s="587"/>
      <c r="CK71" s="587"/>
      <c r="CL71" s="587"/>
      <c r="CM71" s="587"/>
      <c r="CN71" s="587"/>
      <c r="CO71" s="587"/>
      <c r="CP71" s="587"/>
      <c r="CQ71" s="587"/>
      <c r="CR71" s="587"/>
      <c r="CS71" s="587"/>
      <c r="CT71" s="587"/>
      <c r="CU71" s="587"/>
      <c r="CV71" s="587"/>
      <c r="CW71" s="587"/>
      <c r="CX71" s="587"/>
      <c r="CY71" s="587"/>
      <c r="CZ71" s="587"/>
      <c r="DA71" s="587"/>
      <c r="DB71" s="587"/>
      <c r="DC71" s="587"/>
      <c r="DD71" s="587"/>
      <c r="DJ71" s="63"/>
      <c r="DK71" s="63"/>
      <c r="DL71" s="63"/>
      <c r="DM71" s="63"/>
      <c r="DN71" s="63"/>
      <c r="DO71" s="63"/>
      <c r="DP71" s="63"/>
      <c r="DQ71" s="63"/>
      <c r="DR71" s="63"/>
      <c r="DS71" s="63"/>
      <c r="DT71" s="63"/>
      <c r="DU71" s="63"/>
      <c r="DV71" s="63"/>
      <c r="DW71" s="63"/>
      <c r="DX71" s="63"/>
      <c r="DY71" s="63"/>
      <c r="DZ71" s="63"/>
      <c r="EA71" s="63"/>
      <c r="EB71" s="63"/>
      <c r="EC71" s="63"/>
      <c r="ED71" s="63"/>
    </row>
    <row r="72" spans="1:134" ht="37" customHeight="1">
      <c r="A72" s="2959" t="s">
        <v>760</v>
      </c>
      <c r="B72" s="2960"/>
      <c r="C72" s="2960"/>
      <c r="D72" s="2960"/>
      <c r="E72" s="2960"/>
      <c r="F72" s="2960"/>
      <c r="G72" s="2960"/>
      <c r="H72" s="2960"/>
      <c r="I72" s="2960"/>
      <c r="J72" s="2960"/>
      <c r="K72" s="2960"/>
      <c r="L72" s="2960"/>
      <c r="M72" s="2960"/>
      <c r="N72" s="2960"/>
      <c r="O72" s="2960"/>
      <c r="P72" s="2960"/>
      <c r="Q72" s="2960"/>
      <c r="R72" s="2960"/>
      <c r="S72" s="2960"/>
      <c r="T72" s="2960"/>
      <c r="U72" s="2960"/>
      <c r="V72" s="2960"/>
      <c r="W72" s="2960"/>
      <c r="X72" s="2960"/>
      <c r="Y72" s="2960"/>
      <c r="Z72" s="2960"/>
      <c r="AA72" s="2960"/>
      <c r="AB72" s="2960"/>
      <c r="AC72" s="2960"/>
      <c r="AD72" s="2960"/>
      <c r="AE72" s="2960"/>
      <c r="AF72" s="2960"/>
      <c r="AG72" s="2960"/>
      <c r="AH72" s="2960"/>
      <c r="AI72" s="2960"/>
      <c r="AJ72" s="2960"/>
      <c r="AK72" s="2960"/>
      <c r="AL72" s="2960"/>
      <c r="AM72" s="2960"/>
      <c r="AN72" s="2960"/>
      <c r="AO72" s="2960"/>
      <c r="AP72" s="2960"/>
      <c r="AQ72" s="2960"/>
      <c r="AR72" s="2960"/>
      <c r="AS72" s="2960"/>
      <c r="AT72" s="2960"/>
      <c r="AU72" s="2960"/>
      <c r="AV72" s="2960"/>
      <c r="AW72" s="2960"/>
      <c r="AX72" s="2960"/>
      <c r="AY72" s="2960"/>
      <c r="AZ72" s="2960"/>
      <c r="BA72" s="2960"/>
      <c r="BB72" s="2960"/>
      <c r="BC72" s="2960"/>
      <c r="BD72" s="2960"/>
      <c r="BE72" s="2960"/>
      <c r="BF72" s="2960"/>
      <c r="BG72" s="2960"/>
      <c r="BH72" s="2960"/>
      <c r="BI72" s="2960"/>
      <c r="BJ72" s="2960"/>
      <c r="BK72" s="2960"/>
      <c r="BL72" s="2960"/>
      <c r="BM72" s="2960"/>
      <c r="BN72" s="2960"/>
      <c r="BO72" s="2960"/>
      <c r="BP72" s="2960"/>
      <c r="BQ72" s="2960"/>
      <c r="BR72" s="2960"/>
      <c r="BS72" s="2960"/>
      <c r="BT72" s="2960"/>
      <c r="BU72" s="2960"/>
      <c r="BV72" s="2960"/>
      <c r="BW72" s="2960"/>
      <c r="BX72" s="2960"/>
      <c r="BY72" s="2960"/>
      <c r="BZ72" s="2960"/>
      <c r="CA72" s="2960"/>
      <c r="CB72" s="2960"/>
      <c r="CC72" s="2960"/>
      <c r="CD72" s="2960"/>
      <c r="CE72" s="2960"/>
      <c r="CF72" s="2960"/>
      <c r="CG72" s="2960"/>
      <c r="CH72" s="2960"/>
      <c r="CI72" s="2960"/>
      <c r="CJ72" s="2960"/>
      <c r="CK72" s="2960"/>
      <c r="CL72" s="2960"/>
      <c r="CM72" s="2960"/>
      <c r="CN72" s="2960"/>
      <c r="CO72" s="2960"/>
      <c r="CP72" s="2960"/>
      <c r="CQ72" s="2960"/>
      <c r="CR72" s="2960"/>
      <c r="CS72" s="2960"/>
      <c r="CT72" s="2960"/>
      <c r="CU72" s="2960"/>
      <c r="CV72" s="2960"/>
      <c r="CW72" s="2960"/>
      <c r="CX72" s="2960"/>
      <c r="CY72" s="2960"/>
      <c r="CZ72" s="2960"/>
      <c r="DA72" s="2960"/>
      <c r="DB72" s="2960"/>
      <c r="DC72" s="2960"/>
      <c r="DD72" s="2960"/>
    </row>
    <row r="73" spans="1:134" ht="58" customHeight="1" thickBot="1">
      <c r="A73" s="2951" t="s">
        <v>602</v>
      </c>
      <c r="B73" s="2952"/>
      <c r="C73" s="1841">
        <v>1</v>
      </c>
      <c r="D73" s="1841">
        <v>1</v>
      </c>
      <c r="E73" s="1841">
        <v>1</v>
      </c>
      <c r="F73" s="1841">
        <v>1</v>
      </c>
      <c r="G73" s="1841">
        <v>1</v>
      </c>
      <c r="H73" s="1841">
        <v>1</v>
      </c>
      <c r="I73" s="1841">
        <v>1</v>
      </c>
      <c r="J73" s="1841">
        <v>1</v>
      </c>
      <c r="K73" s="1841">
        <v>1</v>
      </c>
      <c r="L73" s="1841">
        <v>1</v>
      </c>
      <c r="M73" s="1841">
        <v>1</v>
      </c>
      <c r="N73" s="1841">
        <v>1</v>
      </c>
      <c r="O73" s="1841">
        <v>1</v>
      </c>
      <c r="P73" s="1841">
        <v>1</v>
      </c>
      <c r="Q73" s="1841">
        <v>1</v>
      </c>
      <c r="R73" s="1841">
        <v>1</v>
      </c>
      <c r="S73" s="1841">
        <v>0.5</v>
      </c>
      <c r="T73" s="1841">
        <v>1</v>
      </c>
      <c r="U73" s="1841">
        <v>1</v>
      </c>
      <c r="V73" s="1841">
        <v>1</v>
      </c>
      <c r="W73" s="1841">
        <v>1</v>
      </c>
      <c r="X73" s="1841">
        <v>1</v>
      </c>
      <c r="Y73" s="1841">
        <v>1</v>
      </c>
      <c r="Z73" s="1841">
        <v>1</v>
      </c>
      <c r="AA73" s="1841">
        <v>1</v>
      </c>
      <c r="AB73" s="1841">
        <v>1</v>
      </c>
      <c r="AC73" s="1841">
        <v>1</v>
      </c>
      <c r="AD73" s="1841">
        <v>1</v>
      </c>
      <c r="AE73" s="1841">
        <v>1</v>
      </c>
      <c r="AF73" s="1841">
        <v>1</v>
      </c>
      <c r="AG73" s="1841">
        <v>1</v>
      </c>
      <c r="AH73" s="1841">
        <v>1</v>
      </c>
      <c r="AI73" s="1841">
        <v>1</v>
      </c>
      <c r="AJ73" s="1841">
        <v>1</v>
      </c>
      <c r="AK73" s="1841">
        <v>1</v>
      </c>
      <c r="AL73" s="1841">
        <v>1</v>
      </c>
      <c r="AM73" s="1841">
        <v>1</v>
      </c>
      <c r="AN73" s="1841">
        <v>1</v>
      </c>
      <c r="AO73" s="1841">
        <v>1</v>
      </c>
      <c r="AP73" s="1841">
        <v>1</v>
      </c>
      <c r="AQ73" s="1841">
        <v>1</v>
      </c>
      <c r="AR73" s="2523">
        <v>1</v>
      </c>
      <c r="AS73" s="2523">
        <v>1</v>
      </c>
      <c r="AT73" s="2523">
        <v>1</v>
      </c>
      <c r="AU73" s="2523">
        <v>1</v>
      </c>
      <c r="AV73" s="2523">
        <v>1</v>
      </c>
      <c r="AW73" s="2523">
        <v>1</v>
      </c>
      <c r="AX73" s="2523">
        <v>1</v>
      </c>
      <c r="AY73" s="2523">
        <v>1</v>
      </c>
      <c r="AZ73" s="1841">
        <v>1</v>
      </c>
      <c r="BA73" s="1841">
        <v>1</v>
      </c>
      <c r="BB73" s="1841">
        <v>1</v>
      </c>
      <c r="BC73" s="1841">
        <v>1</v>
      </c>
      <c r="BD73" s="1841">
        <v>1</v>
      </c>
      <c r="BE73" s="1841">
        <v>1</v>
      </c>
      <c r="BF73" s="1841">
        <v>1</v>
      </c>
      <c r="BG73" s="1841">
        <v>1</v>
      </c>
      <c r="BH73" s="1841">
        <v>1</v>
      </c>
      <c r="BI73" s="1841">
        <v>1</v>
      </c>
      <c r="BJ73" s="1841">
        <v>1</v>
      </c>
      <c r="BK73" s="1841">
        <v>1</v>
      </c>
      <c r="BL73" s="1841">
        <v>1</v>
      </c>
      <c r="BM73" s="1841">
        <v>1</v>
      </c>
      <c r="BN73" s="1841">
        <v>1</v>
      </c>
      <c r="BO73" s="1841">
        <v>1</v>
      </c>
      <c r="BP73" s="1841">
        <v>1</v>
      </c>
      <c r="BQ73" s="1841">
        <v>1</v>
      </c>
      <c r="BR73" s="1841">
        <v>1</v>
      </c>
      <c r="BS73" s="1841">
        <v>1</v>
      </c>
      <c r="BT73" s="1841">
        <v>1</v>
      </c>
      <c r="BU73" s="1841">
        <v>1</v>
      </c>
      <c r="BV73" s="1841">
        <v>1</v>
      </c>
      <c r="BW73" s="1841">
        <v>1</v>
      </c>
      <c r="BX73" s="1841">
        <v>1</v>
      </c>
      <c r="BY73" s="1841">
        <v>1</v>
      </c>
      <c r="BZ73" s="1841">
        <v>1</v>
      </c>
      <c r="CA73" s="2491">
        <v>1</v>
      </c>
      <c r="CB73" s="1841">
        <v>1</v>
      </c>
      <c r="CC73" s="1841">
        <v>1</v>
      </c>
      <c r="CD73" s="1841">
        <v>1</v>
      </c>
      <c r="CE73" s="1841">
        <v>1</v>
      </c>
      <c r="CF73" s="1841">
        <v>1</v>
      </c>
      <c r="CG73" s="1841">
        <v>1</v>
      </c>
      <c r="CH73" s="1841">
        <v>1</v>
      </c>
      <c r="CI73" s="1841">
        <v>1</v>
      </c>
      <c r="CJ73" s="1841">
        <v>1</v>
      </c>
      <c r="CK73" s="1841">
        <v>1</v>
      </c>
      <c r="CL73" s="1842">
        <v>1</v>
      </c>
      <c r="CM73" s="1841">
        <v>1</v>
      </c>
      <c r="CN73" s="1841">
        <v>1</v>
      </c>
      <c r="CO73" s="1841">
        <v>1</v>
      </c>
      <c r="CP73" s="1841">
        <v>1</v>
      </c>
      <c r="CQ73" s="1841">
        <v>1</v>
      </c>
      <c r="CR73" s="1841">
        <v>1</v>
      </c>
      <c r="CS73" s="1841">
        <v>1</v>
      </c>
      <c r="CT73" s="1841">
        <v>1</v>
      </c>
      <c r="CU73" s="1841">
        <v>1</v>
      </c>
      <c r="CV73" s="1841">
        <v>1</v>
      </c>
      <c r="CW73" s="1841">
        <v>1</v>
      </c>
      <c r="CX73" s="1841">
        <v>1</v>
      </c>
      <c r="CY73" s="1841">
        <v>1</v>
      </c>
      <c r="CZ73" s="1841">
        <v>1</v>
      </c>
      <c r="DA73" s="1841">
        <v>1</v>
      </c>
      <c r="DB73" s="1841">
        <v>1</v>
      </c>
      <c r="DC73" s="1841">
        <v>1</v>
      </c>
      <c r="DD73" s="1841">
        <v>1</v>
      </c>
      <c r="DF73" s="2930"/>
      <c r="DG73" s="2930"/>
    </row>
    <row r="74" spans="1:134" ht="25" hidden="1" customHeight="1">
      <c r="A74" s="1582"/>
      <c r="B74" s="1583" t="str">
        <f>'lon undervisning'!B87</f>
        <v xml:space="preserve">Ferieberettiget løn pr. 31. december 2023. DET ER VIGTIGT DER OPLYSES EN HEL MÅNEDS LØN. (hvis ikke der sker ændring i lønnen kan lønnen aflæses allerede i september/oktober mdr.) </v>
      </c>
      <c r="C74" s="1584">
        <f t="shared" ref="C74:U74" si="296">C42/C22*Prc</f>
        <v>0</v>
      </c>
      <c r="D74" s="1584">
        <f t="shared" si="296"/>
        <v>0</v>
      </c>
      <c r="E74" s="1584">
        <f t="shared" si="296"/>
        <v>0</v>
      </c>
      <c r="F74" s="1584">
        <f t="shared" ref="F74" si="297">F42/F22*Prc</f>
        <v>0</v>
      </c>
      <c r="G74" s="1584">
        <f t="shared" si="296"/>
        <v>0</v>
      </c>
      <c r="H74" s="1584">
        <f t="shared" si="296"/>
        <v>0</v>
      </c>
      <c r="I74" s="1584">
        <f t="shared" ref="I74" si="298">I42/I22*Prc</f>
        <v>0</v>
      </c>
      <c r="J74" s="1584">
        <f t="shared" si="296"/>
        <v>0</v>
      </c>
      <c r="K74" s="1584">
        <f t="shared" si="296"/>
        <v>0</v>
      </c>
      <c r="L74" s="1584">
        <f t="shared" si="296"/>
        <v>0</v>
      </c>
      <c r="M74" s="1584">
        <f t="shared" si="296"/>
        <v>0</v>
      </c>
      <c r="N74" s="1584">
        <f t="shared" si="296"/>
        <v>0</v>
      </c>
      <c r="O74" s="1584">
        <f t="shared" si="296"/>
        <v>0</v>
      </c>
      <c r="P74" s="1584">
        <f t="shared" si="296"/>
        <v>0</v>
      </c>
      <c r="Q74" s="1584">
        <f t="shared" si="296"/>
        <v>0</v>
      </c>
      <c r="R74" s="1584">
        <f t="shared" si="296"/>
        <v>0</v>
      </c>
      <c r="S74" s="1584">
        <f t="shared" si="296"/>
        <v>0</v>
      </c>
      <c r="T74" s="1584">
        <f t="shared" si="296"/>
        <v>0</v>
      </c>
      <c r="U74" s="1584">
        <f t="shared" si="296"/>
        <v>0</v>
      </c>
      <c r="V74" s="1585"/>
      <c r="W74" s="1585"/>
      <c r="X74" s="1584">
        <f t="shared" ref="X74:AJ74" si="299">X42/X22*Prc</f>
        <v>0</v>
      </c>
      <c r="Y74" s="1584">
        <f t="shared" ref="Y74" si="300">Y42/Y22*Prc</f>
        <v>0</v>
      </c>
      <c r="Z74" s="1584">
        <f t="shared" si="299"/>
        <v>0</v>
      </c>
      <c r="AA74" s="1584">
        <f t="shared" si="299"/>
        <v>0</v>
      </c>
      <c r="AB74" s="1584">
        <f t="shared" si="299"/>
        <v>0</v>
      </c>
      <c r="AC74" s="1584">
        <f t="shared" si="299"/>
        <v>0</v>
      </c>
      <c r="AD74" s="1584">
        <f t="shared" si="299"/>
        <v>0</v>
      </c>
      <c r="AE74" s="1584">
        <f t="shared" ref="AE74" si="301">AE42/AE22*Prc</f>
        <v>0</v>
      </c>
      <c r="AF74" s="1584">
        <f t="shared" si="299"/>
        <v>0</v>
      </c>
      <c r="AG74" s="1584">
        <f t="shared" si="299"/>
        <v>0</v>
      </c>
      <c r="AH74" s="1584">
        <f t="shared" si="299"/>
        <v>0</v>
      </c>
      <c r="AI74" s="1584">
        <f t="shared" si="299"/>
        <v>0</v>
      </c>
      <c r="AJ74" s="1584">
        <f t="shared" si="299"/>
        <v>0</v>
      </c>
      <c r="AK74" s="1584">
        <f t="shared" ref="AK74:AN74" si="302">AK42/AK22*Prc</f>
        <v>0</v>
      </c>
      <c r="AL74" s="1584">
        <f t="shared" si="302"/>
        <v>0</v>
      </c>
      <c r="AM74" s="1584">
        <f t="shared" si="302"/>
        <v>0</v>
      </c>
      <c r="AN74" s="1584">
        <f t="shared" si="302"/>
        <v>0</v>
      </c>
      <c r="AO74" s="1584">
        <f t="shared" ref="AO74:AQ74" si="303">AO42/AO22*Prc</f>
        <v>0</v>
      </c>
      <c r="AP74" s="1584">
        <f t="shared" si="303"/>
        <v>0</v>
      </c>
      <c r="AQ74" s="1584">
        <f t="shared" si="303"/>
        <v>0</v>
      </c>
      <c r="AR74" s="2524">
        <f t="shared" ref="AR74:AU74" si="304">AR42/AR22*Prc</f>
        <v>0</v>
      </c>
      <c r="AS74" s="2524">
        <f t="shared" si="304"/>
        <v>0</v>
      </c>
      <c r="AT74" s="2524">
        <f t="shared" ref="AT74" si="305">AT42/AT22*Prc</f>
        <v>0</v>
      </c>
      <c r="AU74" s="2524">
        <f t="shared" si="304"/>
        <v>0</v>
      </c>
      <c r="AV74" s="2524">
        <f t="shared" ref="AV74:AW74" si="306">AV42/AV22*Prc</f>
        <v>0</v>
      </c>
      <c r="AW74" s="2524">
        <f t="shared" si="306"/>
        <v>0</v>
      </c>
      <c r="AX74" s="2524">
        <f t="shared" ref="AX74" si="307">AX42/AX22*Prc</f>
        <v>0</v>
      </c>
      <c r="AY74" s="2524">
        <f t="shared" ref="AY74" si="308">AY42/AY22*Prc</f>
        <v>0</v>
      </c>
      <c r="AZ74" s="1843"/>
      <c r="BA74" s="1843"/>
      <c r="BB74" s="1584">
        <f t="shared" ref="BB74:BL74" si="309">BB42/BB22*Prc</f>
        <v>0</v>
      </c>
      <c r="BC74" s="1584">
        <f t="shared" ref="BC74" si="310">BC42/BC22*Prc</f>
        <v>0</v>
      </c>
      <c r="BD74" s="1584">
        <f t="shared" si="309"/>
        <v>0</v>
      </c>
      <c r="BE74" s="1584">
        <f t="shared" si="309"/>
        <v>0</v>
      </c>
      <c r="BF74" s="1584">
        <f t="shared" si="309"/>
        <v>0</v>
      </c>
      <c r="BG74" s="1584">
        <f t="shared" si="309"/>
        <v>0</v>
      </c>
      <c r="BH74" s="1584">
        <f t="shared" si="309"/>
        <v>0</v>
      </c>
      <c r="BI74" s="1584">
        <f t="shared" si="309"/>
        <v>0</v>
      </c>
      <c r="BJ74" s="1584">
        <f t="shared" si="309"/>
        <v>0</v>
      </c>
      <c r="BK74" s="1584">
        <f t="shared" si="309"/>
        <v>0</v>
      </c>
      <c r="BL74" s="1584">
        <f t="shared" si="309"/>
        <v>0</v>
      </c>
      <c r="BM74" s="1843"/>
      <c r="BN74" s="1843"/>
      <c r="BO74" s="1584">
        <f t="shared" ref="BO74:BX74" si="311">BO42/BO22*Prc</f>
        <v>0</v>
      </c>
      <c r="BP74" s="1584">
        <f t="shared" si="311"/>
        <v>0</v>
      </c>
      <c r="BQ74" s="1584">
        <f t="shared" si="311"/>
        <v>0</v>
      </c>
      <c r="BR74" s="1584">
        <f t="shared" si="311"/>
        <v>0</v>
      </c>
      <c r="BS74" s="1584">
        <f t="shared" si="311"/>
        <v>0</v>
      </c>
      <c r="BT74" s="1584">
        <f t="shared" si="311"/>
        <v>0</v>
      </c>
      <c r="BU74" s="1584">
        <f t="shared" si="311"/>
        <v>0</v>
      </c>
      <c r="BV74" s="1584">
        <f t="shared" si="311"/>
        <v>0</v>
      </c>
      <c r="BW74" s="1584">
        <f t="shared" si="311"/>
        <v>0</v>
      </c>
      <c r="BX74" s="1584">
        <f t="shared" si="311"/>
        <v>0</v>
      </c>
      <c r="BY74" s="1843"/>
      <c r="BZ74" s="1843"/>
      <c r="CA74" s="1594">
        <f t="shared" ref="CA74:CH74" si="312">CA42/CA22*Prc</f>
        <v>0</v>
      </c>
      <c r="CB74" s="1584">
        <f t="shared" si="312"/>
        <v>0</v>
      </c>
      <c r="CC74" s="1584">
        <f t="shared" si="312"/>
        <v>0</v>
      </c>
      <c r="CD74" s="1584">
        <f t="shared" si="312"/>
        <v>0</v>
      </c>
      <c r="CE74" s="1584">
        <f t="shared" si="312"/>
        <v>0</v>
      </c>
      <c r="CF74" s="1584">
        <f t="shared" si="312"/>
        <v>0</v>
      </c>
      <c r="CG74" s="1584">
        <f t="shared" si="312"/>
        <v>0</v>
      </c>
      <c r="CH74" s="1584">
        <f t="shared" si="312"/>
        <v>0</v>
      </c>
      <c r="CI74" s="1585"/>
      <c r="CJ74" s="1585"/>
      <c r="CK74" s="1584">
        <f t="shared" ref="CK74:CU74" si="313">CK42/CK22*Prc</f>
        <v>0</v>
      </c>
      <c r="CL74" s="1594">
        <f t="shared" si="313"/>
        <v>0</v>
      </c>
      <c r="CM74" s="1584">
        <f t="shared" si="313"/>
        <v>0</v>
      </c>
      <c r="CN74" s="1584">
        <f t="shared" si="313"/>
        <v>0</v>
      </c>
      <c r="CO74" s="1584">
        <f t="shared" si="313"/>
        <v>0</v>
      </c>
      <c r="CP74" s="1584">
        <f t="shared" si="313"/>
        <v>0</v>
      </c>
      <c r="CQ74" s="1584">
        <f t="shared" si="313"/>
        <v>0</v>
      </c>
      <c r="CR74" s="1584">
        <f t="shared" si="313"/>
        <v>0</v>
      </c>
      <c r="CS74" s="1584">
        <f t="shared" si="313"/>
        <v>0</v>
      </c>
      <c r="CT74" s="1584">
        <f t="shared" si="313"/>
        <v>0</v>
      </c>
      <c r="CU74" s="1584">
        <f t="shared" si="313"/>
        <v>0</v>
      </c>
      <c r="CV74" s="1585"/>
      <c r="CW74" s="1585"/>
      <c r="CX74" s="1584">
        <f>CX42/CX22*Prc</f>
        <v>0</v>
      </c>
      <c r="CY74" s="1584">
        <f>CY42/CY22*Prc</f>
        <v>0</v>
      </c>
      <c r="CZ74" s="1584">
        <f>CZ42/CZ22*Prc</f>
        <v>0</v>
      </c>
      <c r="DA74" s="1584">
        <f>DA42/DA22*Prc</f>
        <v>0</v>
      </c>
      <c r="DB74" s="1584">
        <f>DB42/DB22*Prc</f>
        <v>0</v>
      </c>
      <c r="DC74" s="1843"/>
      <c r="DD74" s="1843"/>
      <c r="DF74" s="504"/>
      <c r="DG74" s="509"/>
    </row>
    <row r="75" spans="1:134" ht="43" hidden="1" customHeight="1" thickBot="1">
      <c r="A75" s="1586"/>
      <c r="B75" s="1844" t="str">
        <f>'lon undervisning'!B88</f>
        <v>100% pensionsindbetaling pr. 31. december 2023. DET ER VIGTIGT PENSIONSINDBETALINGEN VEDR. EN HEL MÅNEDS INDBETALING. (Hvis ikke der sker ændring i lønnen kan pensionsindbetalingen aflæses allerede i september/oktober mdr.)</v>
      </c>
      <c r="C75" s="1845">
        <f t="shared" ref="C75:U75" si="314">C46/C22*Prc</f>
        <v>0</v>
      </c>
      <c r="D75" s="1845">
        <f t="shared" si="314"/>
        <v>0</v>
      </c>
      <c r="E75" s="1845">
        <f t="shared" si="314"/>
        <v>0</v>
      </c>
      <c r="F75" s="1845">
        <f t="shared" ref="F75" si="315">F46/F22*Prc</f>
        <v>0</v>
      </c>
      <c r="G75" s="1845">
        <f t="shared" si="314"/>
        <v>0</v>
      </c>
      <c r="H75" s="1845">
        <f t="shared" si="314"/>
        <v>0</v>
      </c>
      <c r="I75" s="1845">
        <f t="shared" ref="I75" si="316">I46/I22*Prc</f>
        <v>0</v>
      </c>
      <c r="J75" s="1845">
        <f t="shared" si="314"/>
        <v>0</v>
      </c>
      <c r="K75" s="1845">
        <f t="shared" si="314"/>
        <v>0</v>
      </c>
      <c r="L75" s="1845">
        <f t="shared" si="314"/>
        <v>0</v>
      </c>
      <c r="M75" s="1845">
        <f t="shared" si="314"/>
        <v>0</v>
      </c>
      <c r="N75" s="1845">
        <f t="shared" si="314"/>
        <v>0</v>
      </c>
      <c r="O75" s="1845">
        <f t="shared" si="314"/>
        <v>0</v>
      </c>
      <c r="P75" s="1845">
        <f t="shared" si="314"/>
        <v>0</v>
      </c>
      <c r="Q75" s="1845">
        <f t="shared" si="314"/>
        <v>0</v>
      </c>
      <c r="R75" s="1845">
        <f t="shared" si="314"/>
        <v>0</v>
      </c>
      <c r="S75" s="1845">
        <f t="shared" si="314"/>
        <v>0</v>
      </c>
      <c r="T75" s="1845">
        <f t="shared" si="314"/>
        <v>0</v>
      </c>
      <c r="U75" s="1845">
        <f t="shared" si="314"/>
        <v>0</v>
      </c>
      <c r="V75" s="1846"/>
      <c r="W75" s="1846"/>
      <c r="X75" s="1845">
        <f t="shared" ref="X75:AJ75" si="317">X46/X22*Prc</f>
        <v>0</v>
      </c>
      <c r="Y75" s="1845">
        <f t="shared" ref="Y75" si="318">Y46/Y22*Prc</f>
        <v>0</v>
      </c>
      <c r="Z75" s="1845">
        <f t="shared" si="317"/>
        <v>0</v>
      </c>
      <c r="AA75" s="1845">
        <f t="shared" si="317"/>
        <v>0</v>
      </c>
      <c r="AB75" s="1845">
        <f t="shared" si="317"/>
        <v>0</v>
      </c>
      <c r="AC75" s="1845">
        <f t="shared" si="317"/>
        <v>0</v>
      </c>
      <c r="AD75" s="1845">
        <f t="shared" si="317"/>
        <v>0</v>
      </c>
      <c r="AE75" s="1845">
        <f t="shared" ref="AE75" si="319">AE46/AE22*Prc</f>
        <v>0</v>
      </c>
      <c r="AF75" s="1845">
        <f t="shared" si="317"/>
        <v>0</v>
      </c>
      <c r="AG75" s="1845">
        <f t="shared" si="317"/>
        <v>0</v>
      </c>
      <c r="AH75" s="1845">
        <f t="shared" si="317"/>
        <v>0</v>
      </c>
      <c r="AI75" s="1845">
        <f t="shared" si="317"/>
        <v>0</v>
      </c>
      <c r="AJ75" s="1845">
        <f t="shared" si="317"/>
        <v>0</v>
      </c>
      <c r="AK75" s="1845">
        <f t="shared" ref="AK75:AN75" si="320">AK46/AK22*Prc</f>
        <v>0</v>
      </c>
      <c r="AL75" s="1845">
        <f t="shared" si="320"/>
        <v>0</v>
      </c>
      <c r="AM75" s="1845">
        <f t="shared" si="320"/>
        <v>0</v>
      </c>
      <c r="AN75" s="1845">
        <f t="shared" si="320"/>
        <v>0</v>
      </c>
      <c r="AO75" s="1845">
        <f t="shared" ref="AO75:AQ75" si="321">AO46/AO22*Prc</f>
        <v>0</v>
      </c>
      <c r="AP75" s="1845">
        <f t="shared" si="321"/>
        <v>0</v>
      </c>
      <c r="AQ75" s="1845">
        <f t="shared" si="321"/>
        <v>0</v>
      </c>
      <c r="AR75" s="2336">
        <f t="shared" ref="AR75:AU75" si="322">AR46/AR22*Prc</f>
        <v>0</v>
      </c>
      <c r="AS75" s="2336">
        <f t="shared" si="322"/>
        <v>0</v>
      </c>
      <c r="AT75" s="2336">
        <f t="shared" ref="AT75" si="323">AT46/AT22*Prc</f>
        <v>0</v>
      </c>
      <c r="AU75" s="2336">
        <f t="shared" si="322"/>
        <v>0</v>
      </c>
      <c r="AV75" s="2336">
        <f t="shared" ref="AV75:AW75" si="324">AV46/AV22*Prc</f>
        <v>0</v>
      </c>
      <c r="AW75" s="2336">
        <f t="shared" si="324"/>
        <v>0</v>
      </c>
      <c r="AX75" s="2336">
        <f t="shared" ref="AX75" si="325">AX46/AX22*Prc</f>
        <v>0</v>
      </c>
      <c r="AY75" s="2336">
        <f t="shared" ref="AY75" si="326">AY46/AY22*Prc</f>
        <v>0</v>
      </c>
      <c r="AZ75" s="1847"/>
      <c r="BA75" s="1847"/>
      <c r="BB75" s="1845">
        <f t="shared" ref="BB75:BL75" si="327">BB46/BB22*Prc</f>
        <v>0</v>
      </c>
      <c r="BC75" s="1845">
        <f t="shared" ref="BC75" si="328">BC46/BC22*Prc</f>
        <v>0</v>
      </c>
      <c r="BD75" s="1845">
        <f t="shared" si="327"/>
        <v>0</v>
      </c>
      <c r="BE75" s="1845">
        <f t="shared" si="327"/>
        <v>0</v>
      </c>
      <c r="BF75" s="1845">
        <f t="shared" si="327"/>
        <v>0</v>
      </c>
      <c r="BG75" s="1845">
        <f t="shared" si="327"/>
        <v>0</v>
      </c>
      <c r="BH75" s="1845">
        <f t="shared" si="327"/>
        <v>0</v>
      </c>
      <c r="BI75" s="1845">
        <f t="shared" si="327"/>
        <v>0</v>
      </c>
      <c r="BJ75" s="1845">
        <f t="shared" si="327"/>
        <v>0</v>
      </c>
      <c r="BK75" s="1845">
        <f t="shared" si="327"/>
        <v>0</v>
      </c>
      <c r="BL75" s="1845">
        <f t="shared" si="327"/>
        <v>0</v>
      </c>
      <c r="BM75" s="1847"/>
      <c r="BN75" s="1847"/>
      <c r="BO75" s="1845">
        <f t="shared" ref="BO75:BX75" si="329">BO46/BO22*Prc</f>
        <v>0</v>
      </c>
      <c r="BP75" s="1845">
        <f t="shared" si="329"/>
        <v>0</v>
      </c>
      <c r="BQ75" s="1845">
        <f t="shared" si="329"/>
        <v>0</v>
      </c>
      <c r="BR75" s="1845">
        <f t="shared" si="329"/>
        <v>0</v>
      </c>
      <c r="BS75" s="1845">
        <f t="shared" si="329"/>
        <v>0</v>
      </c>
      <c r="BT75" s="1845">
        <f t="shared" si="329"/>
        <v>0</v>
      </c>
      <c r="BU75" s="1845">
        <f t="shared" si="329"/>
        <v>0</v>
      </c>
      <c r="BV75" s="1845">
        <f t="shared" si="329"/>
        <v>0</v>
      </c>
      <c r="BW75" s="1845">
        <f t="shared" si="329"/>
        <v>0</v>
      </c>
      <c r="BX75" s="1845">
        <f t="shared" si="329"/>
        <v>0</v>
      </c>
      <c r="BY75" s="1847"/>
      <c r="BZ75" s="1847"/>
      <c r="CA75" s="1845">
        <f t="shared" ref="CA75:CH75" si="330">CA46/CA22*Prc</f>
        <v>0</v>
      </c>
      <c r="CB75" s="1845">
        <f t="shared" si="330"/>
        <v>0</v>
      </c>
      <c r="CC75" s="1845">
        <f t="shared" si="330"/>
        <v>0</v>
      </c>
      <c r="CD75" s="1845">
        <f t="shared" si="330"/>
        <v>0</v>
      </c>
      <c r="CE75" s="1845">
        <f t="shared" si="330"/>
        <v>0</v>
      </c>
      <c r="CF75" s="1845">
        <f t="shared" si="330"/>
        <v>0</v>
      </c>
      <c r="CG75" s="1845">
        <f t="shared" si="330"/>
        <v>0</v>
      </c>
      <c r="CH75" s="1845">
        <f t="shared" si="330"/>
        <v>0</v>
      </c>
      <c r="CI75" s="1846"/>
      <c r="CJ75" s="1846"/>
      <c r="CK75" s="1845">
        <f t="shared" ref="CK75:CU75" si="331">CK46/CK22*Prc</f>
        <v>0</v>
      </c>
      <c r="CL75" s="1845">
        <f t="shared" si="331"/>
        <v>0</v>
      </c>
      <c r="CM75" s="1845">
        <f t="shared" si="331"/>
        <v>0</v>
      </c>
      <c r="CN75" s="1845">
        <f t="shared" si="331"/>
        <v>0</v>
      </c>
      <c r="CO75" s="1845">
        <f t="shared" si="331"/>
        <v>0</v>
      </c>
      <c r="CP75" s="1845">
        <f t="shared" si="331"/>
        <v>0</v>
      </c>
      <c r="CQ75" s="1845">
        <f t="shared" si="331"/>
        <v>0</v>
      </c>
      <c r="CR75" s="1845">
        <f t="shared" si="331"/>
        <v>0</v>
      </c>
      <c r="CS75" s="1845">
        <f t="shared" si="331"/>
        <v>0</v>
      </c>
      <c r="CT75" s="1845">
        <f t="shared" si="331"/>
        <v>0</v>
      </c>
      <c r="CU75" s="1845">
        <f t="shared" si="331"/>
        <v>0</v>
      </c>
      <c r="CV75" s="1846"/>
      <c r="CW75" s="1846"/>
      <c r="CX75" s="1845">
        <f>CX46/CX22*Prc</f>
        <v>0</v>
      </c>
      <c r="CY75" s="1845">
        <f>CY46/CY22*Prc</f>
        <v>0</v>
      </c>
      <c r="CZ75" s="1845">
        <f>CZ46/CZ22*Prc</f>
        <v>0</v>
      </c>
      <c r="DA75" s="1845">
        <f>DA46/DA22*Prc</f>
        <v>0</v>
      </c>
      <c r="DB75" s="1845">
        <f>DB46/DB22*Prc</f>
        <v>0</v>
      </c>
      <c r="DC75" s="1847"/>
      <c r="DD75" s="1847"/>
      <c r="DF75" s="505"/>
      <c r="DG75" s="508"/>
    </row>
    <row r="76" spans="1:134" ht="25" hidden="1" customHeight="1">
      <c r="A76" s="1586"/>
      <c r="B76" s="1844" t="str">
        <f>'lon undervisning'!B89</f>
        <v>Skolens bidrag til ATP december 2021. (Kan også aflæses i september/oktober mdr.)</v>
      </c>
      <c r="C76" s="1845">
        <f t="shared" ref="C76:U76" si="332">C47/3*2</f>
        <v>0</v>
      </c>
      <c r="D76" s="1845">
        <f t="shared" si="332"/>
        <v>0</v>
      </c>
      <c r="E76" s="1845">
        <f t="shared" si="332"/>
        <v>0</v>
      </c>
      <c r="F76" s="1845">
        <f t="shared" ref="F76" si="333">F47/3*2</f>
        <v>0</v>
      </c>
      <c r="G76" s="1845">
        <f t="shared" si="332"/>
        <v>0</v>
      </c>
      <c r="H76" s="1845">
        <f t="shared" si="332"/>
        <v>0</v>
      </c>
      <c r="I76" s="1845">
        <f t="shared" ref="I76" si="334">I47/3*2</f>
        <v>0</v>
      </c>
      <c r="J76" s="1845">
        <f t="shared" si="332"/>
        <v>0</v>
      </c>
      <c r="K76" s="1845">
        <f t="shared" si="332"/>
        <v>0</v>
      </c>
      <c r="L76" s="1845">
        <f t="shared" si="332"/>
        <v>0</v>
      </c>
      <c r="M76" s="1845">
        <f t="shared" si="332"/>
        <v>0</v>
      </c>
      <c r="N76" s="1845">
        <f t="shared" si="332"/>
        <v>0</v>
      </c>
      <c r="O76" s="1845">
        <f t="shared" si="332"/>
        <v>0</v>
      </c>
      <c r="P76" s="1845">
        <f t="shared" si="332"/>
        <v>0</v>
      </c>
      <c r="Q76" s="1845">
        <f t="shared" si="332"/>
        <v>0</v>
      </c>
      <c r="R76" s="1845">
        <f t="shared" si="332"/>
        <v>0</v>
      </c>
      <c r="S76" s="1845">
        <f t="shared" si="332"/>
        <v>0</v>
      </c>
      <c r="T76" s="1845">
        <f t="shared" si="332"/>
        <v>0</v>
      </c>
      <c r="U76" s="1845">
        <f t="shared" si="332"/>
        <v>0</v>
      </c>
      <c r="V76" s="1846"/>
      <c r="W76" s="1846"/>
      <c r="X76" s="1845">
        <f t="shared" ref="X76:AJ76" si="335">X47/3*2</f>
        <v>0</v>
      </c>
      <c r="Y76" s="1845">
        <f t="shared" ref="Y76" si="336">Y47/3*2</f>
        <v>0</v>
      </c>
      <c r="Z76" s="1845">
        <f t="shared" si="335"/>
        <v>0</v>
      </c>
      <c r="AA76" s="1845">
        <f t="shared" si="335"/>
        <v>0</v>
      </c>
      <c r="AB76" s="1845">
        <f t="shared" si="335"/>
        <v>0</v>
      </c>
      <c r="AC76" s="1845">
        <f t="shared" si="335"/>
        <v>0</v>
      </c>
      <c r="AD76" s="1845">
        <f t="shared" si="335"/>
        <v>0</v>
      </c>
      <c r="AE76" s="1845">
        <f t="shared" ref="AE76" si="337">AE47/3*2</f>
        <v>0</v>
      </c>
      <c r="AF76" s="1845">
        <f t="shared" si="335"/>
        <v>0</v>
      </c>
      <c r="AG76" s="1845">
        <f t="shared" si="335"/>
        <v>0</v>
      </c>
      <c r="AH76" s="1845">
        <f t="shared" si="335"/>
        <v>0</v>
      </c>
      <c r="AI76" s="1845">
        <f t="shared" si="335"/>
        <v>0</v>
      </c>
      <c r="AJ76" s="1845">
        <f t="shared" si="335"/>
        <v>0</v>
      </c>
      <c r="AK76" s="1845">
        <f t="shared" ref="AK76:AN76" si="338">AK47/3*2</f>
        <v>0</v>
      </c>
      <c r="AL76" s="1845">
        <f t="shared" si="338"/>
        <v>0</v>
      </c>
      <c r="AM76" s="1845">
        <f t="shared" si="338"/>
        <v>0</v>
      </c>
      <c r="AN76" s="1845">
        <f t="shared" si="338"/>
        <v>0</v>
      </c>
      <c r="AO76" s="1845">
        <f t="shared" ref="AO76:AY76" si="339">AO47/3*2</f>
        <v>0</v>
      </c>
      <c r="AP76" s="1845">
        <f t="shared" si="339"/>
        <v>0</v>
      </c>
      <c r="AQ76" s="1845">
        <f t="shared" si="339"/>
        <v>0</v>
      </c>
      <c r="AR76" s="2336">
        <f t="shared" si="339"/>
        <v>0</v>
      </c>
      <c r="AS76" s="2336">
        <f t="shared" si="339"/>
        <v>0</v>
      </c>
      <c r="AT76" s="2336">
        <f t="shared" si="339"/>
        <v>0</v>
      </c>
      <c r="AU76" s="2336">
        <f t="shared" si="339"/>
        <v>0</v>
      </c>
      <c r="AV76" s="2336">
        <f t="shared" si="339"/>
        <v>0</v>
      </c>
      <c r="AW76" s="2336">
        <f t="shared" si="339"/>
        <v>0</v>
      </c>
      <c r="AX76" s="2336">
        <f t="shared" si="339"/>
        <v>0</v>
      </c>
      <c r="AY76" s="2336">
        <f t="shared" si="339"/>
        <v>0</v>
      </c>
      <c r="AZ76" s="1847"/>
      <c r="BA76" s="1847"/>
      <c r="BB76" s="1845">
        <f t="shared" ref="BB76:BL76" si="340">BB47/3*2</f>
        <v>0</v>
      </c>
      <c r="BC76" s="1845">
        <f t="shared" ref="BC76" si="341">BC47/3*2</f>
        <v>0</v>
      </c>
      <c r="BD76" s="1845">
        <f t="shared" si="340"/>
        <v>0</v>
      </c>
      <c r="BE76" s="1845">
        <f t="shared" si="340"/>
        <v>0</v>
      </c>
      <c r="BF76" s="1845">
        <f t="shared" si="340"/>
        <v>0</v>
      </c>
      <c r="BG76" s="1845">
        <f t="shared" si="340"/>
        <v>0</v>
      </c>
      <c r="BH76" s="1845">
        <f t="shared" si="340"/>
        <v>0</v>
      </c>
      <c r="BI76" s="1845">
        <f t="shared" si="340"/>
        <v>0</v>
      </c>
      <c r="BJ76" s="1845">
        <f t="shared" si="340"/>
        <v>0</v>
      </c>
      <c r="BK76" s="1845">
        <f t="shared" si="340"/>
        <v>0</v>
      </c>
      <c r="BL76" s="1845">
        <f t="shared" si="340"/>
        <v>0</v>
      </c>
      <c r="BM76" s="1847"/>
      <c r="BN76" s="1847"/>
      <c r="BO76" s="1845">
        <f t="shared" ref="BO76:BX76" si="342">BO47/3*2</f>
        <v>0</v>
      </c>
      <c r="BP76" s="1845">
        <f t="shared" si="342"/>
        <v>0</v>
      </c>
      <c r="BQ76" s="1845">
        <f t="shared" si="342"/>
        <v>0</v>
      </c>
      <c r="BR76" s="1845">
        <f t="shared" si="342"/>
        <v>0</v>
      </c>
      <c r="BS76" s="1845">
        <f t="shared" si="342"/>
        <v>0</v>
      </c>
      <c r="BT76" s="1845">
        <f t="shared" si="342"/>
        <v>0</v>
      </c>
      <c r="BU76" s="1845">
        <f t="shared" si="342"/>
        <v>0</v>
      </c>
      <c r="BV76" s="1845">
        <f t="shared" si="342"/>
        <v>0</v>
      </c>
      <c r="BW76" s="1845">
        <f t="shared" si="342"/>
        <v>0</v>
      </c>
      <c r="BX76" s="1845">
        <f t="shared" si="342"/>
        <v>0</v>
      </c>
      <c r="BY76" s="1847"/>
      <c r="BZ76" s="1847"/>
      <c r="CA76" s="1845">
        <f t="shared" ref="CA76:CH76" si="343">CA47/3*2</f>
        <v>0</v>
      </c>
      <c r="CB76" s="1845">
        <f t="shared" si="343"/>
        <v>0</v>
      </c>
      <c r="CC76" s="1845">
        <f t="shared" si="343"/>
        <v>0</v>
      </c>
      <c r="CD76" s="1845">
        <f t="shared" si="343"/>
        <v>0</v>
      </c>
      <c r="CE76" s="1845">
        <f t="shared" si="343"/>
        <v>0</v>
      </c>
      <c r="CF76" s="1845">
        <f t="shared" si="343"/>
        <v>0</v>
      </c>
      <c r="CG76" s="1845">
        <f t="shared" si="343"/>
        <v>0</v>
      </c>
      <c r="CH76" s="1845">
        <f t="shared" si="343"/>
        <v>0</v>
      </c>
      <c r="CI76" s="1846"/>
      <c r="CJ76" s="1846"/>
      <c r="CK76" s="1845">
        <f t="shared" ref="CK76:CU76" si="344">CK47/3*2</f>
        <v>0</v>
      </c>
      <c r="CL76" s="1845">
        <f t="shared" si="344"/>
        <v>0</v>
      </c>
      <c r="CM76" s="1845">
        <f t="shared" si="344"/>
        <v>0</v>
      </c>
      <c r="CN76" s="1845">
        <f t="shared" si="344"/>
        <v>0</v>
      </c>
      <c r="CO76" s="1845">
        <f t="shared" si="344"/>
        <v>0</v>
      </c>
      <c r="CP76" s="1845">
        <f t="shared" si="344"/>
        <v>0</v>
      </c>
      <c r="CQ76" s="1845">
        <f t="shared" si="344"/>
        <v>0</v>
      </c>
      <c r="CR76" s="1845">
        <f t="shared" si="344"/>
        <v>0</v>
      </c>
      <c r="CS76" s="1845">
        <f t="shared" si="344"/>
        <v>0</v>
      </c>
      <c r="CT76" s="1845">
        <f t="shared" si="344"/>
        <v>0</v>
      </c>
      <c r="CU76" s="1845">
        <f t="shared" si="344"/>
        <v>0</v>
      </c>
      <c r="CV76" s="1846"/>
      <c r="CW76" s="1846"/>
      <c r="CX76" s="1845">
        <f>CX47/3*2</f>
        <v>0</v>
      </c>
      <c r="CY76" s="1845">
        <f>CY47/3*2</f>
        <v>0</v>
      </c>
      <c r="CZ76" s="1845">
        <f>CZ47/3*2</f>
        <v>0</v>
      </c>
      <c r="DA76" s="1845">
        <f>DA47/3*2</f>
        <v>0</v>
      </c>
      <c r="DB76" s="1845">
        <f>DB47/3*2</f>
        <v>0</v>
      </c>
      <c r="DC76" s="1847"/>
      <c r="DD76" s="1847"/>
      <c r="DF76" s="506"/>
      <c r="DG76" s="507"/>
    </row>
    <row r="77" spans="1:134" ht="25" hidden="1" customHeight="1" thickBot="1">
      <c r="A77" s="1586"/>
      <c r="B77" s="1844" t="str">
        <f>'lon undervisning'!B90</f>
        <v>Ferietillæg 2,02 % optjent september-december 2024</v>
      </c>
      <c r="C77" s="1845">
        <f>IF(C14&gt;0,(C74*4)*2.02%,0)</f>
        <v>0</v>
      </c>
      <c r="D77" s="1845">
        <f t="shared" ref="D77:U77" si="345">IF(D14&gt;0,(D74*4)*2.02%,0)</f>
        <v>0</v>
      </c>
      <c r="E77" s="1845">
        <f t="shared" si="345"/>
        <v>0</v>
      </c>
      <c r="F77" s="1845">
        <f t="shared" ref="F77" si="346">IF(F14&gt;0,(F74*4)*2.02%,0)</f>
        <v>0</v>
      </c>
      <c r="G77" s="1845">
        <f t="shared" si="345"/>
        <v>0</v>
      </c>
      <c r="H77" s="1845">
        <f t="shared" si="345"/>
        <v>0</v>
      </c>
      <c r="I77" s="1845">
        <f t="shared" ref="I77" si="347">IF(I14&gt;0,(I74*4)*2.02%,0)</f>
        <v>0</v>
      </c>
      <c r="J77" s="1845">
        <f t="shared" si="345"/>
        <v>0</v>
      </c>
      <c r="K77" s="1845">
        <f t="shared" si="345"/>
        <v>0</v>
      </c>
      <c r="L77" s="1845">
        <f t="shared" si="345"/>
        <v>0</v>
      </c>
      <c r="M77" s="1845">
        <f t="shared" si="345"/>
        <v>0</v>
      </c>
      <c r="N77" s="1845">
        <f t="shared" si="345"/>
        <v>0</v>
      </c>
      <c r="O77" s="1845">
        <f>IF(O14&gt;0,(O74*4)*2.02%,0)</f>
        <v>0</v>
      </c>
      <c r="P77" s="1845">
        <f t="shared" si="345"/>
        <v>0</v>
      </c>
      <c r="Q77" s="1845">
        <f t="shared" si="345"/>
        <v>0</v>
      </c>
      <c r="R77" s="1845">
        <f t="shared" si="345"/>
        <v>0</v>
      </c>
      <c r="S77" s="1845">
        <f t="shared" si="345"/>
        <v>0</v>
      </c>
      <c r="T77" s="1845">
        <f t="shared" si="345"/>
        <v>0</v>
      </c>
      <c r="U77" s="1845">
        <f t="shared" si="345"/>
        <v>0</v>
      </c>
      <c r="V77" s="1846"/>
      <c r="W77" s="1846"/>
      <c r="X77" s="1845">
        <f>IF(X14&gt;0,(X74*4)*2.02%,0)</f>
        <v>0</v>
      </c>
      <c r="Y77" s="1845">
        <f>IF(Y14&gt;0,(Y74*4)*2.02%,0)</f>
        <v>0</v>
      </c>
      <c r="Z77" s="1845">
        <f t="shared" ref="Z77:AI77" si="348">IF(Z14&gt;0,(Z74*4)*2.02%,0)</f>
        <v>0</v>
      </c>
      <c r="AA77" s="1845">
        <f t="shared" si="348"/>
        <v>0</v>
      </c>
      <c r="AB77" s="1845">
        <f t="shared" si="348"/>
        <v>0</v>
      </c>
      <c r="AC77" s="1845">
        <f t="shared" si="348"/>
        <v>0</v>
      </c>
      <c r="AD77" s="1845">
        <f t="shared" si="348"/>
        <v>0</v>
      </c>
      <c r="AE77" s="1845">
        <f t="shared" ref="AE77" si="349">IF(AE14&gt;0,(AE74*4)*2.02%,0)</f>
        <v>0</v>
      </c>
      <c r="AF77" s="1845">
        <f t="shared" si="348"/>
        <v>0</v>
      </c>
      <c r="AG77" s="1845">
        <f t="shared" si="348"/>
        <v>0</v>
      </c>
      <c r="AH77" s="1845">
        <f t="shared" si="348"/>
        <v>0</v>
      </c>
      <c r="AI77" s="1845">
        <f t="shared" si="348"/>
        <v>0</v>
      </c>
      <c r="AJ77" s="1845">
        <f>IF(AJ14&gt;0,(AJ74*4)*2.02%,0)</f>
        <v>0</v>
      </c>
      <c r="AK77" s="1845">
        <f t="shared" ref="AK77:AM77" si="350">IF(AK14&gt;0,(AK74*4)*2.02%,0)</f>
        <v>0</v>
      </c>
      <c r="AL77" s="1845">
        <f t="shared" si="350"/>
        <v>0</v>
      </c>
      <c r="AM77" s="1845">
        <f t="shared" si="350"/>
        <v>0</v>
      </c>
      <c r="AN77" s="1845">
        <f>IF(AN14&gt;0,(AN74*4)*2.02%,0)</f>
        <v>0</v>
      </c>
      <c r="AO77" s="1845">
        <f t="shared" ref="AO77:AQ77" si="351">IF(AO14&gt;0,(AO74*4)*2.02%,0)</f>
        <v>0</v>
      </c>
      <c r="AP77" s="1845">
        <f t="shared" si="351"/>
        <v>0</v>
      </c>
      <c r="AQ77" s="1845">
        <f t="shared" si="351"/>
        <v>0</v>
      </c>
      <c r="AR77" s="2336">
        <f>IF(AR14&gt;0,(AR74*4)*2.02%,0)</f>
        <v>0</v>
      </c>
      <c r="AS77" s="2336">
        <f t="shared" ref="AS77:AT77" si="352">IF(AS14&gt;0,(AS74*4)*2.02%,0)</f>
        <v>0</v>
      </c>
      <c r="AT77" s="2336">
        <f t="shared" si="352"/>
        <v>0</v>
      </c>
      <c r="AU77" s="2336">
        <f>IF(AU14&gt;0,(AU74*4)*2.02%,0)</f>
        <v>0</v>
      </c>
      <c r="AV77" s="2336">
        <f t="shared" ref="AV77" si="353">IF(AV14&gt;0,(AV74*4)*2.02%,0)</f>
        <v>0</v>
      </c>
      <c r="AW77" s="2336">
        <f>IF(AW14&gt;0,(AW74*4)*2.02%,0)</f>
        <v>0</v>
      </c>
      <c r="AX77" s="2336">
        <f>IF(AX14&gt;0,(AX74*4)*2.02%,0)</f>
        <v>0</v>
      </c>
      <c r="AY77" s="2336">
        <f t="shared" ref="AY77" si="354">IF(AY14&gt;0,(AY74*4)*2.02%,0)</f>
        <v>0</v>
      </c>
      <c r="AZ77" s="1847"/>
      <c r="BA77" s="1847"/>
      <c r="BB77" s="1845">
        <f>IF(BB14&gt;0,(BB74*4)*2.02%,0)</f>
        <v>0</v>
      </c>
      <c r="BC77" s="1845">
        <f>IF(BC14&gt;0,(BC74*4)*2.02%,0)</f>
        <v>0</v>
      </c>
      <c r="BD77" s="1845">
        <f t="shared" ref="BD77:BL77" si="355">IF(BD14&gt;0,(BD74*4)*2.02%,0)</f>
        <v>0</v>
      </c>
      <c r="BE77" s="1845">
        <f t="shared" si="355"/>
        <v>0</v>
      </c>
      <c r="BF77" s="1845">
        <f t="shared" si="355"/>
        <v>0</v>
      </c>
      <c r="BG77" s="1845">
        <f t="shared" si="355"/>
        <v>0</v>
      </c>
      <c r="BH77" s="1845">
        <f t="shared" si="355"/>
        <v>0</v>
      </c>
      <c r="BI77" s="1845">
        <f t="shared" si="355"/>
        <v>0</v>
      </c>
      <c r="BJ77" s="1845">
        <f t="shared" si="355"/>
        <v>0</v>
      </c>
      <c r="BK77" s="1845">
        <f t="shared" si="355"/>
        <v>0</v>
      </c>
      <c r="BL77" s="1845">
        <f t="shared" si="355"/>
        <v>0</v>
      </c>
      <c r="BM77" s="1847"/>
      <c r="BN77" s="1847"/>
      <c r="BO77" s="1845">
        <f>IF(BO14&gt;0,(BO74*4)*2.02%,0)</f>
        <v>0</v>
      </c>
      <c r="BP77" s="1845">
        <f t="shared" ref="BP77:BX77" si="356">IF(BP14&gt;0,(BP74*4)*2.02%,0)</f>
        <v>0</v>
      </c>
      <c r="BQ77" s="1845">
        <f t="shared" si="356"/>
        <v>0</v>
      </c>
      <c r="BR77" s="1845">
        <f t="shared" si="356"/>
        <v>0</v>
      </c>
      <c r="BS77" s="1845">
        <f>IF(BS14&gt;0,(BS74*4)*2.02%,0)</f>
        <v>0</v>
      </c>
      <c r="BT77" s="1845">
        <f t="shared" si="356"/>
        <v>0</v>
      </c>
      <c r="BU77" s="1845">
        <f t="shared" si="356"/>
        <v>0</v>
      </c>
      <c r="BV77" s="1845">
        <f t="shared" si="356"/>
        <v>0</v>
      </c>
      <c r="BW77" s="1845">
        <f>IF(BW14&gt;0,(BW74*4)*2.02%,0)</f>
        <v>0</v>
      </c>
      <c r="BX77" s="1845">
        <f t="shared" si="356"/>
        <v>0</v>
      </c>
      <c r="BY77" s="1847"/>
      <c r="BZ77" s="1847"/>
      <c r="CA77" s="1845">
        <f>IF(CA14&gt;0,(CA74*4)*2.02%,0)</f>
        <v>0</v>
      </c>
      <c r="CB77" s="1845">
        <f t="shared" ref="CB77:CH77" si="357">IF(CB14&gt;0,(CB74*4)*2.02%,0)</f>
        <v>0</v>
      </c>
      <c r="CC77" s="1845">
        <f t="shared" si="357"/>
        <v>0</v>
      </c>
      <c r="CD77" s="1845">
        <f t="shared" ref="CD77" si="358">IF(CD14&gt;0,(CD74*4)*2.02%,0)</f>
        <v>0</v>
      </c>
      <c r="CE77" s="1845">
        <f t="shared" si="357"/>
        <v>0</v>
      </c>
      <c r="CF77" s="1845">
        <f t="shared" ref="CF77:CG77" si="359">IF(CF14&gt;0,(CF74*4)*2.02%,0)</f>
        <v>0</v>
      </c>
      <c r="CG77" s="1845">
        <f t="shared" si="359"/>
        <v>0</v>
      </c>
      <c r="CH77" s="1845">
        <f t="shared" si="357"/>
        <v>0</v>
      </c>
      <c r="CI77" s="1846"/>
      <c r="CJ77" s="1846"/>
      <c r="CK77" s="1845">
        <f>IF(CK14&gt;0,(CK74*4)*2.02%,0)</f>
        <v>0</v>
      </c>
      <c r="CL77" s="1845">
        <f t="shared" ref="CL77:CU77" si="360">IF(CL14&gt;0,(CL74*4)*2.02%,0)</f>
        <v>0</v>
      </c>
      <c r="CM77" s="1845">
        <f t="shared" si="360"/>
        <v>0</v>
      </c>
      <c r="CN77" s="1845">
        <f t="shared" si="360"/>
        <v>0</v>
      </c>
      <c r="CO77" s="1845">
        <f t="shared" si="360"/>
        <v>0</v>
      </c>
      <c r="CP77" s="1845">
        <f t="shared" si="360"/>
        <v>0</v>
      </c>
      <c r="CQ77" s="1845">
        <f t="shared" si="360"/>
        <v>0</v>
      </c>
      <c r="CR77" s="1845">
        <f t="shared" si="360"/>
        <v>0</v>
      </c>
      <c r="CS77" s="1845">
        <f t="shared" si="360"/>
        <v>0</v>
      </c>
      <c r="CT77" s="1845">
        <f t="shared" si="360"/>
        <v>0</v>
      </c>
      <c r="CU77" s="1845">
        <f t="shared" si="360"/>
        <v>0</v>
      </c>
      <c r="CV77" s="1846"/>
      <c r="CW77" s="1846"/>
      <c r="CX77" s="1845">
        <f>IF(CX14&gt;0,(CX74*4)*2.02%,0)</f>
        <v>0</v>
      </c>
      <c r="CY77" s="1845">
        <f t="shared" ref="CY77:DB77" si="361">IF(CY14&gt;0,(CY74*4)*2.02%,0)</f>
        <v>0</v>
      </c>
      <c r="CZ77" s="1845">
        <f t="shared" si="361"/>
        <v>0</v>
      </c>
      <c r="DA77" s="1845">
        <f t="shared" si="361"/>
        <v>0</v>
      </c>
      <c r="DB77" s="1845">
        <f t="shared" si="361"/>
        <v>0</v>
      </c>
      <c r="DC77" s="1847"/>
      <c r="DD77" s="1847"/>
      <c r="DF77" s="503"/>
      <c r="DG77" s="503"/>
    </row>
    <row r="78" spans="1:134" ht="31" customHeight="1" thickBot="1">
      <c r="A78" s="2844">
        <f>'lon undervisning'!A91</f>
        <v>2024</v>
      </c>
      <c r="B78" s="1844" t="str">
        <f>'lon undervisning'!B91</f>
        <v>Antal skyldige feriedage og særlige feriedage pr. 31.12.2024. (Anvendes til feriepengeforpligtigelse)</v>
      </c>
      <c r="C78" s="1845"/>
      <c r="D78" s="1845"/>
      <c r="E78" s="1845"/>
      <c r="F78" s="1845"/>
      <c r="G78" s="1845"/>
      <c r="H78" s="1845"/>
      <c r="I78" s="1845"/>
      <c r="J78" s="1845"/>
      <c r="K78" s="1845"/>
      <c r="L78" s="1845"/>
      <c r="M78" s="1845"/>
      <c r="N78" s="1845"/>
      <c r="O78" s="1845"/>
      <c r="P78" s="1845"/>
      <c r="Q78" s="1845"/>
      <c r="R78" s="1845"/>
      <c r="S78" s="1845"/>
      <c r="T78" s="1845"/>
      <c r="U78" s="1845"/>
      <c r="V78" s="1846"/>
      <c r="W78" s="1846"/>
      <c r="X78" s="1845"/>
      <c r="Y78" s="1845"/>
      <c r="Z78" s="1845"/>
      <c r="AA78" s="1845"/>
      <c r="AB78" s="1845"/>
      <c r="AC78" s="1845"/>
      <c r="AD78" s="1845"/>
      <c r="AE78" s="1845"/>
      <c r="AF78" s="1845"/>
      <c r="AG78" s="1845"/>
      <c r="AH78" s="1845"/>
      <c r="AI78" s="1845"/>
      <c r="AJ78" s="1845"/>
      <c r="AK78" s="1845"/>
      <c r="AL78" s="1845"/>
      <c r="AM78" s="1845"/>
      <c r="AN78" s="1845"/>
      <c r="AO78" s="1845"/>
      <c r="AP78" s="1845"/>
      <c r="AQ78" s="1845"/>
      <c r="AR78" s="2336"/>
      <c r="AS78" s="2336"/>
      <c r="AT78" s="2336"/>
      <c r="AU78" s="2336"/>
      <c r="AV78" s="2336"/>
      <c r="AW78" s="2336"/>
      <c r="AX78" s="2336"/>
      <c r="AY78" s="2336"/>
      <c r="AZ78" s="1847"/>
      <c r="BA78" s="1847"/>
      <c r="BB78" s="1845"/>
      <c r="BC78" s="1845"/>
      <c r="BD78" s="1845"/>
      <c r="BE78" s="1845"/>
      <c r="BF78" s="1845"/>
      <c r="BG78" s="1845"/>
      <c r="BH78" s="1845"/>
      <c r="BI78" s="1845"/>
      <c r="BJ78" s="1845"/>
      <c r="BK78" s="1845"/>
      <c r="BL78" s="1845"/>
      <c r="BM78" s="1847"/>
      <c r="BN78" s="1847"/>
      <c r="BO78" s="1845"/>
      <c r="BP78" s="1845"/>
      <c r="BQ78" s="1845"/>
      <c r="BR78" s="1845"/>
      <c r="BS78" s="1845"/>
      <c r="BT78" s="1845"/>
      <c r="BU78" s="1845"/>
      <c r="BV78" s="1845"/>
      <c r="BW78" s="1845"/>
      <c r="BX78" s="1845"/>
      <c r="BY78" s="1847"/>
      <c r="BZ78" s="1847"/>
      <c r="CA78" s="1593"/>
      <c r="CB78" s="1845"/>
      <c r="CC78" s="1845"/>
      <c r="CD78" s="1845"/>
      <c r="CE78" s="1845"/>
      <c r="CF78" s="1845"/>
      <c r="CG78" s="1845"/>
      <c r="CH78" s="1845"/>
      <c r="CI78" s="1846"/>
      <c r="CJ78" s="1846"/>
      <c r="CK78" s="1845"/>
      <c r="CL78" s="1848"/>
      <c r="CM78" s="1845"/>
      <c r="CN78" s="1845"/>
      <c r="CO78" s="1845"/>
      <c r="CP78" s="1845"/>
      <c r="CQ78" s="1845"/>
      <c r="CR78" s="1845"/>
      <c r="CS78" s="1845"/>
      <c r="CT78" s="1845"/>
      <c r="CU78" s="1845"/>
      <c r="CV78" s="1846"/>
      <c r="CW78" s="1846"/>
      <c r="CX78" s="1845"/>
      <c r="CY78" s="1845"/>
      <c r="CZ78" s="1845"/>
      <c r="DA78" s="1845"/>
      <c r="DB78" s="1845"/>
      <c r="DC78" s="1846"/>
      <c r="DD78" s="1846"/>
      <c r="DF78" s="520"/>
      <c r="DG78" s="521"/>
    </row>
    <row r="79" spans="1:134" ht="27" customHeight="1" thickBot="1">
      <c r="A79" s="2845"/>
      <c r="B79" s="1849" t="str">
        <f>'lon undervisning'!B92</f>
        <v>Feriepengeforpligtigelse 2024</v>
      </c>
      <c r="C79" s="1850" cm="1">
        <f t="array" ref="C79">IF(C78&gt;0,SUM((C74:C76)/21*C78)+C77)*C73</f>
        <v>0</v>
      </c>
      <c r="D79" s="1850" cm="1">
        <f t="array" ref="D79">IF(D78&gt;0,SUM((D74:D76)/21*D78)+D77)*D73</f>
        <v>0</v>
      </c>
      <c r="E79" s="1850" cm="1">
        <f t="array" ref="E79">IF(E78&gt;0,SUM((E74:E76)/21*E78)+E77)*E73</f>
        <v>0</v>
      </c>
      <c r="F79" s="1850" cm="1">
        <f t="array" ref="F79">IF(F78&gt;0,SUM((F74:F76)/21*F78)+F77)*F73</f>
        <v>0</v>
      </c>
      <c r="G79" s="1850" cm="1">
        <f t="array" ref="G79">IF(G78&gt;0,SUM((G74:G76)/21*G78)+G77)*G73</f>
        <v>0</v>
      </c>
      <c r="H79" s="1850" cm="1">
        <f t="array" ref="H79">IF(H78&gt;0,SUM((H74:H76)/21*H78)+H77)*H73</f>
        <v>0</v>
      </c>
      <c r="I79" s="1850" cm="1">
        <f t="array" ref="I79">IF(I78&gt;0,SUM((I74:I76)/21*I78)+I77)*I73</f>
        <v>0</v>
      </c>
      <c r="J79" s="1850" cm="1">
        <f t="array" ref="J79">IF(J78&gt;0,SUM((J74:J76)/21*J78)+J77)*J73</f>
        <v>0</v>
      </c>
      <c r="K79" s="1850" cm="1">
        <f t="array" ref="K79">IF(K78&gt;0,SUM((K74:K76)/21*K78)+K77)*K73</f>
        <v>0</v>
      </c>
      <c r="L79" s="1850" cm="1">
        <f t="array" ref="L79">IF(L78&gt;0,SUM((L74:L76)/21*L78)+L77)*L73</f>
        <v>0</v>
      </c>
      <c r="M79" s="1850" cm="1">
        <f t="array" ref="M79">IF(M78&gt;0,SUM((M74:M76)/21*M78)+M77)*M73</f>
        <v>0</v>
      </c>
      <c r="N79" s="1850" cm="1">
        <f t="array" ref="N79">IF(N78&gt;0,SUM((N74:N76)/21*N78)+N77)*N73</f>
        <v>0</v>
      </c>
      <c r="O79" s="1850" cm="1">
        <f t="array" ref="O79">IF(O78&gt;0,SUM((O74:O76)/21*O78)+O77)*O73</f>
        <v>0</v>
      </c>
      <c r="P79" s="1850" cm="1">
        <f t="array" ref="P79">IF(P78&gt;0,SUM((P74:P76)/21*P78)+P77)*P73</f>
        <v>0</v>
      </c>
      <c r="Q79" s="1850" cm="1">
        <f t="array" ref="Q79">IF(Q78&gt;0,SUM((Q74:Q76)/21*Q78)+Q77)*Q73</f>
        <v>0</v>
      </c>
      <c r="R79" s="1850" cm="1">
        <f t="array" ref="R79">IF(R78&gt;0,SUM((R74:R76)/21*R78)+R77)*R73</f>
        <v>0</v>
      </c>
      <c r="S79" s="1850" cm="1">
        <f t="array" ref="S79">IF(S78&gt;0,SUM((S74:S76)/21*S78)+S77)*S73</f>
        <v>0</v>
      </c>
      <c r="T79" s="1850" cm="1">
        <f t="array" ref="T79">IF(T78&gt;0,SUM((T74:T76)/21*T78)+T77)*T73</f>
        <v>0</v>
      </c>
      <c r="U79" s="1850" cm="1">
        <f t="array" ref="U79">IF(U78&gt;0,SUM((U74:U76)/21*U78)+U77)*U73</f>
        <v>0</v>
      </c>
      <c r="V79" s="1851"/>
      <c r="W79" s="1851"/>
      <c r="X79" s="1850" cm="1">
        <f t="array" ref="X79">IF(X78&gt;0,SUM((X74:X76)/21*X78)+X77)*X73</f>
        <v>0</v>
      </c>
      <c r="Y79" s="1850" cm="1">
        <f t="array" ref="Y79">IF(Y78&gt;0,SUM((Y74:Y76)/21*Y78)+Y77)*Y73</f>
        <v>0</v>
      </c>
      <c r="Z79" s="1850" cm="1">
        <f t="array" ref="Z79">IF(Z78&gt;0,SUM((Z74:Z76)/21*Z78)+Z77)*Z73</f>
        <v>0</v>
      </c>
      <c r="AA79" s="1850" cm="1">
        <f t="array" ref="AA79">IF(AA78&gt;0,SUM((AA74:AA76)/21*AA78)+AA77)*AA73</f>
        <v>0</v>
      </c>
      <c r="AB79" s="1850" cm="1">
        <f t="array" ref="AB79">IF(AB78&gt;0,SUM((AB74:AB76)/21*AB78)+AB77)*AB73</f>
        <v>0</v>
      </c>
      <c r="AC79" s="1850" cm="1">
        <f t="array" ref="AC79">IF(AC78&gt;0,SUM((AC74:AC76)/21*AC78)+AC77)*AC73</f>
        <v>0</v>
      </c>
      <c r="AD79" s="1850" cm="1">
        <f t="array" ref="AD79">IF(AD78&gt;0,SUM((AD74:AD76)/21*AD78)+AD77)*AD73</f>
        <v>0</v>
      </c>
      <c r="AE79" s="1850" cm="1">
        <f t="array" ref="AE79">IF(AE78&gt;0,SUM((AE74:AE76)/21*AE78)+AE77)*AE73</f>
        <v>0</v>
      </c>
      <c r="AF79" s="1850" cm="1">
        <f t="array" ref="AF79">IF(AF78&gt;0,SUM((AF74:AF76)/21*AF78)+AF77)*AF73</f>
        <v>0</v>
      </c>
      <c r="AG79" s="1850" cm="1">
        <f t="array" ref="AG79">IF(AG78&gt;0,SUM((AG74:AG76)/21*AG78)+AG77)*AG73</f>
        <v>0</v>
      </c>
      <c r="AH79" s="1850" cm="1">
        <f t="array" ref="AH79">IF(AH78&gt;0,SUM((AH74:AH76)/21*AH78)+AH77)*AH73</f>
        <v>0</v>
      </c>
      <c r="AI79" s="1850" cm="1">
        <f t="array" ref="AI79">IF(AI78&gt;0,SUM((AI74:AI76)/21*AI78)+AI77)*AI73</f>
        <v>0</v>
      </c>
      <c r="AJ79" s="1850" cm="1">
        <f t="array" ref="AJ79">IF(AJ78&gt;0,SUM((AJ74:AJ76)/21*AJ78)+AJ77)*AJ73</f>
        <v>0</v>
      </c>
      <c r="AK79" s="1850" cm="1">
        <f t="array" ref="AK79">IF(AK78&gt;0,SUM((AK74:AK76)/21*AK78)+AK77)*AK73</f>
        <v>0</v>
      </c>
      <c r="AL79" s="1850" cm="1">
        <f t="array" ref="AL79">IF(AL78&gt;0,SUM((AL74:AL76)/21*AL78)+AL77)*AL73</f>
        <v>0</v>
      </c>
      <c r="AM79" s="1850" cm="1">
        <f t="array" ref="AM79">IF(AM78&gt;0,SUM((AM74:AM76)/21*AM78)+AM77)*AM73</f>
        <v>0</v>
      </c>
      <c r="AN79" s="1850" cm="1">
        <f t="array" ref="AN79">IF(AN78&gt;0,SUM((AN74:AN76)/21*AN78)+AN77)*AN73</f>
        <v>0</v>
      </c>
      <c r="AO79" s="1850" cm="1">
        <f t="array" ref="AO79">IF(AO78&gt;0,SUM((AO74:AO76)/21*AO78)+AO77)*AO73</f>
        <v>0</v>
      </c>
      <c r="AP79" s="1850" cm="1">
        <f t="array" ref="AP79">IF(AP78&gt;0,SUM((AP74:AP76)/21*AP78)+AP77)*AP73</f>
        <v>0</v>
      </c>
      <c r="AQ79" s="1850" cm="1">
        <f t="array" ref="AQ79">IF(AQ78&gt;0,SUM((AQ74:AQ76)/21*AQ78)+AQ77)*AQ73</f>
        <v>0</v>
      </c>
      <c r="AR79" s="1591" cm="1">
        <f t="array" ref="AR79">IF(AR78&gt;0,SUM((AR74:AR76)/21*AR78)+AR77)*AR73</f>
        <v>0</v>
      </c>
      <c r="AS79" s="1591" cm="1">
        <f t="array" ref="AS79">IF(AS78&gt;0,SUM((AS74:AS76)/21*AS78)+AS77)*AS73</f>
        <v>0</v>
      </c>
      <c r="AT79" s="1591" cm="1">
        <f t="array" ref="AT79">IF(AT78&gt;0,SUM((AT74:AT76)/21*AT78)+AT77)*AT73</f>
        <v>0</v>
      </c>
      <c r="AU79" s="1591" cm="1">
        <f t="array" ref="AU79">IF(AU78&gt;0,SUM((AU74:AU76)/21*AU78)+AU77)*AU73</f>
        <v>0</v>
      </c>
      <c r="AV79" s="1591" cm="1">
        <f t="array" ref="AV79">IF(AV78&gt;0,SUM((AV74:AV76)/21*AV78)+AV77)*AV73</f>
        <v>0</v>
      </c>
      <c r="AW79" s="1591" cm="1">
        <f t="array" ref="AW79">IF(AW78&gt;0,SUM((AW74:AW76)/21*AW78)+AW77)*AW73</f>
        <v>0</v>
      </c>
      <c r="AX79" s="1591" cm="1">
        <f t="array" ref="AX79">IF(AX78&gt;0,SUM((AX74:AX76)/21*AX78)+AX77)*AX73</f>
        <v>0</v>
      </c>
      <c r="AY79" s="1591" cm="1">
        <f t="array" ref="AY79">IF(AY78&gt;0,SUM((AY74:AY76)/21*AY78)+AY77)*AY73</f>
        <v>0</v>
      </c>
      <c r="AZ79" s="1847"/>
      <c r="BA79" s="1847"/>
      <c r="BB79" s="1850" cm="1">
        <f t="array" ref="BB79">IF(BB78&gt;0,SUM((BB74:BB76)/21*BB78)+BB77)*BB73</f>
        <v>0</v>
      </c>
      <c r="BC79" s="1850" cm="1">
        <f t="array" ref="BC79">IF(BC78&gt;0,SUM((BC74:BC76)/21*BC78)+BC77)*BC73</f>
        <v>0</v>
      </c>
      <c r="BD79" s="1850" cm="1">
        <f t="array" ref="BD79">IF(BD78&gt;0,SUM((BD74:BD76)/21*BD78)+BD77)*BD73</f>
        <v>0</v>
      </c>
      <c r="BE79" s="1850" cm="1">
        <f t="array" ref="BE79">IF(BE78&gt;0,SUM((BE74:BE76)/21*BE78)+BE77)*BE73</f>
        <v>0</v>
      </c>
      <c r="BF79" s="1850" cm="1">
        <f t="array" ref="BF79">IF(BF78&gt;0,SUM((BF74:BF76)/21*BF78)+BF77)*BF73</f>
        <v>0</v>
      </c>
      <c r="BG79" s="1850" cm="1">
        <f t="array" ref="BG79">IF(BG78&gt;0,SUM((BG74:BG76)/21*BG78)+BG77)*BG73</f>
        <v>0</v>
      </c>
      <c r="BH79" s="1850" cm="1">
        <f t="array" ref="BH79">IF(BH78&gt;0,SUM((BH74:BH76)/21*BH78)+BH77)*BH73</f>
        <v>0</v>
      </c>
      <c r="BI79" s="1850" cm="1">
        <f t="array" ref="BI79">IF(BI78&gt;0,SUM((BI74:BI76)/21*BI78)+BI77)*BI73</f>
        <v>0</v>
      </c>
      <c r="BJ79" s="1850" cm="1">
        <f t="array" ref="BJ79">IF(BJ78&gt;0,SUM((BJ74:BJ76)/21*BJ78)+BJ77)*BJ73</f>
        <v>0</v>
      </c>
      <c r="BK79" s="1850" cm="1">
        <f t="array" ref="BK79">IF(BK78&gt;0,SUM((BK74:BK76)/21*BK78)+BK77)*BK73</f>
        <v>0</v>
      </c>
      <c r="BL79" s="1850" cm="1">
        <f t="array" ref="BL79">IF(BL78&gt;0,SUM((BL74:BL76)/21*BL78)+BL77)*BL73</f>
        <v>0</v>
      </c>
      <c r="BM79" s="1851"/>
      <c r="BN79" s="1851"/>
      <c r="BO79" s="1850" cm="1">
        <f t="array" ref="BO79">IF(BO78&gt;0,SUM((BO74:BO76)/21*BO78)+BO77)*BO73</f>
        <v>0</v>
      </c>
      <c r="BP79" s="1850" cm="1">
        <f t="array" ref="BP79">IF(BP78&gt;0,SUM((BP74:BP76)/21*BP78)+BP77)*BP73</f>
        <v>0</v>
      </c>
      <c r="BQ79" s="1850" cm="1">
        <f t="array" ref="BQ79">IF(BQ78&gt;0,SUM((BQ74:BQ76)/21*BQ78)+BQ77)*BQ73</f>
        <v>0</v>
      </c>
      <c r="BR79" s="1850" cm="1">
        <f t="array" ref="BR79">IF(BR78&gt;0,SUM((BR74:BR76)/21*BR78)+BR77)*BR73</f>
        <v>0</v>
      </c>
      <c r="BS79" s="1850" cm="1">
        <f t="array" ref="BS79">IF(BS78&gt;0,SUM((BS74:BS76)/21*BS78)+BS77)*BS73</f>
        <v>0</v>
      </c>
      <c r="BT79" s="1850" cm="1">
        <f t="array" ref="BT79">IF(BT78&gt;0,SUM((BT74:BT76)/21*BT78)+BT77)*BT73</f>
        <v>0</v>
      </c>
      <c r="BU79" s="1850" cm="1">
        <f t="array" ref="BU79">IF(BU78&gt;0,SUM((BU74:BU76)/21*BU78)+BU77)*BU73</f>
        <v>0</v>
      </c>
      <c r="BV79" s="1850" cm="1">
        <f t="array" ref="BV79">IF(BV78&gt;0,SUM((BV74:BV76)/21*BV78)+BV77)*BV73</f>
        <v>0</v>
      </c>
      <c r="BW79" s="1850" cm="1">
        <f t="array" ref="BW79">IF(BW78&gt;0,SUM((BW74:BW76)/21*BW78)+BW77)*BW73</f>
        <v>0</v>
      </c>
      <c r="BX79" s="1850" cm="1">
        <f t="array" ref="BX79">IF(BX78&gt;0,SUM((BX74:BX76)/21*BX78)+BX77)*BX73</f>
        <v>0</v>
      </c>
      <c r="BY79" s="1851"/>
      <c r="BZ79" s="1851"/>
      <c r="CA79" s="1850" cm="1">
        <f t="array" ref="CA79">IF(CA78&gt;0,SUM((CA74:CA76)/21*CA78)+CA77)*CA73</f>
        <v>0</v>
      </c>
      <c r="CB79" s="1850" cm="1">
        <f t="array" ref="CB79">IF(CB78&gt;0,SUM((CB74:CB76)/21*CB78)+CB77)*CB73</f>
        <v>0</v>
      </c>
      <c r="CC79" s="1850" cm="1">
        <f t="array" ref="CC79">IF(CC78&gt;0,SUM((CC74:CC76)/21*CC78)+CC77)*CC73</f>
        <v>0</v>
      </c>
      <c r="CD79" s="1850" cm="1">
        <f t="array" ref="CD79">IF(CD78&gt;0,SUM((CD74:CD76)/21*CD78)+CD77)*CD73</f>
        <v>0</v>
      </c>
      <c r="CE79" s="1850" cm="1">
        <f t="array" ref="CE79">IF(CE78&gt;0,SUM((CE74:CE76)/21*CE78)+CE77)*CE73</f>
        <v>0</v>
      </c>
      <c r="CF79" s="1850" cm="1">
        <f t="array" ref="CF79">IF(CF78&gt;0,SUM((CF74:CF76)/21*CF78)+CF77)*CF73</f>
        <v>0</v>
      </c>
      <c r="CG79" s="1850" cm="1">
        <f t="array" ref="CG79">IF(CG78&gt;0,SUM((CG74:CG76)/21*CG78)+CG77)*CG73</f>
        <v>0</v>
      </c>
      <c r="CH79" s="1850" cm="1">
        <f t="array" ref="CH79">IF(CH78&gt;0,SUM((CH74:CH76)/21*CH78)+CH77)*CH73</f>
        <v>0</v>
      </c>
      <c r="CI79" s="1846"/>
      <c r="CJ79" s="1846"/>
      <c r="CK79" s="1850" cm="1">
        <f t="array" ref="CK79">IF(CK78&gt;0,SUM((CK74:CK76)/21*CK78)+CK77)*CK73</f>
        <v>0</v>
      </c>
      <c r="CL79" s="1850" cm="1">
        <f t="array" ref="CL79">IF(CL78&gt;0,SUM((CL74:CL76)/21*CL78)+CL77)*CL73</f>
        <v>0</v>
      </c>
      <c r="CM79" s="1850" cm="1">
        <f t="array" ref="CM79">IF(CM78&gt;0,SUM((CM74:CM76)/21*CM78)+CM77)*CM73</f>
        <v>0</v>
      </c>
      <c r="CN79" s="1850" cm="1">
        <f t="array" ref="CN79">IF(CN78&gt;0,SUM((CN74:CN76)/21*CN78)+CN77)*CN73</f>
        <v>0</v>
      </c>
      <c r="CO79" s="1850" cm="1">
        <f t="array" ref="CO79">IF(CO78&gt;0,SUM((CO74:CO76)/21*CO78)+CO77)*CO73</f>
        <v>0</v>
      </c>
      <c r="CP79" s="1850" cm="1">
        <f t="array" ref="CP79">IF(CP78&gt;0,SUM((CP74:CP76)/21*CP78)+CP77)*CP73</f>
        <v>0</v>
      </c>
      <c r="CQ79" s="1850" cm="1">
        <f t="array" ref="CQ79">IF(CQ78&gt;0,SUM((CQ74:CQ76)/21*CQ78)+CQ77)*CQ73</f>
        <v>0</v>
      </c>
      <c r="CR79" s="1850" cm="1">
        <f t="array" ref="CR79">IF(CR78&gt;0,SUM((CR74:CR76)/21*CR78)+CR77)*CR73</f>
        <v>0</v>
      </c>
      <c r="CS79" s="1850" cm="1">
        <f t="array" ref="CS79">IF(CS78&gt;0,SUM((CS74:CS76)/21*CS78)+CS77)*CS73</f>
        <v>0</v>
      </c>
      <c r="CT79" s="1850" cm="1">
        <f t="array" ref="CT79">IF(CT78&gt;0,SUM((CT74:CT76)/21*CT78)+CT77)*CT73</f>
        <v>0</v>
      </c>
      <c r="CU79" s="1850" cm="1">
        <f t="array" ref="CU79">IF(CU78&gt;0,SUM((CU74:CU76)/21*CU78)+CU77)*CU73</f>
        <v>0</v>
      </c>
      <c r="CV79" s="1851"/>
      <c r="CW79" s="1851"/>
      <c r="CX79" s="1850" cm="1">
        <f t="array" ref="CX79">IF(CX78&gt;0,SUM((CX74:CX76)/21*CX78)+CX77)*CX73</f>
        <v>0</v>
      </c>
      <c r="CY79" s="1850" cm="1">
        <f t="array" ref="CY79">IF(CY78&gt;0,SUM((CY74:CY76)/21*CY78)+CY77)*CY73</f>
        <v>0</v>
      </c>
      <c r="CZ79" s="1850" cm="1">
        <f t="array" ref="CZ79">IF(CZ78&gt;0,SUM((CZ74:CZ76)/21*CZ78)+CZ77)*CZ73</f>
        <v>0</v>
      </c>
      <c r="DA79" s="1850" cm="1">
        <f t="array" ref="DA79">IF(DA78&gt;0,SUM((DA74:DA76)/21*DA78)+DA77)*DA73</f>
        <v>0</v>
      </c>
      <c r="DB79" s="1850" cm="1">
        <f t="array" ref="DB79">IF(DB78&gt;0,SUM((DB74:DB76)/21*DB78)+DB77)*DB73</f>
        <v>0</v>
      </c>
      <c r="DC79" s="1851"/>
      <c r="DD79" s="1851"/>
      <c r="DF79" s="504"/>
      <c r="DG79" s="522"/>
    </row>
    <row r="80" spans="1:134" ht="31" customHeight="1" thickBot="1">
      <c r="A80" s="2840">
        <f>'lon undervisning'!A93</f>
        <v>2025</v>
      </c>
      <c r="B80" s="1852" t="str">
        <f>'lon undervisning'!B93</f>
        <v>Antal skyldige feriedage og særlige feriedage pr. 31.12.2025. (Anvendes til feriepengeforpligtigelse)</v>
      </c>
      <c r="C80" s="1593"/>
      <c r="D80" s="1593"/>
      <c r="E80" s="1845"/>
      <c r="F80" s="1845"/>
      <c r="G80" s="1845"/>
      <c r="H80" s="1593"/>
      <c r="I80" s="1593"/>
      <c r="J80" s="1593"/>
      <c r="K80" s="1593"/>
      <c r="L80" s="1593"/>
      <c r="M80" s="1593"/>
      <c r="N80" s="1593"/>
      <c r="O80" s="1593"/>
      <c r="P80" s="1593"/>
      <c r="Q80" s="1593"/>
      <c r="R80" s="1593"/>
      <c r="S80" s="1593"/>
      <c r="T80" s="1593"/>
      <c r="U80" s="1593"/>
      <c r="V80" s="1595"/>
      <c r="W80" s="1595"/>
      <c r="X80" s="1845"/>
      <c r="Y80" s="1845"/>
      <c r="Z80" s="1593"/>
      <c r="AA80" s="1845"/>
      <c r="AB80" s="1845"/>
      <c r="AC80" s="1845"/>
      <c r="AD80" s="1845"/>
      <c r="AE80" s="1845"/>
      <c r="AF80" s="1845"/>
      <c r="AG80" s="1593"/>
      <c r="AH80" s="1593"/>
      <c r="AI80" s="1593"/>
      <c r="AJ80" s="1593"/>
      <c r="AK80" s="1593"/>
      <c r="AL80" s="1593"/>
      <c r="AM80" s="1593"/>
      <c r="AN80" s="1593"/>
      <c r="AO80" s="1593"/>
      <c r="AP80" s="1593"/>
      <c r="AQ80" s="1593"/>
      <c r="AR80" s="2525"/>
      <c r="AS80" s="2525"/>
      <c r="AT80" s="2525"/>
      <c r="AU80" s="2525"/>
      <c r="AV80" s="2525"/>
      <c r="AW80" s="2525"/>
      <c r="AX80" s="2525"/>
      <c r="AY80" s="2525"/>
      <c r="AZ80" s="1595"/>
      <c r="BA80" s="1595"/>
      <c r="BB80" s="1593"/>
      <c r="BC80" s="1593"/>
      <c r="BD80" s="1593"/>
      <c r="BE80" s="1593"/>
      <c r="BF80" s="1593"/>
      <c r="BG80" s="1593"/>
      <c r="BH80" s="1593"/>
      <c r="BI80" s="1593"/>
      <c r="BJ80" s="1593"/>
      <c r="BK80" s="1593"/>
      <c r="BL80" s="1593"/>
      <c r="BM80" s="1595"/>
      <c r="BN80" s="1595"/>
      <c r="BO80" s="1593"/>
      <c r="BP80" s="1593"/>
      <c r="BQ80" s="1593"/>
      <c r="BR80" s="1593"/>
      <c r="BS80" s="1593"/>
      <c r="BT80" s="1593"/>
      <c r="BU80" s="1593"/>
      <c r="BV80" s="1593"/>
      <c r="BW80" s="1593"/>
      <c r="BX80" s="1593"/>
      <c r="BY80" s="1595"/>
      <c r="BZ80" s="1595"/>
      <c r="CA80" s="1593"/>
      <c r="CB80" s="1593"/>
      <c r="CC80" s="1593"/>
      <c r="CD80" s="1593"/>
      <c r="CE80" s="1593"/>
      <c r="CF80" s="1593"/>
      <c r="CG80" s="1593"/>
      <c r="CH80" s="1593"/>
      <c r="CI80" s="1596"/>
      <c r="CJ80" s="1596"/>
      <c r="CK80" s="1593"/>
      <c r="CL80" s="1593"/>
      <c r="CM80" s="1593"/>
      <c r="CN80" s="1593"/>
      <c r="CO80" s="1593"/>
      <c r="CP80" s="1593"/>
      <c r="CQ80" s="1593"/>
      <c r="CR80" s="1593"/>
      <c r="CS80" s="1593"/>
      <c r="CT80" s="1593"/>
      <c r="CU80" s="1593"/>
      <c r="CV80" s="1596"/>
      <c r="CW80" s="1596"/>
      <c r="CX80" s="1593"/>
      <c r="CY80" s="1593"/>
      <c r="CZ80" s="1593"/>
      <c r="DA80" s="1593"/>
      <c r="DB80" s="1593"/>
      <c r="DC80" s="1596"/>
      <c r="DD80" s="1596"/>
      <c r="DF80" s="505"/>
      <c r="DG80" s="1853"/>
    </row>
    <row r="81" spans="1:111" ht="29" customHeight="1" thickBot="1">
      <c r="A81" s="2957"/>
      <c r="B81" s="1854" t="str">
        <f>'lon undervisning'!B94</f>
        <v>Feriepengeforpligtigelse 2025</v>
      </c>
      <c r="C81" s="1855">
        <f>IF(C80&gt;0,((C48/21*C80)+((C42*4)*2.02%))*C73,0)</f>
        <v>0</v>
      </c>
      <c r="D81" s="1855">
        <f t="shared" ref="D81:U81" si="362">IF(D80&gt;0,((D48/21*D80)+((D42*4)*2.02%))*D73,0)</f>
        <v>0</v>
      </c>
      <c r="E81" s="1855">
        <f t="shared" si="362"/>
        <v>0</v>
      </c>
      <c r="F81" s="1855">
        <f t="shared" ref="F81" si="363">IF(F80&gt;0,((F48/21*F80)+((F42*4)*2.02%))*F73,0)</f>
        <v>0</v>
      </c>
      <c r="G81" s="1855">
        <f t="shared" si="362"/>
        <v>0</v>
      </c>
      <c r="H81" s="1855">
        <f t="shared" si="362"/>
        <v>0</v>
      </c>
      <c r="I81" s="1855">
        <f t="shared" si="362"/>
        <v>0</v>
      </c>
      <c r="J81" s="1855">
        <f t="shared" si="362"/>
        <v>0</v>
      </c>
      <c r="K81" s="1855">
        <f t="shared" si="362"/>
        <v>0</v>
      </c>
      <c r="L81" s="1855">
        <f t="shared" si="362"/>
        <v>0</v>
      </c>
      <c r="M81" s="1855">
        <f t="shared" si="362"/>
        <v>0</v>
      </c>
      <c r="N81" s="1855">
        <f t="shared" si="362"/>
        <v>0</v>
      </c>
      <c r="O81" s="1855">
        <f t="shared" si="362"/>
        <v>0</v>
      </c>
      <c r="P81" s="1855">
        <f t="shared" si="362"/>
        <v>0</v>
      </c>
      <c r="Q81" s="1855">
        <f t="shared" si="362"/>
        <v>0</v>
      </c>
      <c r="R81" s="1855">
        <f t="shared" si="362"/>
        <v>0</v>
      </c>
      <c r="S81" s="1855">
        <f t="shared" si="362"/>
        <v>0</v>
      </c>
      <c r="T81" s="1855">
        <f t="shared" si="362"/>
        <v>0</v>
      </c>
      <c r="U81" s="1855">
        <f t="shared" si="362"/>
        <v>0</v>
      </c>
      <c r="V81" s="1855">
        <f>V54*15%*V73</f>
        <v>0</v>
      </c>
      <c r="W81" s="1855">
        <f>W54*15%*W73</f>
        <v>0</v>
      </c>
      <c r="X81" s="1855">
        <f>IF(X80&gt;0,((X48/21*X80)+((X42*4)*2.02%))*X73,0)</f>
        <v>0</v>
      </c>
      <c r="Y81" s="1855">
        <f>IF(Y80&gt;0,((Y48/21*Y80)+((Y42*4)*2.02%))*Y73,0)</f>
        <v>0</v>
      </c>
      <c r="Z81" s="1855">
        <f t="shared" ref="Z81:AJ81" si="364">IF(Z80&gt;0,((Z48/21*Z80)+((Z42*4)*2.02%))*Z73,0)</f>
        <v>0</v>
      </c>
      <c r="AA81" s="1855">
        <f t="shared" si="364"/>
        <v>0</v>
      </c>
      <c r="AB81" s="1855">
        <f t="shared" si="364"/>
        <v>0</v>
      </c>
      <c r="AC81" s="1855">
        <f t="shared" si="364"/>
        <v>0</v>
      </c>
      <c r="AD81" s="1855">
        <f t="shared" si="364"/>
        <v>0</v>
      </c>
      <c r="AE81" s="1855">
        <f t="shared" ref="AE81" si="365">IF(AE80&gt;0,((AE48/21*AE80)+((AE42*4)*2.02%))*AE73,0)</f>
        <v>0</v>
      </c>
      <c r="AF81" s="1855">
        <f t="shared" si="364"/>
        <v>0</v>
      </c>
      <c r="AG81" s="1855">
        <f t="shared" si="364"/>
        <v>0</v>
      </c>
      <c r="AH81" s="1855">
        <f t="shared" si="364"/>
        <v>0</v>
      </c>
      <c r="AI81" s="1855">
        <f t="shared" si="364"/>
        <v>0</v>
      </c>
      <c r="AJ81" s="1855">
        <f t="shared" si="364"/>
        <v>0</v>
      </c>
      <c r="AK81" s="1855">
        <f t="shared" ref="AK81" si="366">IF(AK80&gt;0,((AK48/21*AK80)+((AK42*4)*2.02%))*AK73,0)</f>
        <v>0</v>
      </c>
      <c r="AL81" s="1855">
        <f t="shared" ref="AL81" si="367">IF(AL80&gt;0,((AL48/21*AL80)+((AL42*4)*2.02%))*AL73,0)</f>
        <v>0</v>
      </c>
      <c r="AM81" s="1855">
        <f t="shared" ref="AM81" si="368">IF(AM80&gt;0,((AM48/21*AM80)+((AM42*4)*2.02%))*AM73,0)</f>
        <v>0</v>
      </c>
      <c r="AN81" s="1855">
        <f t="shared" ref="AN81" si="369">IF(AN80&gt;0,((AN48/21*AN80)+((AN42*4)*2.02%))*AN73,0)</f>
        <v>0</v>
      </c>
      <c r="AO81" s="1855">
        <f t="shared" ref="AO81" si="370">IF(AO80&gt;0,((AO48/21*AO80)+((AO42*4)*2.02%))*AO73,0)</f>
        <v>0</v>
      </c>
      <c r="AP81" s="1855">
        <f t="shared" ref="AP81" si="371">IF(AP80&gt;0,((AP48/21*AP80)+((AP42*4)*2.02%))*AP73,0)</f>
        <v>0</v>
      </c>
      <c r="AQ81" s="1855">
        <f t="shared" ref="AQ81:AY81" si="372">IF(AQ80&gt;0,((AQ48/21*AQ80)+((AQ42*4)*2.02%))*AQ73,0)</f>
        <v>0</v>
      </c>
      <c r="AR81" s="1599">
        <f t="shared" si="372"/>
        <v>0</v>
      </c>
      <c r="AS81" s="1599">
        <f t="shared" si="372"/>
        <v>0</v>
      </c>
      <c r="AT81" s="1599">
        <f t="shared" si="372"/>
        <v>0</v>
      </c>
      <c r="AU81" s="1599">
        <f t="shared" si="372"/>
        <v>0</v>
      </c>
      <c r="AV81" s="1599">
        <f t="shared" si="372"/>
        <v>0</v>
      </c>
      <c r="AW81" s="1599">
        <f t="shared" si="372"/>
        <v>0</v>
      </c>
      <c r="AX81" s="1599">
        <f t="shared" si="372"/>
        <v>0</v>
      </c>
      <c r="AY81" s="1599">
        <f t="shared" si="372"/>
        <v>0</v>
      </c>
      <c r="AZ81" s="1855">
        <f>AZ54*15%*AZ73</f>
        <v>0</v>
      </c>
      <c r="BA81" s="1855">
        <f>BA54*15%*BA73</f>
        <v>0</v>
      </c>
      <c r="BB81" s="1855">
        <f>IF(BB80&gt;0,((BB48/21*BB80)+((BB42*4)*2.02%))*BB73,0)</f>
        <v>0</v>
      </c>
      <c r="BC81" s="1855">
        <f>IF(BC80&gt;0,((BC48/21*BC80)+((BC42*4)*2.02%))*BC73,0)</f>
        <v>0</v>
      </c>
      <c r="BD81" s="1855">
        <f t="shared" ref="BD81:BL81" si="373">IF(BD80&gt;0,((BD48/21*BD80)+((BD42*4)*2.02%))*BD73,0)</f>
        <v>0</v>
      </c>
      <c r="BE81" s="1855">
        <f t="shared" si="373"/>
        <v>0</v>
      </c>
      <c r="BF81" s="1855">
        <f t="shared" si="373"/>
        <v>0</v>
      </c>
      <c r="BG81" s="1855">
        <f t="shared" si="373"/>
        <v>0</v>
      </c>
      <c r="BH81" s="1855">
        <f t="shared" si="373"/>
        <v>0</v>
      </c>
      <c r="BI81" s="1855">
        <f t="shared" si="373"/>
        <v>0</v>
      </c>
      <c r="BJ81" s="1855">
        <f t="shared" si="373"/>
        <v>0</v>
      </c>
      <c r="BK81" s="1855">
        <f t="shared" si="373"/>
        <v>0</v>
      </c>
      <c r="BL81" s="1855">
        <f t="shared" si="373"/>
        <v>0</v>
      </c>
      <c r="BM81" s="1855">
        <f>BM54*15%*BM73</f>
        <v>0</v>
      </c>
      <c r="BN81" s="1855">
        <f>BN54*15%*BN73</f>
        <v>0</v>
      </c>
      <c r="BO81" s="1855">
        <f>IF(BO80&gt;0,((BO48/21*BO80)+((BO42*4)*2.02%))*BO73,0)</f>
        <v>0</v>
      </c>
      <c r="BP81" s="1855">
        <f t="shared" ref="BP81:BX81" si="374">IF(BP80&gt;0,((BP48/21*BP80)+((BP42*4)*2.02%))*BP73,0)</f>
        <v>0</v>
      </c>
      <c r="BQ81" s="1855">
        <f t="shared" si="374"/>
        <v>0</v>
      </c>
      <c r="BR81" s="1855">
        <f t="shared" si="374"/>
        <v>0</v>
      </c>
      <c r="BS81" s="1855">
        <f t="shared" si="374"/>
        <v>0</v>
      </c>
      <c r="BT81" s="1855">
        <f t="shared" si="374"/>
        <v>0</v>
      </c>
      <c r="BU81" s="1855">
        <f t="shared" si="374"/>
        <v>0</v>
      </c>
      <c r="BV81" s="1855">
        <f t="shared" si="374"/>
        <v>0</v>
      </c>
      <c r="BW81" s="1855">
        <f t="shared" si="374"/>
        <v>0</v>
      </c>
      <c r="BX81" s="1855">
        <f t="shared" si="374"/>
        <v>0</v>
      </c>
      <c r="BY81" s="1855">
        <f>BY54*15%*BY73</f>
        <v>0</v>
      </c>
      <c r="BZ81" s="1855">
        <f>BZ54*15%*BZ73</f>
        <v>0</v>
      </c>
      <c r="CA81" s="1855">
        <f>IF(CA80&gt;0,((CA48/21*CA80)+((CA42*4)*2.02%))*CA73,0)</f>
        <v>0</v>
      </c>
      <c r="CB81" s="1855">
        <f t="shared" ref="CB81:CH81" si="375">IF(CB80&gt;0,((CB48/21*CB80)+((CB42*4)*2.02%))*CB73,0)</f>
        <v>0</v>
      </c>
      <c r="CC81" s="1855">
        <f t="shared" si="375"/>
        <v>0</v>
      </c>
      <c r="CD81" s="1855">
        <f t="shared" si="375"/>
        <v>0</v>
      </c>
      <c r="CE81" s="1855">
        <f t="shared" si="375"/>
        <v>0</v>
      </c>
      <c r="CF81" s="1855">
        <f t="shared" si="375"/>
        <v>0</v>
      </c>
      <c r="CG81" s="1855">
        <f t="shared" si="375"/>
        <v>0</v>
      </c>
      <c r="CH81" s="1855">
        <f t="shared" si="375"/>
        <v>0</v>
      </c>
      <c r="CI81" s="1855">
        <f>CI54*15%*CI73</f>
        <v>0</v>
      </c>
      <c r="CJ81" s="1855">
        <f>CJ54*15%*CJ73</f>
        <v>0</v>
      </c>
      <c r="CK81" s="1855">
        <f>IF(CK80&gt;0,((CK48/21*CK80)+((CK42*4)*2.02%))*CK73,0)</f>
        <v>0</v>
      </c>
      <c r="CL81" s="1855">
        <f t="shared" ref="CL81:CU81" si="376">IF(CL80&gt;0,((CL48/21*CL80)+((CL42*4)*2.02%))*CL73,0)</f>
        <v>0</v>
      </c>
      <c r="CM81" s="1855">
        <f t="shared" si="376"/>
        <v>0</v>
      </c>
      <c r="CN81" s="1855">
        <f t="shared" si="376"/>
        <v>0</v>
      </c>
      <c r="CO81" s="1855">
        <f t="shared" si="376"/>
        <v>0</v>
      </c>
      <c r="CP81" s="1855">
        <f t="shared" si="376"/>
        <v>0</v>
      </c>
      <c r="CQ81" s="1855">
        <f t="shared" si="376"/>
        <v>0</v>
      </c>
      <c r="CR81" s="1855">
        <f t="shared" si="376"/>
        <v>0</v>
      </c>
      <c r="CS81" s="1855">
        <f t="shared" si="376"/>
        <v>0</v>
      </c>
      <c r="CT81" s="1855">
        <f t="shared" si="376"/>
        <v>0</v>
      </c>
      <c r="CU81" s="1855">
        <f t="shared" si="376"/>
        <v>0</v>
      </c>
      <c r="CV81" s="1855">
        <f>CV54*15%*CV73</f>
        <v>0</v>
      </c>
      <c r="CW81" s="1855">
        <f>CW54*15%*CW73</f>
        <v>0</v>
      </c>
      <c r="CX81" s="1855">
        <f>IF(CX80&gt;0,((CX48/21*CX80)+((CX42*4)*2.02%))*CX73,0)</f>
        <v>0</v>
      </c>
      <c r="CY81" s="1855">
        <f t="shared" ref="CY81:DB81" si="377">IF(CY80&gt;0,((CY48/21*CY80)+((CY42*4)*2.02%))*CY73,0)</f>
        <v>0</v>
      </c>
      <c r="CZ81" s="1855">
        <f t="shared" si="377"/>
        <v>0</v>
      </c>
      <c r="DA81" s="1855">
        <f t="shared" si="377"/>
        <v>0</v>
      </c>
      <c r="DB81" s="1855">
        <f t="shared" si="377"/>
        <v>0</v>
      </c>
      <c r="DC81" s="1855">
        <f>DC54*15%*DC73</f>
        <v>0</v>
      </c>
      <c r="DD81" s="1855">
        <f>DD54*15%*DD73</f>
        <v>0</v>
      </c>
      <c r="DF81" s="523"/>
      <c r="DG81" s="524"/>
    </row>
    <row r="82" spans="1:111" ht="27" customHeight="1" thickBot="1">
      <c r="A82" s="2963">
        <f>'lon undervisning'!A95</f>
        <v>2026</v>
      </c>
      <c r="B82" s="1856" t="str">
        <f>'lon undervisning'!B95</f>
        <v>Antal skyldige feriedage og særlige feriedage pr. 31.12.2026. (Anvendes til feriepengeforpligtigelse)</v>
      </c>
      <c r="C82" s="1593"/>
      <c r="D82" s="1593"/>
      <c r="E82" s="1845"/>
      <c r="F82" s="1845"/>
      <c r="G82" s="1845"/>
      <c r="H82" s="1593"/>
      <c r="I82" s="1593"/>
      <c r="J82" s="1593"/>
      <c r="K82" s="1593"/>
      <c r="L82" s="1593"/>
      <c r="M82" s="1593"/>
      <c r="N82" s="1593"/>
      <c r="O82" s="1593"/>
      <c r="P82" s="1593"/>
      <c r="Q82" s="1593"/>
      <c r="R82" s="1593"/>
      <c r="S82" s="1593"/>
      <c r="T82" s="1593"/>
      <c r="U82" s="1593"/>
      <c r="V82" s="1595"/>
      <c r="W82" s="1595"/>
      <c r="X82" s="1845"/>
      <c r="Y82" s="1845"/>
      <c r="Z82" s="1593"/>
      <c r="AA82" s="1845"/>
      <c r="AB82" s="1845"/>
      <c r="AC82" s="1845"/>
      <c r="AD82" s="1845"/>
      <c r="AE82" s="1845"/>
      <c r="AF82" s="1845"/>
      <c r="AG82" s="1593"/>
      <c r="AH82" s="1593"/>
      <c r="AI82" s="1593"/>
      <c r="AJ82" s="1593"/>
      <c r="AK82" s="1593"/>
      <c r="AL82" s="1593"/>
      <c r="AM82" s="1593"/>
      <c r="AN82" s="1593"/>
      <c r="AO82" s="1593"/>
      <c r="AP82" s="1593"/>
      <c r="AQ82" s="1593"/>
      <c r="AR82" s="2525"/>
      <c r="AS82" s="2525"/>
      <c r="AT82" s="2525"/>
      <c r="AU82" s="2525"/>
      <c r="AV82" s="2525"/>
      <c r="AW82" s="2525"/>
      <c r="AX82" s="2525"/>
      <c r="AY82" s="2525"/>
      <c r="AZ82" s="1595"/>
      <c r="BA82" s="1595"/>
      <c r="BB82" s="1593"/>
      <c r="BC82" s="1593"/>
      <c r="BD82" s="1593"/>
      <c r="BE82" s="1593"/>
      <c r="BF82" s="1593"/>
      <c r="BG82" s="1593"/>
      <c r="BH82" s="1593"/>
      <c r="BI82" s="1593"/>
      <c r="BJ82" s="1593"/>
      <c r="BK82" s="1593"/>
      <c r="BL82" s="1593"/>
      <c r="BM82" s="1595"/>
      <c r="BN82" s="1595"/>
      <c r="BO82" s="1593"/>
      <c r="BP82" s="1593"/>
      <c r="BQ82" s="1593"/>
      <c r="BR82" s="1593"/>
      <c r="BS82" s="1593"/>
      <c r="BT82" s="1593"/>
      <c r="BU82" s="1593"/>
      <c r="BV82" s="1593"/>
      <c r="BW82" s="1593"/>
      <c r="BX82" s="1593"/>
      <c r="BY82" s="1595"/>
      <c r="BZ82" s="1595"/>
      <c r="CA82" s="1593"/>
      <c r="CB82" s="1593"/>
      <c r="CC82" s="1593"/>
      <c r="CD82" s="1593"/>
      <c r="CE82" s="1593"/>
      <c r="CF82" s="1593"/>
      <c r="CG82" s="1593"/>
      <c r="CH82" s="1593"/>
      <c r="CI82" s="1596"/>
      <c r="CJ82" s="1596"/>
      <c r="CK82" s="1593"/>
      <c r="CL82" s="1593"/>
      <c r="CM82" s="1593"/>
      <c r="CN82" s="1593"/>
      <c r="CO82" s="1593"/>
      <c r="CP82" s="1593"/>
      <c r="CQ82" s="1593"/>
      <c r="CR82" s="1593"/>
      <c r="CS82" s="1593"/>
      <c r="CT82" s="1593"/>
      <c r="CU82" s="1593"/>
      <c r="CV82" s="1595"/>
      <c r="CW82" s="1595"/>
      <c r="CX82" s="1593"/>
      <c r="CY82" s="1593"/>
      <c r="CZ82" s="1593"/>
      <c r="DA82" s="1593"/>
      <c r="DB82" s="1593"/>
      <c r="DC82" s="1595"/>
      <c r="DD82" s="1595"/>
      <c r="DF82" s="505"/>
      <c r="DG82" s="1853"/>
    </row>
    <row r="83" spans="1:111" ht="28" customHeight="1" thickBot="1">
      <c r="A83" s="2963"/>
      <c r="B83" s="1856" t="str">
        <f>'lon undervisning'!B96</f>
        <v>Feriepengeforpligtigelse 2026</v>
      </c>
      <c r="C83" s="1857">
        <f t="shared" ref="C83:U83" si="378">IF(C82&gt;0,((C48/21*C82)+((C42*4)*2.02%))*C73*(1+fremskrivning),0)</f>
        <v>0</v>
      </c>
      <c r="D83" s="1857">
        <f t="shared" si="378"/>
        <v>0</v>
      </c>
      <c r="E83" s="1857">
        <f t="shared" si="378"/>
        <v>0</v>
      </c>
      <c r="F83" s="1857">
        <f t="shared" ref="F83" si="379">IF(F82&gt;0,((F48/21*F82)+((F42*4)*2.02%))*F73*(1+fremskrivning),0)</f>
        <v>0</v>
      </c>
      <c r="G83" s="1857">
        <f t="shared" si="378"/>
        <v>0</v>
      </c>
      <c r="H83" s="1857">
        <f t="shared" si="378"/>
        <v>0</v>
      </c>
      <c r="I83" s="1857">
        <f t="shared" si="378"/>
        <v>0</v>
      </c>
      <c r="J83" s="1857">
        <f t="shared" si="378"/>
        <v>0</v>
      </c>
      <c r="K83" s="1857">
        <f t="shared" si="378"/>
        <v>0</v>
      </c>
      <c r="L83" s="1857">
        <f t="shared" si="378"/>
        <v>0</v>
      </c>
      <c r="M83" s="1857">
        <f t="shared" si="378"/>
        <v>0</v>
      </c>
      <c r="N83" s="1857">
        <f t="shared" si="378"/>
        <v>0</v>
      </c>
      <c r="O83" s="1857">
        <f t="shared" si="378"/>
        <v>0</v>
      </c>
      <c r="P83" s="1857">
        <f t="shared" si="378"/>
        <v>0</v>
      </c>
      <c r="Q83" s="1857">
        <f t="shared" si="378"/>
        <v>0</v>
      </c>
      <c r="R83" s="1857">
        <f t="shared" si="378"/>
        <v>0</v>
      </c>
      <c r="S83" s="1857">
        <f t="shared" si="378"/>
        <v>0</v>
      </c>
      <c r="T83" s="1857">
        <f t="shared" si="378"/>
        <v>0</v>
      </c>
      <c r="U83" s="1857">
        <f t="shared" si="378"/>
        <v>0</v>
      </c>
      <c r="V83" s="1857">
        <f>V55*15%*V73</f>
        <v>0</v>
      </c>
      <c r="W83" s="1857">
        <f>W55*15%*W73</f>
        <v>0</v>
      </c>
      <c r="X83" s="1857">
        <f t="shared" ref="X83:AQ83" si="380">IF(X82&gt;0,((X48/21*X82)+((X42*4)*2.02%))*X73*(1+fremskrivning),0)</f>
        <v>0</v>
      </c>
      <c r="Y83" s="1857">
        <f t="shared" ref="Y83" si="381">IF(Y82&gt;0,((Y48/21*Y82)+((Y42*4)*2.02%))*Y73*(1+fremskrivning),0)</f>
        <v>0</v>
      </c>
      <c r="Z83" s="1857">
        <f t="shared" si="380"/>
        <v>0</v>
      </c>
      <c r="AA83" s="1857">
        <f t="shared" si="380"/>
        <v>0</v>
      </c>
      <c r="AB83" s="1857">
        <f t="shared" si="380"/>
        <v>0</v>
      </c>
      <c r="AC83" s="1857">
        <f t="shared" si="380"/>
        <v>0</v>
      </c>
      <c r="AD83" s="1857">
        <f t="shared" si="380"/>
        <v>0</v>
      </c>
      <c r="AE83" s="1857">
        <f t="shared" ref="AE83" si="382">IF(AE82&gt;0,((AE48/21*AE82)+((AE42*4)*2.02%))*AE73*(1+fremskrivning),0)</f>
        <v>0</v>
      </c>
      <c r="AF83" s="1857">
        <f t="shared" si="380"/>
        <v>0</v>
      </c>
      <c r="AG83" s="1857">
        <f t="shared" si="380"/>
        <v>0</v>
      </c>
      <c r="AH83" s="1857">
        <f t="shared" si="380"/>
        <v>0</v>
      </c>
      <c r="AI83" s="1857">
        <f t="shared" si="380"/>
        <v>0</v>
      </c>
      <c r="AJ83" s="1857">
        <f t="shared" si="380"/>
        <v>0</v>
      </c>
      <c r="AK83" s="1857">
        <f t="shared" si="380"/>
        <v>0</v>
      </c>
      <c r="AL83" s="1857">
        <f t="shared" si="380"/>
        <v>0</v>
      </c>
      <c r="AM83" s="1857">
        <f t="shared" si="380"/>
        <v>0</v>
      </c>
      <c r="AN83" s="1857">
        <f t="shared" si="380"/>
        <v>0</v>
      </c>
      <c r="AO83" s="1857">
        <f t="shared" si="380"/>
        <v>0</v>
      </c>
      <c r="AP83" s="1857">
        <f t="shared" si="380"/>
        <v>0</v>
      </c>
      <c r="AQ83" s="1857">
        <f t="shared" si="380"/>
        <v>0</v>
      </c>
      <c r="AR83" s="2338">
        <f t="shared" ref="AR83:AY83" si="383">IF(AR82&gt;0,((AR48/21*AR82)+((AR42*4)*2.02%))*AR73*(1+fremskrivning),0)</f>
        <v>0</v>
      </c>
      <c r="AS83" s="2338">
        <f t="shared" si="383"/>
        <v>0</v>
      </c>
      <c r="AT83" s="2338">
        <f t="shared" ref="AT83" si="384">IF(AT82&gt;0,((AT48/21*AT82)+((AT42*4)*2.02%))*AT73*(1+fremskrivning),0)</f>
        <v>0</v>
      </c>
      <c r="AU83" s="2338">
        <f t="shared" si="383"/>
        <v>0</v>
      </c>
      <c r="AV83" s="2338">
        <f t="shared" ref="AV83:AW83" si="385">IF(AV82&gt;0,((AV48/21*AV82)+((AV42*4)*2.02%))*AV73*(1+fremskrivning),0)</f>
        <v>0</v>
      </c>
      <c r="AW83" s="2338">
        <f t="shared" si="385"/>
        <v>0</v>
      </c>
      <c r="AX83" s="2338">
        <f t="shared" ref="AX83" si="386">IF(AX82&gt;0,((AX48/21*AX82)+((AX42*4)*2.02%))*AX73*(1+fremskrivning),0)</f>
        <v>0</v>
      </c>
      <c r="AY83" s="2338">
        <f t="shared" si="383"/>
        <v>0</v>
      </c>
      <c r="AZ83" s="1857">
        <f>AZ55*15%*AZ73</f>
        <v>0</v>
      </c>
      <c r="BA83" s="1857">
        <f>BA55*15%*BA73</f>
        <v>0</v>
      </c>
      <c r="BB83" s="1857">
        <f t="shared" ref="BB83:BL83" si="387">IF(BB82&gt;0,((BB48/21*BB82)+((BB42*4)*2.02%))*BB73*(1+fremskrivning),0)</f>
        <v>0</v>
      </c>
      <c r="BC83" s="1857">
        <f t="shared" ref="BC83" si="388">IF(BC82&gt;0,((BC48/21*BC82)+((BC42*4)*2.02%))*BC73*(1+fremskrivning),0)</f>
        <v>0</v>
      </c>
      <c r="BD83" s="1857">
        <f t="shared" si="387"/>
        <v>0</v>
      </c>
      <c r="BE83" s="1857">
        <f t="shared" si="387"/>
        <v>0</v>
      </c>
      <c r="BF83" s="1857">
        <f t="shared" si="387"/>
        <v>0</v>
      </c>
      <c r="BG83" s="1857">
        <f t="shared" si="387"/>
        <v>0</v>
      </c>
      <c r="BH83" s="1857">
        <f t="shared" si="387"/>
        <v>0</v>
      </c>
      <c r="BI83" s="1857">
        <f t="shared" si="387"/>
        <v>0</v>
      </c>
      <c r="BJ83" s="1857">
        <f t="shared" si="387"/>
        <v>0</v>
      </c>
      <c r="BK83" s="1857">
        <f t="shared" si="387"/>
        <v>0</v>
      </c>
      <c r="BL83" s="1857">
        <f t="shared" si="387"/>
        <v>0</v>
      </c>
      <c r="BM83" s="1857">
        <f>BM55*15%*BM73</f>
        <v>0</v>
      </c>
      <c r="BN83" s="1857">
        <f>BN55*15%*BN73</f>
        <v>0</v>
      </c>
      <c r="BO83" s="1857">
        <f t="shared" ref="BO83:BX83" si="389">IF(BO82&gt;0,((BO48/21*BO82)+((BO42*4)*2.02%))*BO73*(1+fremskrivning),0)</f>
        <v>0</v>
      </c>
      <c r="BP83" s="1857">
        <f t="shared" si="389"/>
        <v>0</v>
      </c>
      <c r="BQ83" s="1857">
        <f t="shared" si="389"/>
        <v>0</v>
      </c>
      <c r="BR83" s="1857">
        <f t="shared" si="389"/>
        <v>0</v>
      </c>
      <c r="BS83" s="1857">
        <f t="shared" si="389"/>
        <v>0</v>
      </c>
      <c r="BT83" s="1857">
        <f t="shared" si="389"/>
        <v>0</v>
      </c>
      <c r="BU83" s="1857">
        <f t="shared" si="389"/>
        <v>0</v>
      </c>
      <c r="BV83" s="1857">
        <f t="shared" si="389"/>
        <v>0</v>
      </c>
      <c r="BW83" s="1857">
        <f t="shared" si="389"/>
        <v>0</v>
      </c>
      <c r="BX83" s="1857">
        <f t="shared" si="389"/>
        <v>0</v>
      </c>
      <c r="BY83" s="1857">
        <f>BY55*15%*BY73</f>
        <v>0</v>
      </c>
      <c r="BZ83" s="1857">
        <f>BZ55*15%*BZ73</f>
        <v>0</v>
      </c>
      <c r="CA83" s="1857">
        <f t="shared" ref="CA83:CH83" si="390">IF(CA82&gt;0,((CA48/21*CA82)+((CA42*4)*1.5%))*CA73*(1+fremskrivning),0)</f>
        <v>0</v>
      </c>
      <c r="CB83" s="1857">
        <f t="shared" si="390"/>
        <v>0</v>
      </c>
      <c r="CC83" s="1857">
        <f t="shared" si="390"/>
        <v>0</v>
      </c>
      <c r="CD83" s="1857">
        <f t="shared" si="390"/>
        <v>0</v>
      </c>
      <c r="CE83" s="1857">
        <f t="shared" si="390"/>
        <v>0</v>
      </c>
      <c r="CF83" s="1857">
        <f t="shared" si="390"/>
        <v>0</v>
      </c>
      <c r="CG83" s="1857">
        <f t="shared" si="390"/>
        <v>0</v>
      </c>
      <c r="CH83" s="1857">
        <f t="shared" si="390"/>
        <v>0</v>
      </c>
      <c r="CI83" s="1857">
        <f>CI55*15%*CI73</f>
        <v>0</v>
      </c>
      <c r="CJ83" s="1857">
        <f>CJ55*15%*CJ73</f>
        <v>0</v>
      </c>
      <c r="CK83" s="1857">
        <f t="shared" ref="CK83:CU83" si="391">IF(CK82&gt;0,((CK48/21*CK82)+((CK42*4)*2.02%))*CK73*(1+fremskrivning),0)</f>
        <v>0</v>
      </c>
      <c r="CL83" s="1857">
        <f t="shared" si="391"/>
        <v>0</v>
      </c>
      <c r="CM83" s="1857">
        <f t="shared" si="391"/>
        <v>0</v>
      </c>
      <c r="CN83" s="1857">
        <f t="shared" si="391"/>
        <v>0</v>
      </c>
      <c r="CO83" s="1857">
        <f t="shared" si="391"/>
        <v>0</v>
      </c>
      <c r="CP83" s="1857">
        <f t="shared" si="391"/>
        <v>0</v>
      </c>
      <c r="CQ83" s="1857">
        <f t="shared" si="391"/>
        <v>0</v>
      </c>
      <c r="CR83" s="1857">
        <f t="shared" si="391"/>
        <v>0</v>
      </c>
      <c r="CS83" s="1857">
        <f t="shared" si="391"/>
        <v>0</v>
      </c>
      <c r="CT83" s="1857">
        <f t="shared" si="391"/>
        <v>0</v>
      </c>
      <c r="CU83" s="1857">
        <f t="shared" si="391"/>
        <v>0</v>
      </c>
      <c r="CV83" s="1857">
        <f>CV55*15%*CV73</f>
        <v>0</v>
      </c>
      <c r="CW83" s="1857">
        <f>CW55*15%*CW73</f>
        <v>0</v>
      </c>
      <c r="CX83" s="1857">
        <f>IF(CX82&gt;0,((CX48/21*CX82)+((CX42*4)*2.02%))*CX73*(1+fremskrivning),0)</f>
        <v>0</v>
      </c>
      <c r="CY83" s="1857">
        <f>IF(CY82&gt;0,((CY48/21*CY82)+((CY42*4)*2.02%))*CY73*(1+fremskrivning),0)</f>
        <v>0</v>
      </c>
      <c r="CZ83" s="1857">
        <f>IF(CZ82&gt;0,((CZ48/21*CZ82)+((CZ42*4)*2.02%))*CZ73*(1+fremskrivning),0)</f>
        <v>0</v>
      </c>
      <c r="DA83" s="1857">
        <f>IF(DA82&gt;0,((DA48/21*DA82)+((DA42*4)*2.02%))*DA73*(1+fremskrivning),0)</f>
        <v>0</v>
      </c>
      <c r="DB83" s="1857">
        <f>IF(DB82&gt;0,((DB48/21*DB82)+((DB42*4)*2.02%))*DB73*(1+fremskrivning),0)</f>
        <v>0</v>
      </c>
      <c r="DC83" s="1857">
        <f>DC55*15%*DC73</f>
        <v>0</v>
      </c>
      <c r="DD83" s="1857">
        <f>DD55*15%*DD73</f>
        <v>0</v>
      </c>
      <c r="DF83" s="525"/>
      <c r="DG83" s="524"/>
    </row>
    <row r="84" spans="1:111" ht="28" customHeight="1">
      <c r="A84" s="2950" t="str">
        <f>"FERIEPENGEFORPLIGTIGELSE "&amp;budgetår&amp;""</f>
        <v>FERIEPENGEFORPLIGTIGELSE 2025</v>
      </c>
      <c r="B84" s="2950"/>
      <c r="C84" s="1858"/>
      <c r="D84" s="1858"/>
      <c r="E84" s="1858"/>
      <c r="F84" s="1858"/>
      <c r="G84" s="1858"/>
      <c r="H84" s="1858"/>
      <c r="I84" s="1858"/>
      <c r="J84" s="1858"/>
      <c r="K84" s="1858"/>
      <c r="L84" s="1858"/>
      <c r="M84" s="1858"/>
      <c r="N84" s="1858"/>
      <c r="O84" s="1858"/>
      <c r="P84" s="1858"/>
      <c r="Q84" s="1858"/>
      <c r="R84" s="1858"/>
      <c r="S84" s="1858"/>
      <c r="T84" s="1858"/>
      <c r="U84" s="1858"/>
      <c r="V84" s="589" t="str">
        <f>"FP"&amp;budgetår&amp;""</f>
        <v>FP2025</v>
      </c>
      <c r="W84" s="1859">
        <f>SUM(C81:U81)-SUM(C79:U79)</f>
        <v>0</v>
      </c>
      <c r="X84" s="1858"/>
      <c r="Y84" s="1858"/>
      <c r="Z84" s="1858"/>
      <c r="AA84" s="1858"/>
      <c r="AB84" s="1858"/>
      <c r="AC84" s="1858"/>
      <c r="AD84" s="1858"/>
      <c r="AE84" s="1858"/>
      <c r="AF84" s="1858"/>
      <c r="AG84" s="1858"/>
      <c r="AH84" s="1858"/>
      <c r="AI84" s="1858"/>
      <c r="AJ84" s="1858"/>
      <c r="AK84" s="1858"/>
      <c r="AL84" s="1858"/>
      <c r="AM84" s="1858"/>
      <c r="AN84" s="1858"/>
      <c r="AO84" s="1858"/>
      <c r="AP84" s="1858"/>
      <c r="AQ84" s="1858"/>
      <c r="AR84" s="1858"/>
      <c r="AS84" s="1858"/>
      <c r="AT84" s="1858"/>
      <c r="AU84" s="1858"/>
      <c r="AV84" s="1858"/>
      <c r="AW84" s="1858"/>
      <c r="AX84" s="1858"/>
      <c r="AY84" s="1858"/>
      <c r="AZ84" s="589" t="str">
        <f>"FP"&amp;budgetår&amp;""</f>
        <v>FP2025</v>
      </c>
      <c r="BA84" s="1859">
        <f>SUM(X81:AY81)-SUM(X79:AY79)</f>
        <v>0</v>
      </c>
      <c r="BB84" s="590"/>
      <c r="BC84" s="590"/>
      <c r="BD84" s="590"/>
      <c r="BE84" s="590"/>
      <c r="BF84" s="590"/>
      <c r="BG84" s="590"/>
      <c r="BH84" s="590"/>
      <c r="BI84" s="590"/>
      <c r="BJ84" s="590"/>
      <c r="BK84" s="590"/>
      <c r="BL84" s="590"/>
      <c r="BM84" s="589" t="str">
        <f>"FP"&amp;budgetår&amp;""</f>
        <v>FP2025</v>
      </c>
      <c r="BN84" s="591">
        <f>SUM(BB81:BL81)-SUM(BB79:BL79)</f>
        <v>0</v>
      </c>
      <c r="BO84" s="590"/>
      <c r="BP84" s="590"/>
      <c r="BQ84" s="590"/>
      <c r="BR84" s="590"/>
      <c r="BS84" s="590"/>
      <c r="BT84" s="590"/>
      <c r="BU84" s="590"/>
      <c r="BV84" s="590"/>
      <c r="BW84" s="590"/>
      <c r="BX84" s="590"/>
      <c r="BY84" s="589" t="str">
        <f>"FP"&amp;budgetår&amp;""</f>
        <v>FP2025</v>
      </c>
      <c r="BZ84" s="591">
        <f>SUM(BO81:BX81)-SUM(BO79:BX79)</f>
        <v>0</v>
      </c>
      <c r="CA84" s="590"/>
      <c r="CB84" s="590"/>
      <c r="CC84" s="590"/>
      <c r="CD84" s="590"/>
      <c r="CE84" s="590"/>
      <c r="CF84" s="590"/>
      <c r="CG84" s="590"/>
      <c r="CH84" s="590"/>
      <c r="CI84" s="589" t="str">
        <f>"FP"&amp;budgetår&amp;""</f>
        <v>FP2025</v>
      </c>
      <c r="CJ84" s="591">
        <f>SUM(CA81:CH81)-SUM(CA79:CH79)</f>
        <v>0</v>
      </c>
      <c r="CK84" s="590"/>
      <c r="CL84" s="590"/>
      <c r="CM84" s="590"/>
      <c r="CN84" s="590"/>
      <c r="CO84" s="590"/>
      <c r="CP84" s="590"/>
      <c r="CQ84" s="590"/>
      <c r="CR84" s="590"/>
      <c r="CS84" s="590"/>
      <c r="CT84" s="590"/>
      <c r="CU84" s="590"/>
      <c r="CV84" s="589" t="str">
        <f>"FP"&amp;budgetår&amp;""</f>
        <v>FP2025</v>
      </c>
      <c r="CW84" s="591">
        <f>SUM(CK81:CU81)-SUM(CK79:CU79)</f>
        <v>0</v>
      </c>
      <c r="CX84" s="590"/>
      <c r="CY84" s="590"/>
      <c r="CZ84" s="590"/>
      <c r="DA84" s="590"/>
      <c r="DB84" s="590"/>
      <c r="DC84" s="589" t="str">
        <f>"FP"&amp;budgetår&amp;""</f>
        <v>FP2025</v>
      </c>
      <c r="DD84" s="591">
        <f>SUM(CX81:DB81)-SUM(CX79:DB79)</f>
        <v>0</v>
      </c>
      <c r="DF84" s="526"/>
      <c r="DG84" s="527"/>
    </row>
    <row r="85" spans="1:111" ht="28" customHeight="1" thickBot="1">
      <c r="A85" s="2950" t="str">
        <f>"FERIEPENGEFORPLIGTIGELSE "&amp;budgetår+1&amp;""</f>
        <v>FERIEPENGEFORPLIGTIGELSE 2026</v>
      </c>
      <c r="B85" s="2950"/>
      <c r="C85" s="1860"/>
      <c r="D85" s="1860"/>
      <c r="E85" s="1860"/>
      <c r="F85" s="1860"/>
      <c r="G85" s="1860"/>
      <c r="H85" s="1860"/>
      <c r="I85" s="1860"/>
      <c r="J85" s="1860"/>
      <c r="K85" s="1860"/>
      <c r="L85" s="1860"/>
      <c r="M85" s="1860"/>
      <c r="N85" s="1860"/>
      <c r="O85" s="1860"/>
      <c r="P85" s="1860"/>
      <c r="Q85" s="1860"/>
      <c r="R85" s="1860"/>
      <c r="S85" s="1860"/>
      <c r="T85" s="1860"/>
      <c r="U85" s="1860"/>
      <c r="V85" s="589" t="str">
        <f>"FP"&amp;budgetår+1&amp;""</f>
        <v>FP2026</v>
      </c>
      <c r="W85" s="1861">
        <f>SUM(C83:U83)-SUM(C81:U81)</f>
        <v>0</v>
      </c>
      <c r="X85" s="1860"/>
      <c r="Y85" s="1860"/>
      <c r="Z85" s="1860"/>
      <c r="AA85" s="1860"/>
      <c r="AB85" s="1860"/>
      <c r="AC85" s="1860"/>
      <c r="AD85" s="1860"/>
      <c r="AE85" s="1860"/>
      <c r="AF85" s="1860"/>
      <c r="AG85" s="1860"/>
      <c r="AH85" s="1860"/>
      <c r="AI85" s="1860"/>
      <c r="AJ85" s="1860"/>
      <c r="AK85" s="1860"/>
      <c r="AL85" s="1860"/>
      <c r="AM85" s="1860"/>
      <c r="AN85" s="1860"/>
      <c r="AO85" s="1860"/>
      <c r="AP85" s="1860"/>
      <c r="AQ85" s="1860"/>
      <c r="AR85" s="2339"/>
      <c r="AS85" s="2339"/>
      <c r="AT85" s="2339"/>
      <c r="AU85" s="2339"/>
      <c r="AV85" s="2339"/>
      <c r="AW85" s="2339"/>
      <c r="AX85" s="2339"/>
      <c r="AY85" s="2339"/>
      <c r="AZ85" s="589" t="str">
        <f>"FP"&amp;budgetår+1&amp;""</f>
        <v>FP2026</v>
      </c>
      <c r="BA85" s="1861">
        <f>SUM(X83:AY83)-SUM(X81:AY81)</f>
        <v>0</v>
      </c>
      <c r="BB85" s="590"/>
      <c r="BC85" s="590"/>
      <c r="BD85" s="590"/>
      <c r="BE85" s="590"/>
      <c r="BF85" s="590"/>
      <c r="BG85" s="590"/>
      <c r="BH85" s="590"/>
      <c r="BI85" s="590"/>
      <c r="BJ85" s="590"/>
      <c r="BK85" s="590"/>
      <c r="BL85" s="590"/>
      <c r="BM85" s="589" t="str">
        <f>"FP"&amp;budgetår+1&amp;""</f>
        <v>FP2026</v>
      </c>
      <c r="BN85" s="591">
        <f>SUM(BB83:BL83)-SUM(BB81:BL81)</f>
        <v>0</v>
      </c>
      <c r="BO85" s="590"/>
      <c r="BP85" s="590"/>
      <c r="BQ85" s="590"/>
      <c r="BR85" s="590"/>
      <c r="BS85" s="590"/>
      <c r="BT85" s="590"/>
      <c r="BU85" s="590"/>
      <c r="BV85" s="590"/>
      <c r="BW85" s="590"/>
      <c r="BX85" s="590"/>
      <c r="BY85" s="589" t="str">
        <f>"FP"&amp;budgetår+1&amp;""</f>
        <v>FP2026</v>
      </c>
      <c r="BZ85" s="591">
        <f>SUM(BO83:BX83)-SUM(BO81:BX81)</f>
        <v>0</v>
      </c>
      <c r="CA85" s="590"/>
      <c r="CB85" s="590"/>
      <c r="CC85" s="590"/>
      <c r="CD85" s="590"/>
      <c r="CE85" s="590"/>
      <c r="CF85" s="590"/>
      <c r="CG85" s="590"/>
      <c r="CH85" s="590"/>
      <c r="CI85" s="589" t="str">
        <f>"FP"&amp;budgetår+1&amp;""</f>
        <v>FP2026</v>
      </c>
      <c r="CJ85" s="591">
        <f>SUM(CA83:CH83)-SUM(CA81:CH81)</f>
        <v>0</v>
      </c>
      <c r="CK85" s="590"/>
      <c r="CL85" s="590"/>
      <c r="CM85" s="590"/>
      <c r="CN85" s="590"/>
      <c r="CO85" s="590"/>
      <c r="CP85" s="590"/>
      <c r="CQ85" s="590"/>
      <c r="CR85" s="590"/>
      <c r="CS85" s="590"/>
      <c r="CT85" s="590"/>
      <c r="CU85" s="590"/>
      <c r="CV85" s="589" t="str">
        <f>"FP"&amp;budgetår+1&amp;""</f>
        <v>FP2026</v>
      </c>
      <c r="CW85" s="591">
        <f>SUM(CK83:CU83)-SUM(CK81:CU81)</f>
        <v>0</v>
      </c>
      <c r="CX85" s="590"/>
      <c r="CY85" s="590"/>
      <c r="CZ85" s="590"/>
      <c r="DA85" s="590"/>
      <c r="DB85" s="590"/>
      <c r="DC85" s="589" t="str">
        <f>"FP"&amp;budgetår+1&amp;""</f>
        <v>FP2026</v>
      </c>
      <c r="DD85" s="591">
        <f>SUM(CX83:DB83)-SUM(CX81:DB81)</f>
        <v>0</v>
      </c>
      <c r="DF85" s="526"/>
      <c r="DG85" s="527"/>
    </row>
    <row r="86" spans="1:111" ht="16">
      <c r="A86" s="581"/>
      <c r="B86" s="592" t="str">
        <f>"Lønafhængige omkostninger "&amp;budgetår&amp;""</f>
        <v>Lønafhængige omkostninger 2025</v>
      </c>
      <c r="C86" s="593"/>
      <c r="D86" s="572"/>
      <c r="E86" s="572"/>
      <c r="F86" s="572"/>
      <c r="G86" s="572"/>
      <c r="H86" s="572"/>
      <c r="I86" s="572"/>
      <c r="J86" s="572"/>
      <c r="K86" s="572"/>
      <c r="L86" s="572"/>
      <c r="M86" s="572"/>
      <c r="N86" s="572"/>
      <c r="O86" s="572"/>
      <c r="P86" s="572"/>
      <c r="Q86" s="572"/>
      <c r="R86" s="572"/>
      <c r="S86" s="572"/>
      <c r="T86" s="572"/>
      <c r="U86" s="572"/>
      <c r="V86" s="572"/>
      <c r="W86" s="594"/>
      <c r="X86" s="572"/>
      <c r="Y86" s="572"/>
      <c r="Z86" s="572"/>
      <c r="AA86" s="572"/>
      <c r="AB86" s="572"/>
      <c r="AC86" s="572"/>
      <c r="AD86" s="572"/>
      <c r="AE86" s="572"/>
      <c r="AF86" s="572"/>
      <c r="AG86" s="572"/>
      <c r="AH86" s="572"/>
      <c r="AI86" s="572"/>
      <c r="AJ86" s="572"/>
      <c r="AK86" s="572"/>
      <c r="AL86" s="572"/>
      <c r="AM86" s="572"/>
      <c r="AN86" s="572"/>
      <c r="AO86" s="572"/>
      <c r="AP86" s="572"/>
      <c r="AQ86" s="572"/>
      <c r="AR86" s="572"/>
      <c r="AS86" s="572"/>
      <c r="AT86" s="572"/>
      <c r="AU86" s="572"/>
      <c r="AV86" s="572"/>
      <c r="AW86" s="572"/>
      <c r="AX86" s="572"/>
      <c r="AY86" s="572"/>
      <c r="AZ86" s="572"/>
      <c r="BA86" s="594"/>
      <c r="BB86" s="595"/>
      <c r="BC86" s="595"/>
      <c r="BD86" s="595"/>
      <c r="BE86" s="595"/>
      <c r="BF86" s="595"/>
      <c r="BG86" s="595"/>
      <c r="BH86" s="595"/>
      <c r="BI86" s="595"/>
      <c r="BJ86" s="595"/>
      <c r="BK86" s="595"/>
      <c r="BL86" s="595"/>
      <c r="BM86" s="595"/>
      <c r="BN86" s="596"/>
      <c r="BO86" s="595"/>
      <c r="BP86" s="595"/>
      <c r="BQ86" s="595"/>
      <c r="BR86" s="595"/>
      <c r="BS86" s="595"/>
      <c r="BT86" s="595"/>
      <c r="BU86" s="595"/>
      <c r="BV86" s="595"/>
      <c r="BW86" s="595"/>
      <c r="BX86" s="595"/>
      <c r="BY86" s="595"/>
      <c r="BZ86" s="596"/>
      <c r="CA86" s="597"/>
      <c r="CB86" s="597"/>
      <c r="CC86" s="597"/>
      <c r="CD86" s="597"/>
      <c r="CE86" s="597"/>
      <c r="CF86" s="597"/>
      <c r="CG86" s="597"/>
      <c r="CH86" s="597"/>
      <c r="CI86" s="595"/>
      <c r="CJ86" s="596"/>
      <c r="CK86" s="597"/>
      <c r="CL86" s="597"/>
      <c r="CM86" s="597"/>
      <c r="CN86" s="597"/>
      <c r="CO86" s="597"/>
      <c r="CP86" s="597"/>
      <c r="CQ86" s="597"/>
      <c r="CR86" s="597"/>
      <c r="CS86" s="597"/>
      <c r="CT86" s="597"/>
      <c r="CU86" s="597"/>
      <c r="CV86" s="595"/>
      <c r="CW86" s="596"/>
      <c r="CX86" s="597"/>
      <c r="CY86" s="597"/>
      <c r="CZ86" s="597"/>
      <c r="DA86" s="597"/>
      <c r="DB86" s="597"/>
      <c r="DC86" s="595"/>
      <c r="DD86" s="596"/>
    </row>
    <row r="87" spans="1:111">
      <c r="A87" s="581"/>
      <c r="B87" s="574" t="str">
        <f>"Flexlønsordning(Kun for skolens ansatte): "&amp;FlexBidr&amp;" kr. pr årsværk"</f>
        <v>Flexlønsordning(Kun for skolens ansatte): 6265 kr. pr årsværk</v>
      </c>
      <c r="C87" s="598">
        <f t="shared" ref="C87:U87" si="392">C$24*C$14/12*FlexBidr</f>
        <v>0</v>
      </c>
      <c r="D87" s="599">
        <f t="shared" si="392"/>
        <v>0</v>
      </c>
      <c r="E87" s="600">
        <f t="shared" si="392"/>
        <v>0</v>
      </c>
      <c r="F87" s="600">
        <f t="shared" si="392"/>
        <v>0</v>
      </c>
      <c r="G87" s="600">
        <f t="shared" si="392"/>
        <v>0</v>
      </c>
      <c r="H87" s="600">
        <f t="shared" si="392"/>
        <v>0</v>
      </c>
      <c r="I87" s="600">
        <f t="shared" si="392"/>
        <v>0</v>
      </c>
      <c r="J87" s="600">
        <f t="shared" si="392"/>
        <v>0</v>
      </c>
      <c r="K87" s="600">
        <f t="shared" si="392"/>
        <v>0</v>
      </c>
      <c r="L87" s="600">
        <f t="shared" si="392"/>
        <v>0</v>
      </c>
      <c r="M87" s="600">
        <f t="shared" si="392"/>
        <v>0</v>
      </c>
      <c r="N87" s="600">
        <f t="shared" si="392"/>
        <v>0</v>
      </c>
      <c r="O87" s="600">
        <f t="shared" si="392"/>
        <v>0</v>
      </c>
      <c r="P87" s="600">
        <f t="shared" si="392"/>
        <v>0</v>
      </c>
      <c r="Q87" s="600">
        <f t="shared" si="392"/>
        <v>0</v>
      </c>
      <c r="R87" s="600">
        <f t="shared" si="392"/>
        <v>0</v>
      </c>
      <c r="S87" s="600">
        <f t="shared" si="392"/>
        <v>0</v>
      </c>
      <c r="T87" s="600">
        <f t="shared" si="392"/>
        <v>0</v>
      </c>
      <c r="U87" s="600">
        <f t="shared" si="392"/>
        <v>0</v>
      </c>
      <c r="V87" s="601">
        <f>(V10/160.33)*V14/12*FlexBidr</f>
        <v>0</v>
      </c>
      <c r="W87" s="601">
        <f>(W10/160.33)*W14/12*FlexBidr</f>
        <v>0</v>
      </c>
      <c r="X87" s="602">
        <v>0</v>
      </c>
      <c r="Y87" s="602">
        <v>0</v>
      </c>
      <c r="Z87" s="602">
        <v>0</v>
      </c>
      <c r="AA87" s="603">
        <v>0</v>
      </c>
      <c r="AB87" s="603">
        <v>0</v>
      </c>
      <c r="AC87" s="603">
        <v>0</v>
      </c>
      <c r="AD87" s="603">
        <v>0</v>
      </c>
      <c r="AE87" s="603">
        <v>0</v>
      </c>
      <c r="AF87" s="603">
        <v>0</v>
      </c>
      <c r="AG87" s="603">
        <v>0</v>
      </c>
      <c r="AH87" s="603">
        <v>0</v>
      </c>
      <c r="AI87" s="603">
        <v>0</v>
      </c>
      <c r="AJ87" s="603">
        <v>0</v>
      </c>
      <c r="AK87" s="603">
        <v>0</v>
      </c>
      <c r="AL87" s="603">
        <v>0</v>
      </c>
      <c r="AM87" s="603">
        <v>0</v>
      </c>
      <c r="AN87" s="603">
        <v>0</v>
      </c>
      <c r="AO87" s="603">
        <v>0</v>
      </c>
      <c r="AP87" s="603">
        <v>0</v>
      </c>
      <c r="AQ87" s="603">
        <v>0</v>
      </c>
      <c r="AR87" s="603">
        <v>0</v>
      </c>
      <c r="AS87" s="603">
        <v>0</v>
      </c>
      <c r="AT87" s="603">
        <v>0</v>
      </c>
      <c r="AU87" s="603">
        <v>0</v>
      </c>
      <c r="AV87" s="603">
        <v>0</v>
      </c>
      <c r="AW87" s="603">
        <v>0</v>
      </c>
      <c r="AX87" s="603">
        <v>0</v>
      </c>
      <c r="AY87" s="603">
        <v>0</v>
      </c>
      <c r="AZ87" s="604">
        <v>0</v>
      </c>
      <c r="BA87" s="605">
        <v>0</v>
      </c>
      <c r="BB87" s="602">
        <v>0</v>
      </c>
      <c r="BC87" s="602">
        <v>0</v>
      </c>
      <c r="BD87" s="602">
        <v>0</v>
      </c>
      <c r="BE87" s="603">
        <v>0</v>
      </c>
      <c r="BF87" s="603">
        <v>0</v>
      </c>
      <c r="BG87" s="603">
        <v>0</v>
      </c>
      <c r="BH87" s="603">
        <v>0</v>
      </c>
      <c r="BI87" s="603">
        <v>0</v>
      </c>
      <c r="BJ87" s="603">
        <v>0</v>
      </c>
      <c r="BK87" s="603">
        <v>0</v>
      </c>
      <c r="BL87" s="603">
        <v>0</v>
      </c>
      <c r="BM87" s="600"/>
      <c r="BN87" s="606"/>
      <c r="BO87" s="602">
        <v>0</v>
      </c>
      <c r="BP87" s="602">
        <v>0</v>
      </c>
      <c r="BQ87" s="603">
        <v>0</v>
      </c>
      <c r="BR87" s="603">
        <v>0</v>
      </c>
      <c r="BS87" s="603">
        <v>0</v>
      </c>
      <c r="BT87" s="603">
        <v>0</v>
      </c>
      <c r="BU87" s="603">
        <v>0</v>
      </c>
      <c r="BV87" s="603">
        <v>0</v>
      </c>
      <c r="BW87" s="603">
        <v>0</v>
      </c>
      <c r="BX87" s="603">
        <v>0</v>
      </c>
      <c r="BY87" s="600">
        <f>(BY10/160.33)*BY14/12*FlexBidr</f>
        <v>0</v>
      </c>
      <c r="BZ87" s="600">
        <f>(BZ10/160.33)*BZ14/12*FlexBidr</f>
        <v>0</v>
      </c>
      <c r="CA87" s="602">
        <f t="shared" ref="CA87:CH87" si="393">CA$24*CA$14/12*FlexBidr</f>
        <v>0</v>
      </c>
      <c r="CB87" s="607">
        <f t="shared" si="393"/>
        <v>0</v>
      </c>
      <c r="CC87" s="607">
        <f t="shared" si="393"/>
        <v>0</v>
      </c>
      <c r="CD87" s="607">
        <f t="shared" si="393"/>
        <v>0</v>
      </c>
      <c r="CE87" s="607">
        <f t="shared" si="393"/>
        <v>0</v>
      </c>
      <c r="CF87" s="607">
        <f t="shared" si="393"/>
        <v>0</v>
      </c>
      <c r="CG87" s="607">
        <f t="shared" si="393"/>
        <v>0</v>
      </c>
      <c r="CH87" s="607">
        <f t="shared" si="393"/>
        <v>0</v>
      </c>
      <c r="CI87" s="600">
        <f>(CI10/160.33)*CI14/12*FlexBidr</f>
        <v>0</v>
      </c>
      <c r="CJ87" s="600">
        <f>(CJ10/160.33)*CJ14/12*FlexBidr</f>
        <v>0</v>
      </c>
      <c r="CK87" s="602">
        <f t="shared" ref="CK87:CU87" si="394">CK$24*CK$14/12*FlexBidr</f>
        <v>0</v>
      </c>
      <c r="CL87" s="602">
        <f t="shared" si="394"/>
        <v>0</v>
      </c>
      <c r="CM87" s="607">
        <f t="shared" si="394"/>
        <v>0</v>
      </c>
      <c r="CN87" s="607">
        <f t="shared" si="394"/>
        <v>0</v>
      </c>
      <c r="CO87" s="607">
        <f t="shared" si="394"/>
        <v>0</v>
      </c>
      <c r="CP87" s="607">
        <f t="shared" si="394"/>
        <v>0</v>
      </c>
      <c r="CQ87" s="607">
        <f t="shared" si="394"/>
        <v>0</v>
      </c>
      <c r="CR87" s="607">
        <f t="shared" si="394"/>
        <v>0</v>
      </c>
      <c r="CS87" s="607">
        <f t="shared" si="394"/>
        <v>0</v>
      </c>
      <c r="CT87" s="607">
        <f t="shared" si="394"/>
        <v>0</v>
      </c>
      <c r="CU87" s="607">
        <f t="shared" si="394"/>
        <v>0</v>
      </c>
      <c r="CV87" s="600">
        <f>(CV10/160.33)*CV14/12*FlexBidr</f>
        <v>0</v>
      </c>
      <c r="CW87" s="600">
        <f>(CW10/160.33)*CW14/12*FlexBidr</f>
        <v>0</v>
      </c>
      <c r="CX87" s="602">
        <f>CX$24*CX$14/12*FlexBidr</f>
        <v>0</v>
      </c>
      <c r="CY87" s="607">
        <f>CY$24*CY$14/12*FlexBidr</f>
        <v>0</v>
      </c>
      <c r="CZ87" s="607">
        <f>CZ$24*CZ$14/12*FlexBidr</f>
        <v>0</v>
      </c>
      <c r="DA87" s="607">
        <f>DA$24*DA$14/12*FlexBidr</f>
        <v>0</v>
      </c>
      <c r="DB87" s="607">
        <f>DB$24*DB$14/12*FlexBidr</f>
        <v>0</v>
      </c>
      <c r="DC87" s="600">
        <f>($DC$10/160.33)*DC14/12*FlexBidr</f>
        <v>0</v>
      </c>
      <c r="DD87" s="600">
        <f>($DD$10/160.33)*DD14/12*FlexBidr</f>
        <v>0</v>
      </c>
    </row>
    <row r="88" spans="1:111" ht="14" thickBot="1">
      <c r="A88" s="581"/>
      <c r="B88" s="608" t="str">
        <f>"Samlet betaling: "&amp;SatsBilag!$B$28&amp;" kr. pr årsværk samt barsel.dk f. Bh."</f>
        <v>Samlet betaling: 4517 kr. pr årsværk samt barsel.dk f. Bh.</v>
      </c>
      <c r="C88" s="609">
        <f t="shared" ref="C88:U88" si="395">C$24*C$14/12*AER</f>
        <v>0</v>
      </c>
      <c r="D88" s="610">
        <f t="shared" si="395"/>
        <v>0</v>
      </c>
      <c r="E88" s="611">
        <f t="shared" si="395"/>
        <v>0</v>
      </c>
      <c r="F88" s="611">
        <f t="shared" si="395"/>
        <v>0</v>
      </c>
      <c r="G88" s="611">
        <f t="shared" si="395"/>
        <v>0</v>
      </c>
      <c r="H88" s="611">
        <f t="shared" si="395"/>
        <v>0</v>
      </c>
      <c r="I88" s="611">
        <f t="shared" si="395"/>
        <v>0</v>
      </c>
      <c r="J88" s="611">
        <f t="shared" si="395"/>
        <v>0</v>
      </c>
      <c r="K88" s="611">
        <f t="shared" si="395"/>
        <v>0</v>
      </c>
      <c r="L88" s="611">
        <f t="shared" si="395"/>
        <v>0</v>
      </c>
      <c r="M88" s="611">
        <f t="shared" si="395"/>
        <v>0</v>
      </c>
      <c r="N88" s="611">
        <f t="shared" si="395"/>
        <v>0</v>
      </c>
      <c r="O88" s="611">
        <f t="shared" si="395"/>
        <v>0</v>
      </c>
      <c r="P88" s="611">
        <f t="shared" si="395"/>
        <v>0</v>
      </c>
      <c r="Q88" s="611">
        <f t="shared" si="395"/>
        <v>0</v>
      </c>
      <c r="R88" s="611">
        <f t="shared" si="395"/>
        <v>0</v>
      </c>
      <c r="S88" s="611">
        <f t="shared" si="395"/>
        <v>0</v>
      </c>
      <c r="T88" s="611">
        <f t="shared" si="395"/>
        <v>0</v>
      </c>
      <c r="U88" s="611">
        <f t="shared" si="395"/>
        <v>0</v>
      </c>
      <c r="V88" s="611">
        <f>(V10/160.33)*V14/12*AER</f>
        <v>0</v>
      </c>
      <c r="W88" s="611">
        <f>(W10/160.33)*W14/12*AER</f>
        <v>0</v>
      </c>
      <c r="X88" s="612">
        <f t="shared" ref="X88:AQ88" si="396">(AER+BarselBidr)*X$24*X$14/12</f>
        <v>0</v>
      </c>
      <c r="Y88" s="612">
        <f t="shared" si="396"/>
        <v>0</v>
      </c>
      <c r="Z88" s="612">
        <f t="shared" si="396"/>
        <v>0</v>
      </c>
      <c r="AA88" s="613">
        <f t="shared" si="396"/>
        <v>0</v>
      </c>
      <c r="AB88" s="613">
        <f t="shared" si="396"/>
        <v>0</v>
      </c>
      <c r="AC88" s="613">
        <f t="shared" si="396"/>
        <v>0</v>
      </c>
      <c r="AD88" s="613">
        <f t="shared" si="396"/>
        <v>0</v>
      </c>
      <c r="AE88" s="613">
        <f t="shared" si="396"/>
        <v>0</v>
      </c>
      <c r="AF88" s="613">
        <f t="shared" si="396"/>
        <v>0</v>
      </c>
      <c r="AG88" s="613">
        <f t="shared" si="396"/>
        <v>0</v>
      </c>
      <c r="AH88" s="613">
        <f t="shared" si="396"/>
        <v>0</v>
      </c>
      <c r="AI88" s="613">
        <f t="shared" si="396"/>
        <v>0</v>
      </c>
      <c r="AJ88" s="613">
        <f t="shared" si="396"/>
        <v>0</v>
      </c>
      <c r="AK88" s="613">
        <f t="shared" si="396"/>
        <v>0</v>
      </c>
      <c r="AL88" s="613">
        <f t="shared" si="396"/>
        <v>0</v>
      </c>
      <c r="AM88" s="613">
        <f t="shared" si="396"/>
        <v>0</v>
      </c>
      <c r="AN88" s="613">
        <f t="shared" si="396"/>
        <v>0</v>
      </c>
      <c r="AO88" s="613">
        <f t="shared" si="396"/>
        <v>0</v>
      </c>
      <c r="AP88" s="613">
        <f t="shared" si="396"/>
        <v>0</v>
      </c>
      <c r="AQ88" s="613">
        <f t="shared" si="396"/>
        <v>0</v>
      </c>
      <c r="AR88" s="613">
        <f t="shared" ref="AR88:AY88" si="397">(AER+BarselBidr)*AR$24*AR$14/12</f>
        <v>0</v>
      </c>
      <c r="AS88" s="613">
        <f t="shared" si="397"/>
        <v>0</v>
      </c>
      <c r="AT88" s="613">
        <f t="shared" si="397"/>
        <v>0</v>
      </c>
      <c r="AU88" s="613">
        <f t="shared" si="397"/>
        <v>0</v>
      </c>
      <c r="AV88" s="613">
        <f t="shared" si="397"/>
        <v>0</v>
      </c>
      <c r="AW88" s="613">
        <f t="shared" si="397"/>
        <v>0</v>
      </c>
      <c r="AX88" s="613">
        <f t="shared" si="397"/>
        <v>0</v>
      </c>
      <c r="AY88" s="613">
        <f t="shared" si="397"/>
        <v>0</v>
      </c>
      <c r="AZ88" s="614">
        <f>([0]!AER+BarselBidr)*'Lon pæd., TAP mm'!AZ10/160.33*'Lon pæd., TAP mm'!AZ14/12</f>
        <v>0</v>
      </c>
      <c r="BA88" s="614">
        <f>([0]!AER+BarselBidr)*'Lon pæd., TAP mm'!BA10/160.33*'Lon pæd., TAP mm'!BA14/12</f>
        <v>0</v>
      </c>
      <c r="BB88" s="612">
        <f t="shared" ref="BB88:BL88" si="398">(AER+BarselBidr)*BB$24*BB$14/12</f>
        <v>0</v>
      </c>
      <c r="BC88" s="612">
        <f t="shared" si="398"/>
        <v>0</v>
      </c>
      <c r="BD88" s="612">
        <f t="shared" si="398"/>
        <v>0</v>
      </c>
      <c r="BE88" s="613">
        <f t="shared" si="398"/>
        <v>0</v>
      </c>
      <c r="BF88" s="613">
        <f t="shared" si="398"/>
        <v>0</v>
      </c>
      <c r="BG88" s="613">
        <f t="shared" si="398"/>
        <v>0</v>
      </c>
      <c r="BH88" s="613">
        <f t="shared" si="398"/>
        <v>0</v>
      </c>
      <c r="BI88" s="613">
        <f t="shared" si="398"/>
        <v>0</v>
      </c>
      <c r="BJ88" s="613">
        <f t="shared" si="398"/>
        <v>0</v>
      </c>
      <c r="BK88" s="613">
        <f t="shared" si="398"/>
        <v>0</v>
      </c>
      <c r="BL88" s="613">
        <f t="shared" si="398"/>
        <v>0</v>
      </c>
      <c r="BM88" s="611">
        <f>([0]!AER+BarselBidr)*'Lon pæd., TAP mm'!BM10/160.33*'Lon pæd., TAP mm'!BM14/12</f>
        <v>0</v>
      </c>
      <c r="BN88" s="611">
        <f>([0]!AER+BarselBidr)*'Lon pæd., TAP mm'!BN10/160.33*'Lon pæd., TAP mm'!BN14/12</f>
        <v>0</v>
      </c>
      <c r="BO88" s="612">
        <f t="shared" ref="BO88:BX88" si="399">(AER+BarselBidr)*BO$24*BO$14/12</f>
        <v>0</v>
      </c>
      <c r="BP88" s="612">
        <f t="shared" si="399"/>
        <v>0</v>
      </c>
      <c r="BQ88" s="613">
        <f t="shared" si="399"/>
        <v>0</v>
      </c>
      <c r="BR88" s="613">
        <f t="shared" si="399"/>
        <v>0</v>
      </c>
      <c r="BS88" s="613">
        <f t="shared" si="399"/>
        <v>0</v>
      </c>
      <c r="BT88" s="613">
        <f t="shared" si="399"/>
        <v>0</v>
      </c>
      <c r="BU88" s="613">
        <f t="shared" si="399"/>
        <v>0</v>
      </c>
      <c r="BV88" s="613">
        <f t="shared" si="399"/>
        <v>0</v>
      </c>
      <c r="BW88" s="613">
        <f t="shared" si="399"/>
        <v>0</v>
      </c>
      <c r="BX88" s="613">
        <f t="shared" si="399"/>
        <v>0</v>
      </c>
      <c r="BY88" s="611">
        <f>(BY10/160.33)*BY14/12*AER</f>
        <v>0</v>
      </c>
      <c r="BZ88" s="611">
        <f>(BZ10/160.33)*BZ14/12*AER</f>
        <v>0</v>
      </c>
      <c r="CA88" s="612">
        <f t="shared" ref="CA88:CH88" si="400">CA$24*CA$14/12*AER</f>
        <v>0</v>
      </c>
      <c r="CB88" s="615">
        <f t="shared" si="400"/>
        <v>0</v>
      </c>
      <c r="CC88" s="615">
        <f t="shared" si="400"/>
        <v>0</v>
      </c>
      <c r="CD88" s="615">
        <f t="shared" si="400"/>
        <v>0</v>
      </c>
      <c r="CE88" s="615">
        <f t="shared" si="400"/>
        <v>0</v>
      </c>
      <c r="CF88" s="615">
        <f t="shared" si="400"/>
        <v>0</v>
      </c>
      <c r="CG88" s="615">
        <f t="shared" si="400"/>
        <v>0</v>
      </c>
      <c r="CH88" s="615">
        <f t="shared" si="400"/>
        <v>0</v>
      </c>
      <c r="CI88" s="611">
        <f>(CI10/160.33)*CI14/12*AER</f>
        <v>0</v>
      </c>
      <c r="CJ88" s="611">
        <f>(CJ10/160.33)*CJ14/12*AER</f>
        <v>0</v>
      </c>
      <c r="CK88" s="612">
        <f t="shared" ref="CK88:CU88" si="401">CK$24*CK$14/12*AER</f>
        <v>0</v>
      </c>
      <c r="CL88" s="612">
        <f t="shared" si="401"/>
        <v>0</v>
      </c>
      <c r="CM88" s="615">
        <f t="shared" si="401"/>
        <v>0</v>
      </c>
      <c r="CN88" s="615">
        <f t="shared" si="401"/>
        <v>0</v>
      </c>
      <c r="CO88" s="615">
        <f t="shared" si="401"/>
        <v>0</v>
      </c>
      <c r="CP88" s="615">
        <f t="shared" si="401"/>
        <v>0</v>
      </c>
      <c r="CQ88" s="615">
        <f t="shared" si="401"/>
        <v>0</v>
      </c>
      <c r="CR88" s="615">
        <f t="shared" si="401"/>
        <v>0</v>
      </c>
      <c r="CS88" s="615">
        <f t="shared" si="401"/>
        <v>0</v>
      </c>
      <c r="CT88" s="615">
        <f t="shared" si="401"/>
        <v>0</v>
      </c>
      <c r="CU88" s="615">
        <f t="shared" si="401"/>
        <v>0</v>
      </c>
      <c r="CV88" s="611">
        <f>(CV10/160.33)*CV14/12*AER</f>
        <v>0</v>
      </c>
      <c r="CW88" s="611">
        <f>(CW10/160.33)*CW14/12*AER</f>
        <v>0</v>
      </c>
      <c r="CX88" s="612">
        <f>CX$24*CX$14/12*AER</f>
        <v>0</v>
      </c>
      <c r="CY88" s="615">
        <f>CY$24*CY$14/12*AER</f>
        <v>0</v>
      </c>
      <c r="CZ88" s="615">
        <f>CZ$24*CZ$14/12*AER</f>
        <v>0</v>
      </c>
      <c r="DA88" s="615">
        <f>DA$24*DA$14/12*AER</f>
        <v>0</v>
      </c>
      <c r="DB88" s="615">
        <f>DB$24*DB$14/12*AER</f>
        <v>0</v>
      </c>
      <c r="DC88" s="611">
        <f>(DC10/160.33)*DC14/12*AER</f>
        <v>0</v>
      </c>
      <c r="DD88" s="611">
        <f>(DD10/160.33)*DD14/12*AER</f>
        <v>0</v>
      </c>
    </row>
    <row r="89" spans="1:111" ht="14" thickBot="1">
      <c r="A89" s="581"/>
      <c r="B89" s="572"/>
      <c r="C89" s="616" t="s">
        <v>761</v>
      </c>
      <c r="D89" s="617" t="s">
        <v>761</v>
      </c>
      <c r="E89" s="617"/>
      <c r="F89" s="617"/>
      <c r="G89" s="617"/>
      <c r="H89" s="617"/>
      <c r="I89" s="617"/>
      <c r="J89" s="617"/>
      <c r="K89" s="617"/>
      <c r="L89" s="617"/>
      <c r="M89" s="617"/>
      <c r="N89" s="617"/>
      <c r="O89" s="617"/>
      <c r="P89" s="617"/>
      <c r="Q89" s="617"/>
      <c r="R89" s="617"/>
      <c r="S89" s="617"/>
      <c r="T89" s="617"/>
      <c r="U89" s="617"/>
      <c r="V89" s="617"/>
      <c r="W89" s="618">
        <f>SUM(C87:W88)</f>
        <v>0</v>
      </c>
      <c r="X89" s="619" t="s">
        <v>761</v>
      </c>
      <c r="Y89" s="619" t="s">
        <v>761</v>
      </c>
      <c r="Z89" s="619" t="s">
        <v>761</v>
      </c>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7"/>
      <c r="BA89" s="618">
        <f>SUM(X87:BA88)</f>
        <v>0</v>
      </c>
      <c r="BB89" s="619" t="s">
        <v>761</v>
      </c>
      <c r="BC89" s="619" t="s">
        <v>761</v>
      </c>
      <c r="BD89" s="619" t="s">
        <v>761</v>
      </c>
      <c r="BE89" s="619"/>
      <c r="BF89" s="619"/>
      <c r="BG89" s="619"/>
      <c r="BH89" s="619"/>
      <c r="BI89" s="619"/>
      <c r="BJ89" s="619"/>
      <c r="BK89" s="619"/>
      <c r="BL89" s="619"/>
      <c r="BM89" s="617"/>
      <c r="BN89" s="618">
        <f>SUM(BB87:BN88)</f>
        <v>0</v>
      </c>
      <c r="BO89" s="619" t="s">
        <v>761</v>
      </c>
      <c r="BP89" s="619" t="s">
        <v>761</v>
      </c>
      <c r="BQ89" s="619"/>
      <c r="BR89" s="619"/>
      <c r="BS89" s="619"/>
      <c r="BT89" s="619"/>
      <c r="BU89" s="619"/>
      <c r="BV89" s="619"/>
      <c r="BW89" s="619"/>
      <c r="BX89" s="619"/>
      <c r="BY89" s="617"/>
      <c r="BZ89" s="618">
        <f>SUM(BO87:BZ88)</f>
        <v>0</v>
      </c>
      <c r="CA89" s="620" t="s">
        <v>761</v>
      </c>
      <c r="CB89" s="620"/>
      <c r="CC89" s="620"/>
      <c r="CD89" s="620"/>
      <c r="CE89" s="620"/>
      <c r="CF89" s="620"/>
      <c r="CG89" s="620"/>
      <c r="CH89" s="620"/>
      <c r="CI89" s="617"/>
      <c r="CJ89" s="618">
        <f>SUM(CA87:CJ88)</f>
        <v>0</v>
      </c>
      <c r="CK89" s="620" t="s">
        <v>761</v>
      </c>
      <c r="CL89" s="620" t="s">
        <v>761</v>
      </c>
      <c r="CM89" s="620"/>
      <c r="CN89" s="620"/>
      <c r="CO89" s="620"/>
      <c r="CP89" s="620"/>
      <c r="CQ89" s="620"/>
      <c r="CR89" s="620"/>
      <c r="CS89" s="620"/>
      <c r="CT89" s="620"/>
      <c r="CU89" s="620"/>
      <c r="CV89" s="617"/>
      <c r="CW89" s="618">
        <f>SUM(CK87:CW88)</f>
        <v>0</v>
      </c>
      <c r="CX89" s="620" t="s">
        <v>761</v>
      </c>
      <c r="CY89" s="620"/>
      <c r="CZ89" s="620"/>
      <c r="DA89" s="620"/>
      <c r="DB89" s="620"/>
      <c r="DC89" s="617"/>
      <c r="DD89" s="618">
        <f>SUM(CX87:DD88)</f>
        <v>0</v>
      </c>
    </row>
    <row r="90" spans="1:111" ht="16">
      <c r="A90" s="581"/>
      <c r="B90" s="592" t="str">
        <f>"Lønafhængige omkostninger "&amp;budgetår+1&amp;""</f>
        <v>Lønafhængige omkostninger 2026</v>
      </c>
      <c r="C90" s="593"/>
      <c r="D90" s="572"/>
      <c r="E90" s="572"/>
      <c r="F90" s="572"/>
      <c r="G90" s="572"/>
      <c r="H90" s="572"/>
      <c r="I90" s="572"/>
      <c r="J90" s="572"/>
      <c r="K90" s="572"/>
      <c r="L90" s="572"/>
      <c r="M90" s="572"/>
      <c r="N90" s="572"/>
      <c r="O90" s="572"/>
      <c r="P90" s="572"/>
      <c r="Q90" s="572"/>
      <c r="R90" s="572"/>
      <c r="S90" s="572"/>
      <c r="T90" s="572"/>
      <c r="U90" s="572"/>
      <c r="V90" s="572"/>
      <c r="W90" s="594"/>
      <c r="X90" s="572"/>
      <c r="Y90" s="572"/>
      <c r="Z90" s="572"/>
      <c r="AA90" s="572"/>
      <c r="AB90" s="572"/>
      <c r="AC90" s="572"/>
      <c r="AD90" s="572"/>
      <c r="AE90" s="572"/>
      <c r="AF90" s="572"/>
      <c r="AG90" s="572"/>
      <c r="AH90" s="572"/>
      <c r="AI90" s="572"/>
      <c r="AJ90" s="572"/>
      <c r="AK90" s="572"/>
      <c r="AL90" s="572"/>
      <c r="AM90" s="572"/>
      <c r="AN90" s="572"/>
      <c r="AO90" s="572"/>
      <c r="AP90" s="572"/>
      <c r="AQ90" s="572"/>
      <c r="AR90" s="572"/>
      <c r="AS90" s="572"/>
      <c r="AT90" s="572"/>
      <c r="AU90" s="572"/>
      <c r="AV90" s="572"/>
      <c r="AW90" s="572"/>
      <c r="AX90" s="572"/>
      <c r="AY90" s="572"/>
      <c r="AZ90" s="572"/>
      <c r="BA90" s="594"/>
      <c r="BB90" s="595"/>
      <c r="BC90" s="595"/>
      <c r="BD90" s="595"/>
      <c r="BE90" s="595"/>
      <c r="BF90" s="595"/>
      <c r="BG90" s="595"/>
      <c r="BH90" s="595"/>
      <c r="BI90" s="595"/>
      <c r="BJ90" s="595"/>
      <c r="BK90" s="595"/>
      <c r="BL90" s="595"/>
      <c r="BM90" s="595"/>
      <c r="BN90" s="596"/>
      <c r="BO90" s="595"/>
      <c r="BP90" s="595"/>
      <c r="BQ90" s="595"/>
      <c r="BR90" s="595"/>
      <c r="BS90" s="595"/>
      <c r="BT90" s="595"/>
      <c r="BU90" s="595"/>
      <c r="BV90" s="595"/>
      <c r="BW90" s="595"/>
      <c r="BX90" s="595"/>
      <c r="BY90" s="595"/>
      <c r="BZ90" s="596"/>
      <c r="CA90" s="597"/>
      <c r="CB90" s="597"/>
      <c r="CC90" s="597"/>
      <c r="CD90" s="597"/>
      <c r="CE90" s="597"/>
      <c r="CF90" s="597"/>
      <c r="CG90" s="597"/>
      <c r="CH90" s="597"/>
      <c r="CI90" s="595"/>
      <c r="CJ90" s="596"/>
      <c r="CK90" s="597"/>
      <c r="CL90" s="597"/>
      <c r="CM90" s="597"/>
      <c r="CN90" s="597"/>
      <c r="CO90" s="597"/>
      <c r="CP90" s="597"/>
      <c r="CQ90" s="597"/>
      <c r="CR90" s="597"/>
      <c r="CS90" s="597"/>
      <c r="CT90" s="597"/>
      <c r="CU90" s="597"/>
      <c r="CV90" s="595"/>
      <c r="CW90" s="596"/>
      <c r="CX90" s="597"/>
      <c r="CY90" s="597"/>
      <c r="CZ90" s="597"/>
      <c r="DA90" s="597"/>
      <c r="DB90" s="597"/>
      <c r="DC90" s="595"/>
      <c r="DD90" s="596"/>
    </row>
    <row r="91" spans="1:111">
      <c r="A91" s="581"/>
      <c r="B91" s="574" t="str">
        <f>"Flexlønsordning(Kun for skolens ansatte): "&amp;FlexBidr&amp;" kr. pr årsværk"</f>
        <v>Flexlønsordning(Kun for skolens ansatte): 6265 kr. pr årsværk</v>
      </c>
      <c r="C91" s="598">
        <f t="shared" ref="C91:U91" si="402">C$24*C$15/12*FlexBidr*(fremskrivning+1)</f>
        <v>0</v>
      </c>
      <c r="D91" s="598">
        <f t="shared" si="402"/>
        <v>0</v>
      </c>
      <c r="E91" s="598">
        <f t="shared" si="402"/>
        <v>0</v>
      </c>
      <c r="F91" s="598">
        <f t="shared" si="402"/>
        <v>0</v>
      </c>
      <c r="G91" s="598">
        <f t="shared" si="402"/>
        <v>0</v>
      </c>
      <c r="H91" s="598">
        <f t="shared" si="402"/>
        <v>0</v>
      </c>
      <c r="I91" s="598">
        <f t="shared" si="402"/>
        <v>0</v>
      </c>
      <c r="J91" s="598">
        <f t="shared" si="402"/>
        <v>0</v>
      </c>
      <c r="K91" s="598">
        <f t="shared" si="402"/>
        <v>0</v>
      </c>
      <c r="L91" s="598">
        <f t="shared" si="402"/>
        <v>0</v>
      </c>
      <c r="M91" s="598">
        <f t="shared" si="402"/>
        <v>0</v>
      </c>
      <c r="N91" s="598">
        <f t="shared" si="402"/>
        <v>0</v>
      </c>
      <c r="O91" s="598">
        <f t="shared" si="402"/>
        <v>0</v>
      </c>
      <c r="P91" s="598">
        <f t="shared" si="402"/>
        <v>0</v>
      </c>
      <c r="Q91" s="598">
        <f t="shared" si="402"/>
        <v>0</v>
      </c>
      <c r="R91" s="598">
        <f t="shared" si="402"/>
        <v>0</v>
      </c>
      <c r="S91" s="598">
        <f t="shared" si="402"/>
        <v>0</v>
      </c>
      <c r="T91" s="598">
        <f t="shared" si="402"/>
        <v>0</v>
      </c>
      <c r="U91" s="598">
        <f t="shared" si="402"/>
        <v>0</v>
      </c>
      <c r="V91" s="600">
        <f>(V10/160.33)*V15/12*FlexBidr*(fremskrivning+1)</f>
        <v>0</v>
      </c>
      <c r="W91" s="600">
        <f>(W10/160.33)*W15/12*FlexBidr*(fremskrivning+1)</f>
        <v>0</v>
      </c>
      <c r="X91" s="598">
        <v>0</v>
      </c>
      <c r="Y91" s="598">
        <v>0</v>
      </c>
      <c r="Z91" s="598">
        <v>0</v>
      </c>
      <c r="AA91" s="598">
        <v>0</v>
      </c>
      <c r="AB91" s="598">
        <v>0</v>
      </c>
      <c r="AC91" s="598">
        <v>0</v>
      </c>
      <c r="AD91" s="598">
        <v>0</v>
      </c>
      <c r="AE91" s="598">
        <v>0</v>
      </c>
      <c r="AF91" s="598">
        <v>0</v>
      </c>
      <c r="AG91" s="598">
        <v>0</v>
      </c>
      <c r="AH91" s="598">
        <v>0</v>
      </c>
      <c r="AI91" s="598">
        <v>0</v>
      </c>
      <c r="AJ91" s="598">
        <v>0</v>
      </c>
      <c r="AK91" s="598">
        <v>0</v>
      </c>
      <c r="AL91" s="598">
        <v>0</v>
      </c>
      <c r="AM91" s="598">
        <v>0</v>
      </c>
      <c r="AN91" s="598">
        <v>0</v>
      </c>
      <c r="AO91" s="598">
        <v>0</v>
      </c>
      <c r="AP91" s="598">
        <v>0</v>
      </c>
      <c r="AQ91" s="598">
        <v>0</v>
      </c>
      <c r="AR91" s="598">
        <v>0</v>
      </c>
      <c r="AS91" s="598">
        <v>0</v>
      </c>
      <c r="AT91" s="598">
        <v>0</v>
      </c>
      <c r="AU91" s="598">
        <v>0</v>
      </c>
      <c r="AV91" s="598">
        <v>0</v>
      </c>
      <c r="AW91" s="598">
        <v>0</v>
      </c>
      <c r="AX91" s="598">
        <v>0</v>
      </c>
      <c r="AY91" s="598">
        <v>0</v>
      </c>
      <c r="AZ91" s="598">
        <v>0</v>
      </c>
      <c r="BA91" s="598">
        <v>0</v>
      </c>
      <c r="BB91" s="598">
        <v>0</v>
      </c>
      <c r="BC91" s="598">
        <v>0</v>
      </c>
      <c r="BD91" s="598">
        <f>BB91</f>
        <v>0</v>
      </c>
      <c r="BE91" s="598">
        <f t="shared" ref="BE91:BK91" si="403">BD91</f>
        <v>0</v>
      </c>
      <c r="BF91" s="598">
        <f t="shared" si="403"/>
        <v>0</v>
      </c>
      <c r="BG91" s="598">
        <f t="shared" si="403"/>
        <v>0</v>
      </c>
      <c r="BH91" s="598">
        <f t="shared" si="403"/>
        <v>0</v>
      </c>
      <c r="BI91" s="598">
        <f t="shared" si="403"/>
        <v>0</v>
      </c>
      <c r="BJ91" s="598">
        <f t="shared" si="403"/>
        <v>0</v>
      </c>
      <c r="BK91" s="598">
        <f t="shared" si="403"/>
        <v>0</v>
      </c>
      <c r="BL91" s="598">
        <f>BK91</f>
        <v>0</v>
      </c>
      <c r="BM91" s="598"/>
      <c r="BN91" s="598"/>
      <c r="BO91" s="598">
        <f t="shared" ref="BO91:BX91" si="404">BO$24*BO$15/12*FlexBidr*(fremskrivning+1)</f>
        <v>0</v>
      </c>
      <c r="BP91" s="598">
        <f t="shared" si="404"/>
        <v>0</v>
      </c>
      <c r="BQ91" s="598">
        <f t="shared" si="404"/>
        <v>0</v>
      </c>
      <c r="BR91" s="598">
        <f t="shared" si="404"/>
        <v>0</v>
      </c>
      <c r="BS91" s="598">
        <f t="shared" si="404"/>
        <v>0</v>
      </c>
      <c r="BT91" s="598">
        <f t="shared" si="404"/>
        <v>0</v>
      </c>
      <c r="BU91" s="598">
        <f t="shared" si="404"/>
        <v>0</v>
      </c>
      <c r="BV91" s="598">
        <f t="shared" si="404"/>
        <v>0</v>
      </c>
      <c r="BW91" s="598">
        <f t="shared" si="404"/>
        <v>0</v>
      </c>
      <c r="BX91" s="598">
        <f t="shared" si="404"/>
        <v>0</v>
      </c>
      <c r="BY91" s="600">
        <f>(BY10/160.33)*BY15/12*FlexBidr*(fremskrivning+1)</f>
        <v>0</v>
      </c>
      <c r="BZ91" s="600">
        <f>(BZ10/160.33)*BZ15/12*FlexBidr*(fremskrivning+1)</f>
        <v>0</v>
      </c>
      <c r="CA91" s="598">
        <f t="shared" ref="CA91:CH91" si="405">CA$24*CA$15/12*FlexBidr*(fremskrivning+1)</f>
        <v>0</v>
      </c>
      <c r="CB91" s="598">
        <f t="shared" si="405"/>
        <v>0</v>
      </c>
      <c r="CC91" s="598">
        <f t="shared" si="405"/>
        <v>0</v>
      </c>
      <c r="CD91" s="598">
        <f t="shared" si="405"/>
        <v>0</v>
      </c>
      <c r="CE91" s="598">
        <f t="shared" si="405"/>
        <v>0</v>
      </c>
      <c r="CF91" s="598">
        <f t="shared" si="405"/>
        <v>0</v>
      </c>
      <c r="CG91" s="598">
        <f t="shared" si="405"/>
        <v>0</v>
      </c>
      <c r="CH91" s="598">
        <f t="shared" si="405"/>
        <v>0</v>
      </c>
      <c r="CI91" s="600">
        <f>(CI10/160.33)*CI15/12*FlexBidr*(fremskrivning+1)</f>
        <v>0</v>
      </c>
      <c r="CJ91" s="600">
        <f>(CJ10/160.33)*CJ15/12*FlexBidr*(fremskrivning+1)</f>
        <v>0</v>
      </c>
      <c r="CK91" s="598">
        <f t="shared" ref="CK91:CU91" si="406">CK$24*CK$15/12*FlexBidr*(fremskrivning+1)</f>
        <v>0</v>
      </c>
      <c r="CL91" s="598">
        <f t="shared" si="406"/>
        <v>0</v>
      </c>
      <c r="CM91" s="598">
        <f t="shared" si="406"/>
        <v>0</v>
      </c>
      <c r="CN91" s="598">
        <f t="shared" si="406"/>
        <v>0</v>
      </c>
      <c r="CO91" s="598">
        <f t="shared" si="406"/>
        <v>0</v>
      </c>
      <c r="CP91" s="598">
        <f t="shared" si="406"/>
        <v>0</v>
      </c>
      <c r="CQ91" s="598">
        <f t="shared" si="406"/>
        <v>0</v>
      </c>
      <c r="CR91" s="598">
        <f t="shared" si="406"/>
        <v>0</v>
      </c>
      <c r="CS91" s="598">
        <f t="shared" si="406"/>
        <v>0</v>
      </c>
      <c r="CT91" s="598">
        <f t="shared" si="406"/>
        <v>0</v>
      </c>
      <c r="CU91" s="598">
        <f t="shared" si="406"/>
        <v>0</v>
      </c>
      <c r="CV91" s="600">
        <f>(CV10/160.33)*CV15/12*FlexBidr*(fremskrivning+1)</f>
        <v>0</v>
      </c>
      <c r="CW91" s="600">
        <f>(CW10/160.33)*CW15/12*FlexBidr*(fremskrivning+1)</f>
        <v>0</v>
      </c>
      <c r="CX91" s="598">
        <f>CX$24*CX$15/12*FlexBidr*(fremskrivning+1)</f>
        <v>0</v>
      </c>
      <c r="CY91" s="598">
        <f>CY$24*CY$15/12*FlexBidr*(fremskrivning+1)</f>
        <v>0</v>
      </c>
      <c r="CZ91" s="598">
        <f>CZ$24*CZ$15/12*FlexBidr*(fremskrivning+1)</f>
        <v>0</v>
      </c>
      <c r="DA91" s="598">
        <f>DA$24*DA$15/12*FlexBidr*(fremskrivning+1)</f>
        <v>0</v>
      </c>
      <c r="DB91" s="598">
        <f>DB$24*DB$15/12*FlexBidr*(fremskrivning+1)</f>
        <v>0</v>
      </c>
      <c r="DC91" s="600">
        <f>(DC10/160.33)*DC15/12*FlexBidr*(fremskrivning+1)</f>
        <v>0</v>
      </c>
      <c r="DD91" s="600">
        <f>(DD10/160.33)*DD15/12*FlexBidr*(fremskrivning+1)</f>
        <v>0</v>
      </c>
    </row>
    <row r="92" spans="1:111" ht="14" thickBot="1">
      <c r="A92" s="581"/>
      <c r="B92" s="608" t="str">
        <f>"Samlet betaling: "&amp;SatsBilag!$B$28&amp;" kr. pr årsværk samt barsel.dk f. Bh."</f>
        <v>Samlet betaling: 4517 kr. pr årsværk samt barsel.dk f. Bh.</v>
      </c>
      <c r="C92" s="609">
        <f t="shared" ref="C92:U92" si="407">C$24*C$15/12*AER*(fremskrivning+1)</f>
        <v>0</v>
      </c>
      <c r="D92" s="609">
        <f t="shared" si="407"/>
        <v>0</v>
      </c>
      <c r="E92" s="609">
        <f t="shared" si="407"/>
        <v>0</v>
      </c>
      <c r="F92" s="609">
        <f t="shared" si="407"/>
        <v>0</v>
      </c>
      <c r="G92" s="609">
        <f t="shared" si="407"/>
        <v>0</v>
      </c>
      <c r="H92" s="609">
        <f t="shared" si="407"/>
        <v>0</v>
      </c>
      <c r="I92" s="609">
        <f t="shared" si="407"/>
        <v>0</v>
      </c>
      <c r="J92" s="609">
        <f t="shared" si="407"/>
        <v>0</v>
      </c>
      <c r="K92" s="609">
        <f t="shared" si="407"/>
        <v>0</v>
      </c>
      <c r="L92" s="609">
        <f t="shared" si="407"/>
        <v>0</v>
      </c>
      <c r="M92" s="609">
        <f t="shared" si="407"/>
        <v>0</v>
      </c>
      <c r="N92" s="609">
        <f t="shared" si="407"/>
        <v>0</v>
      </c>
      <c r="O92" s="609">
        <f t="shared" si="407"/>
        <v>0</v>
      </c>
      <c r="P92" s="609">
        <f t="shared" si="407"/>
        <v>0</v>
      </c>
      <c r="Q92" s="609">
        <f t="shared" si="407"/>
        <v>0</v>
      </c>
      <c r="R92" s="609">
        <f t="shared" si="407"/>
        <v>0</v>
      </c>
      <c r="S92" s="609">
        <f t="shared" si="407"/>
        <v>0</v>
      </c>
      <c r="T92" s="609">
        <f t="shared" si="407"/>
        <v>0</v>
      </c>
      <c r="U92" s="609">
        <f t="shared" si="407"/>
        <v>0</v>
      </c>
      <c r="V92" s="611">
        <f>(V10/160.33)*V15/12*AER*(fremskrivning+1)</f>
        <v>0</v>
      </c>
      <c r="W92" s="611">
        <f>(W10/160.33)*W15/12*AER*(fremskrivning+1)</f>
        <v>0</v>
      </c>
      <c r="X92" s="612">
        <f t="shared" ref="X92:AQ92" si="408">(AER+BarselBidr)*X$24*X$15/12*(fremskrivning+1)</f>
        <v>0</v>
      </c>
      <c r="Y92" s="612">
        <f t="shared" si="408"/>
        <v>0</v>
      </c>
      <c r="Z92" s="612">
        <f t="shared" si="408"/>
        <v>0</v>
      </c>
      <c r="AA92" s="612">
        <f t="shared" si="408"/>
        <v>0</v>
      </c>
      <c r="AB92" s="612">
        <f t="shared" si="408"/>
        <v>0</v>
      </c>
      <c r="AC92" s="612">
        <f t="shared" si="408"/>
        <v>0</v>
      </c>
      <c r="AD92" s="612">
        <f t="shared" si="408"/>
        <v>0</v>
      </c>
      <c r="AE92" s="612">
        <f t="shared" si="408"/>
        <v>0</v>
      </c>
      <c r="AF92" s="612">
        <f t="shared" si="408"/>
        <v>0</v>
      </c>
      <c r="AG92" s="612">
        <f t="shared" si="408"/>
        <v>0</v>
      </c>
      <c r="AH92" s="612">
        <f t="shared" si="408"/>
        <v>0</v>
      </c>
      <c r="AI92" s="612">
        <f t="shared" si="408"/>
        <v>0</v>
      </c>
      <c r="AJ92" s="612">
        <f t="shared" si="408"/>
        <v>0</v>
      </c>
      <c r="AK92" s="612">
        <f t="shared" si="408"/>
        <v>0</v>
      </c>
      <c r="AL92" s="612">
        <f t="shared" si="408"/>
        <v>0</v>
      </c>
      <c r="AM92" s="612">
        <f t="shared" si="408"/>
        <v>0</v>
      </c>
      <c r="AN92" s="612">
        <f t="shared" si="408"/>
        <v>0</v>
      </c>
      <c r="AO92" s="612">
        <f t="shared" si="408"/>
        <v>0</v>
      </c>
      <c r="AP92" s="612">
        <f t="shared" si="408"/>
        <v>0</v>
      </c>
      <c r="AQ92" s="612">
        <f t="shared" si="408"/>
        <v>0</v>
      </c>
      <c r="AR92" s="612">
        <f t="shared" ref="AR92:AY92" si="409">(AER+BarselBidr)*AR$24*AR$15/12*(fremskrivning+1)</f>
        <v>0</v>
      </c>
      <c r="AS92" s="612">
        <f t="shared" si="409"/>
        <v>0</v>
      </c>
      <c r="AT92" s="612">
        <f t="shared" si="409"/>
        <v>0</v>
      </c>
      <c r="AU92" s="612">
        <f t="shared" si="409"/>
        <v>0</v>
      </c>
      <c r="AV92" s="612">
        <f t="shared" si="409"/>
        <v>0</v>
      </c>
      <c r="AW92" s="612">
        <f t="shared" si="409"/>
        <v>0</v>
      </c>
      <c r="AX92" s="612">
        <f t="shared" si="409"/>
        <v>0</v>
      </c>
      <c r="AY92" s="612">
        <f t="shared" si="409"/>
        <v>0</v>
      </c>
      <c r="AZ92" s="611">
        <f>(AZ10/160.33)*AZ15/12*AER*(fremskrivning+1)</f>
        <v>0</v>
      </c>
      <c r="BA92" s="611">
        <f>(BA10/160.33)*BA15/12*AER*(fremskrivning+1)</f>
        <v>0</v>
      </c>
      <c r="BB92" s="612">
        <f t="shared" ref="BB92:BL92" si="410">(AER+BarselBidr)*BB$24*BB$15/12*(fremskrivning+1)</f>
        <v>0</v>
      </c>
      <c r="BC92" s="612">
        <f t="shared" si="410"/>
        <v>0</v>
      </c>
      <c r="BD92" s="612">
        <f t="shared" si="410"/>
        <v>0</v>
      </c>
      <c r="BE92" s="612">
        <f t="shared" si="410"/>
        <v>0</v>
      </c>
      <c r="BF92" s="612">
        <f t="shared" si="410"/>
        <v>0</v>
      </c>
      <c r="BG92" s="612">
        <f t="shared" si="410"/>
        <v>0</v>
      </c>
      <c r="BH92" s="612">
        <f t="shared" si="410"/>
        <v>0</v>
      </c>
      <c r="BI92" s="612">
        <f t="shared" si="410"/>
        <v>0</v>
      </c>
      <c r="BJ92" s="612">
        <f t="shared" si="410"/>
        <v>0</v>
      </c>
      <c r="BK92" s="612">
        <f t="shared" si="410"/>
        <v>0</v>
      </c>
      <c r="BL92" s="612">
        <f t="shared" si="410"/>
        <v>0</v>
      </c>
      <c r="BM92" s="611">
        <f>(BM10/160.33)*BM15/12*AER*(fremskrivning+1)</f>
        <v>0</v>
      </c>
      <c r="BN92" s="611">
        <f>(BN10/160.33)*BN15/12*AER*(fremskrivning+1)</f>
        <v>0</v>
      </c>
      <c r="BO92" s="609">
        <f t="shared" ref="BO92:BX92" si="411">BO$24*BO$15/12*AER*(fremskrivning+1)</f>
        <v>0</v>
      </c>
      <c r="BP92" s="609">
        <f t="shared" si="411"/>
        <v>0</v>
      </c>
      <c r="BQ92" s="609">
        <f t="shared" si="411"/>
        <v>0</v>
      </c>
      <c r="BR92" s="609">
        <f t="shared" si="411"/>
        <v>0</v>
      </c>
      <c r="BS92" s="609">
        <f t="shared" si="411"/>
        <v>0</v>
      </c>
      <c r="BT92" s="609">
        <f t="shared" si="411"/>
        <v>0</v>
      </c>
      <c r="BU92" s="609">
        <f t="shared" si="411"/>
        <v>0</v>
      </c>
      <c r="BV92" s="609">
        <f t="shared" si="411"/>
        <v>0</v>
      </c>
      <c r="BW92" s="609">
        <f t="shared" si="411"/>
        <v>0</v>
      </c>
      <c r="BX92" s="609">
        <f t="shared" si="411"/>
        <v>0</v>
      </c>
      <c r="BY92" s="611">
        <f>(BY10/160.33)*BY15/12*AER*(fremskrivning+1)</f>
        <v>0</v>
      </c>
      <c r="BZ92" s="611">
        <f>(BZ10/160.33)*BZ15/12*AER*(fremskrivning+1)</f>
        <v>0</v>
      </c>
      <c r="CA92" s="609">
        <f t="shared" ref="CA92:CH92" si="412">CA$24*CA$15/12*AER*(fremskrivning+1)</f>
        <v>0</v>
      </c>
      <c r="CB92" s="609">
        <f t="shared" si="412"/>
        <v>0</v>
      </c>
      <c r="CC92" s="609">
        <f t="shared" si="412"/>
        <v>0</v>
      </c>
      <c r="CD92" s="609">
        <f t="shared" si="412"/>
        <v>0</v>
      </c>
      <c r="CE92" s="609">
        <f t="shared" si="412"/>
        <v>0</v>
      </c>
      <c r="CF92" s="609">
        <f t="shared" si="412"/>
        <v>0</v>
      </c>
      <c r="CG92" s="609">
        <f t="shared" si="412"/>
        <v>0</v>
      </c>
      <c r="CH92" s="609">
        <f t="shared" si="412"/>
        <v>0</v>
      </c>
      <c r="CI92" s="611">
        <f>(CI10/160.33)*CI15/12*AER*(fremskrivning+1)</f>
        <v>0</v>
      </c>
      <c r="CJ92" s="611">
        <f>(CJ10/160.33)*CJ15/12*AER*(fremskrivning+1)</f>
        <v>0</v>
      </c>
      <c r="CK92" s="609">
        <f t="shared" ref="CK92:CU92" si="413">CK$24*CK$15/12*AER*(fremskrivning+1)</f>
        <v>0</v>
      </c>
      <c r="CL92" s="609">
        <f t="shared" si="413"/>
        <v>0</v>
      </c>
      <c r="CM92" s="609">
        <f t="shared" si="413"/>
        <v>0</v>
      </c>
      <c r="CN92" s="609">
        <f t="shared" si="413"/>
        <v>0</v>
      </c>
      <c r="CO92" s="609">
        <f t="shared" si="413"/>
        <v>0</v>
      </c>
      <c r="CP92" s="609">
        <f t="shared" si="413"/>
        <v>0</v>
      </c>
      <c r="CQ92" s="609">
        <f t="shared" si="413"/>
        <v>0</v>
      </c>
      <c r="CR92" s="609">
        <f t="shared" si="413"/>
        <v>0</v>
      </c>
      <c r="CS92" s="609">
        <f t="shared" si="413"/>
        <v>0</v>
      </c>
      <c r="CT92" s="609">
        <f t="shared" si="413"/>
        <v>0</v>
      </c>
      <c r="CU92" s="609">
        <f t="shared" si="413"/>
        <v>0</v>
      </c>
      <c r="CV92" s="611">
        <f>(CV10/160.33)*CV15/12*AER*(fremskrivning+1)</f>
        <v>0</v>
      </c>
      <c r="CW92" s="611">
        <f>(CW10/160.33)*CW15/12*AER*(fremskrivning+1)</f>
        <v>0</v>
      </c>
      <c r="CX92" s="609">
        <f>CX$24*CX$15/12*AER*(fremskrivning+1)</f>
        <v>0</v>
      </c>
      <c r="CY92" s="609">
        <f>CY$24*CY$15/12*AER*(fremskrivning+1)</f>
        <v>0</v>
      </c>
      <c r="CZ92" s="609">
        <f>CZ$24*CZ$15/12*AER*(fremskrivning+1)</f>
        <v>0</v>
      </c>
      <c r="DA92" s="609">
        <f>DA$24*DA$15/12*AER*(fremskrivning+1)</f>
        <v>0</v>
      </c>
      <c r="DB92" s="609">
        <f>DB$24*DB$15/12*AER*(fremskrivning+1)</f>
        <v>0</v>
      </c>
      <c r="DC92" s="611">
        <f>(DC10/160.33)*DC15/12*AER*(fremskrivning+1)</f>
        <v>0</v>
      </c>
      <c r="DD92" s="611">
        <f>(DD10/160.33)*DD15/12*AER*(fremskrivning+1)</f>
        <v>0</v>
      </c>
    </row>
    <row r="93" spans="1:111" ht="14" thickBot="1">
      <c r="A93" s="581"/>
      <c r="B93" s="572"/>
      <c r="C93" s="616" t="s">
        <v>761</v>
      </c>
      <c r="D93" s="617" t="s">
        <v>761</v>
      </c>
      <c r="E93" s="617"/>
      <c r="F93" s="617"/>
      <c r="G93" s="617"/>
      <c r="H93" s="617"/>
      <c r="I93" s="617"/>
      <c r="J93" s="617"/>
      <c r="K93" s="617"/>
      <c r="L93" s="617"/>
      <c r="M93" s="617"/>
      <c r="N93" s="617"/>
      <c r="O93" s="617"/>
      <c r="P93" s="617"/>
      <c r="Q93" s="617"/>
      <c r="R93" s="617"/>
      <c r="S93" s="617"/>
      <c r="T93" s="617"/>
      <c r="U93" s="617"/>
      <c r="V93" s="617"/>
      <c r="W93" s="618">
        <f>SUM(C91:W92)</f>
        <v>0</v>
      </c>
      <c r="X93" s="619" t="s">
        <v>761</v>
      </c>
      <c r="Y93" s="619" t="s">
        <v>761</v>
      </c>
      <c r="Z93" s="619" t="s">
        <v>761</v>
      </c>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7"/>
      <c r="BA93" s="618">
        <f>SUM(X91:BA92)</f>
        <v>0</v>
      </c>
      <c r="BB93" s="619" t="s">
        <v>761</v>
      </c>
      <c r="BC93" s="619" t="s">
        <v>761</v>
      </c>
      <c r="BD93" s="619" t="s">
        <v>761</v>
      </c>
      <c r="BE93" s="619"/>
      <c r="BF93" s="619"/>
      <c r="BG93" s="619"/>
      <c r="BH93" s="619"/>
      <c r="BI93" s="619"/>
      <c r="BJ93" s="619"/>
      <c r="BK93" s="619"/>
      <c r="BL93" s="619"/>
      <c r="BM93" s="617"/>
      <c r="BN93" s="618">
        <f>SUM(BB91:BN92)</f>
        <v>0</v>
      </c>
      <c r="BO93" s="619" t="s">
        <v>761</v>
      </c>
      <c r="BP93" s="619" t="s">
        <v>761</v>
      </c>
      <c r="BQ93" s="619"/>
      <c r="BR93" s="619"/>
      <c r="BS93" s="619"/>
      <c r="BT93" s="619"/>
      <c r="BU93" s="619"/>
      <c r="BV93" s="619"/>
      <c r="BW93" s="619"/>
      <c r="BX93" s="619"/>
      <c r="BY93" s="617"/>
      <c r="BZ93" s="618">
        <f>SUM(BO91:BZ92)</f>
        <v>0</v>
      </c>
      <c r="CA93" s="620" t="s">
        <v>761</v>
      </c>
      <c r="CB93" s="620"/>
      <c r="CC93" s="620"/>
      <c r="CD93" s="620"/>
      <c r="CE93" s="620"/>
      <c r="CF93" s="620"/>
      <c r="CG93" s="620"/>
      <c r="CH93" s="620"/>
      <c r="CI93" s="617"/>
      <c r="CJ93" s="618">
        <f>SUM(CA91:CJ92)</f>
        <v>0</v>
      </c>
      <c r="CK93" s="620" t="s">
        <v>761</v>
      </c>
      <c r="CL93" s="620" t="s">
        <v>761</v>
      </c>
      <c r="CM93" s="620"/>
      <c r="CN93" s="620"/>
      <c r="CO93" s="620"/>
      <c r="CP93" s="620"/>
      <c r="CQ93" s="620"/>
      <c r="CR93" s="620"/>
      <c r="CS93" s="620"/>
      <c r="CT93" s="620"/>
      <c r="CU93" s="620"/>
      <c r="CV93" s="617"/>
      <c r="CW93" s="618">
        <f>SUM(CK91:CW92)</f>
        <v>0</v>
      </c>
      <c r="CX93" s="620" t="s">
        <v>761</v>
      </c>
      <c r="CY93" s="620"/>
      <c r="CZ93" s="620"/>
      <c r="DA93" s="620"/>
      <c r="DB93" s="620"/>
      <c r="DC93" s="617"/>
      <c r="DD93" s="618">
        <f>SUM(CX91:DD92)</f>
        <v>0</v>
      </c>
    </row>
    <row r="94" spans="1:111" hidden="1">
      <c r="A94" s="584"/>
      <c r="B94" s="621"/>
      <c r="C94" s="622"/>
      <c r="D94" s="621"/>
      <c r="E94" s="621"/>
      <c r="F94" s="621"/>
      <c r="G94" s="621"/>
      <c r="H94" s="621"/>
      <c r="I94" s="621"/>
      <c r="J94" s="621"/>
      <c r="K94" s="621"/>
      <c r="L94" s="621"/>
      <c r="M94" s="621"/>
      <c r="N94" s="621"/>
      <c r="O94" s="621"/>
      <c r="P94" s="621"/>
      <c r="Q94" s="621"/>
      <c r="R94" s="621"/>
      <c r="S94" s="621"/>
      <c r="T94" s="621"/>
      <c r="U94" s="621"/>
      <c r="V94" s="621"/>
      <c r="W94" s="623"/>
      <c r="X94" s="621"/>
      <c r="Y94" s="621"/>
      <c r="Z94" s="621"/>
      <c r="AA94" s="621"/>
      <c r="AB94" s="621"/>
      <c r="AC94" s="621"/>
      <c r="AD94" s="621"/>
      <c r="AE94" s="621"/>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3"/>
      <c r="BB94" s="621"/>
      <c r="BC94" s="621"/>
      <c r="BD94" s="621"/>
      <c r="BE94" s="621"/>
      <c r="BF94" s="621"/>
      <c r="BG94" s="621"/>
      <c r="BH94" s="621"/>
      <c r="BI94" s="621"/>
      <c r="BJ94" s="621"/>
      <c r="BK94" s="621"/>
      <c r="BL94" s="621"/>
      <c r="BM94" s="621"/>
      <c r="BN94" s="623"/>
      <c r="BO94" s="621"/>
      <c r="BP94" s="621"/>
      <c r="BQ94" s="621"/>
      <c r="BR94" s="621"/>
      <c r="BS94" s="621"/>
      <c r="BT94" s="621"/>
      <c r="BU94" s="621"/>
      <c r="BV94" s="621"/>
      <c r="BW94" s="621"/>
      <c r="BX94" s="621"/>
      <c r="BY94" s="621"/>
      <c r="BZ94" s="623"/>
      <c r="CA94" s="624"/>
      <c r="CB94" s="624"/>
      <c r="CC94" s="624"/>
      <c r="CD94" s="624"/>
      <c r="CE94" s="624"/>
      <c r="CF94" s="624"/>
      <c r="CG94" s="624"/>
      <c r="CH94" s="624"/>
      <c r="CI94" s="621"/>
      <c r="CJ94" s="623"/>
      <c r="CK94" s="624"/>
      <c r="CL94" s="624"/>
      <c r="CM94" s="624"/>
      <c r="CN94" s="624"/>
      <c r="CO94" s="624"/>
      <c r="CP94" s="624"/>
      <c r="CQ94" s="624"/>
      <c r="CR94" s="624"/>
      <c r="CS94" s="624"/>
      <c r="CT94" s="624"/>
      <c r="CU94" s="624"/>
      <c r="CV94" s="621"/>
      <c r="CW94" s="623"/>
      <c r="CX94" s="624"/>
      <c r="CY94" s="624"/>
      <c r="CZ94" s="624"/>
      <c r="DA94" s="624"/>
      <c r="DB94" s="624"/>
      <c r="DC94" s="621"/>
      <c r="DD94" s="623"/>
    </row>
    <row r="95" spans="1:111" ht="13" hidden="1" customHeight="1">
      <c r="A95" s="575"/>
      <c r="B95" s="545"/>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545"/>
      <c r="BV95" s="545"/>
      <c r="BW95" s="545"/>
      <c r="BX95" s="545"/>
      <c r="BY95" s="545"/>
      <c r="BZ95" s="545"/>
      <c r="CA95" s="545"/>
      <c r="CB95" s="545"/>
      <c r="CC95" s="545"/>
      <c r="CD95" s="545"/>
      <c r="CE95" s="545"/>
      <c r="CF95" s="545"/>
      <c r="CG95" s="545"/>
      <c r="CH95" s="545"/>
      <c r="CI95" s="545"/>
      <c r="CJ95" s="545"/>
      <c r="CK95" s="545"/>
      <c r="CL95" s="545"/>
      <c r="CM95" s="545"/>
      <c r="CN95" s="545"/>
      <c r="CO95" s="545"/>
      <c r="CP95" s="545"/>
      <c r="CQ95" s="545"/>
      <c r="CR95" s="545"/>
      <c r="CS95" s="545"/>
      <c r="CT95" s="545"/>
      <c r="CU95" s="545"/>
      <c r="CV95" s="545"/>
      <c r="CW95" s="545"/>
      <c r="CX95" s="545"/>
      <c r="CY95" s="545"/>
      <c r="CZ95" s="545"/>
      <c r="DA95" s="545"/>
      <c r="DB95" s="545"/>
      <c r="DC95" s="545"/>
      <c r="DD95" s="545"/>
    </row>
    <row r="96" spans="1:111" ht="13" hidden="1" customHeight="1">
      <c r="A96" s="575"/>
      <c r="B96" s="545" t="s">
        <v>690</v>
      </c>
      <c r="C96" s="545"/>
      <c r="D96" s="545"/>
      <c r="E96" s="545">
        <f t="shared" ref="E96:U96" si="414">IF(E16="Orlov",0,E27*E14)</f>
        <v>0</v>
      </c>
      <c r="F96" s="545">
        <f t="shared" ref="F96" si="415">IF(F16="Orlov",0,F27*F14)</f>
        <v>0</v>
      </c>
      <c r="G96" s="545">
        <f t="shared" si="414"/>
        <v>0</v>
      </c>
      <c r="H96" s="545">
        <f t="shared" si="414"/>
        <v>0</v>
      </c>
      <c r="I96" s="545">
        <f t="shared" ref="I96" si="416">IF(I16="Orlov",0,I27*I14)</f>
        <v>0</v>
      </c>
      <c r="J96" s="545">
        <f t="shared" si="414"/>
        <v>0</v>
      </c>
      <c r="K96" s="545">
        <f t="shared" si="414"/>
        <v>0</v>
      </c>
      <c r="L96" s="545">
        <f t="shared" si="414"/>
        <v>0</v>
      </c>
      <c r="M96" s="545">
        <f t="shared" si="414"/>
        <v>0</v>
      </c>
      <c r="N96" s="545">
        <f t="shared" si="414"/>
        <v>0</v>
      </c>
      <c r="O96" s="545">
        <f t="shared" si="414"/>
        <v>0</v>
      </c>
      <c r="P96" s="545">
        <f t="shared" si="414"/>
        <v>0</v>
      </c>
      <c r="Q96" s="545">
        <f t="shared" si="414"/>
        <v>0</v>
      </c>
      <c r="R96" s="545">
        <f t="shared" si="414"/>
        <v>0</v>
      </c>
      <c r="S96" s="545">
        <f t="shared" si="414"/>
        <v>0</v>
      </c>
      <c r="T96" s="545">
        <f t="shared" si="414"/>
        <v>0</v>
      </c>
      <c r="U96" s="545">
        <f t="shared" si="414"/>
        <v>0</v>
      </c>
      <c r="V96" s="545"/>
      <c r="W96" s="545"/>
      <c r="X96" s="545"/>
      <c r="Y96" s="545"/>
      <c r="Z96" s="545"/>
      <c r="AA96" s="545">
        <f t="shared" ref="AA96:AJ96" si="417">IF(AA16="Orlov",0,AA27*AA14)</f>
        <v>0</v>
      </c>
      <c r="AB96" s="545">
        <f t="shared" si="417"/>
        <v>0</v>
      </c>
      <c r="AC96" s="545">
        <f t="shared" si="417"/>
        <v>0</v>
      </c>
      <c r="AD96" s="545">
        <f t="shared" si="417"/>
        <v>0</v>
      </c>
      <c r="AE96" s="545">
        <f t="shared" ref="AE96" si="418">IF(AE16="Orlov",0,AE27*AE14)</f>
        <v>0</v>
      </c>
      <c r="AF96" s="545">
        <f t="shared" si="417"/>
        <v>0</v>
      </c>
      <c r="AG96" s="545">
        <f t="shared" si="417"/>
        <v>0</v>
      </c>
      <c r="AH96" s="545">
        <f t="shared" si="417"/>
        <v>0</v>
      </c>
      <c r="AI96" s="545">
        <f t="shared" si="417"/>
        <v>0</v>
      </c>
      <c r="AJ96" s="545">
        <f t="shared" si="417"/>
        <v>0</v>
      </c>
      <c r="AK96" s="545">
        <f t="shared" ref="AK96:AN96" si="419">IF(AK16="Orlov",0,AK27*AK14)</f>
        <v>0</v>
      </c>
      <c r="AL96" s="545">
        <f t="shared" si="419"/>
        <v>0</v>
      </c>
      <c r="AM96" s="545">
        <f t="shared" si="419"/>
        <v>0</v>
      </c>
      <c r="AN96" s="545">
        <f t="shared" si="419"/>
        <v>0</v>
      </c>
      <c r="AO96" s="545">
        <f t="shared" ref="AO96:AY96" si="420">IF(AO16="Orlov",0,AO27*AO14)</f>
        <v>0</v>
      </c>
      <c r="AP96" s="545">
        <f t="shared" si="420"/>
        <v>0</v>
      </c>
      <c r="AQ96" s="545">
        <f t="shared" si="420"/>
        <v>0</v>
      </c>
      <c r="AR96" s="545">
        <f t="shared" si="420"/>
        <v>0</v>
      </c>
      <c r="AS96" s="545">
        <f t="shared" si="420"/>
        <v>0</v>
      </c>
      <c r="AT96" s="545">
        <f t="shared" si="420"/>
        <v>0</v>
      </c>
      <c r="AU96" s="545">
        <f t="shared" si="420"/>
        <v>0</v>
      </c>
      <c r="AV96" s="545">
        <f t="shared" si="420"/>
        <v>0</v>
      </c>
      <c r="AW96" s="545">
        <f t="shared" si="420"/>
        <v>0</v>
      </c>
      <c r="AX96" s="545">
        <f t="shared" si="420"/>
        <v>0</v>
      </c>
      <c r="AY96" s="545">
        <f t="shared" si="420"/>
        <v>0</v>
      </c>
      <c r="AZ96" s="545"/>
      <c r="BA96" s="545"/>
      <c r="BB96" s="545">
        <f t="shared" ref="BB96:BL96" si="421">IF(BB16="Orlov",0,BB27*BB14)</f>
        <v>0</v>
      </c>
      <c r="BC96" s="545">
        <f t="shared" ref="BC96" si="422">IF(BC16="Orlov",0,BC27*BC14)</f>
        <v>0</v>
      </c>
      <c r="BD96" s="545">
        <f t="shared" si="421"/>
        <v>0</v>
      </c>
      <c r="BE96" s="545">
        <f t="shared" si="421"/>
        <v>0</v>
      </c>
      <c r="BF96" s="545">
        <f t="shared" si="421"/>
        <v>0</v>
      </c>
      <c r="BG96" s="545">
        <f t="shared" si="421"/>
        <v>0</v>
      </c>
      <c r="BH96" s="545">
        <f t="shared" si="421"/>
        <v>0</v>
      </c>
      <c r="BI96" s="545">
        <f t="shared" si="421"/>
        <v>0</v>
      </c>
      <c r="BJ96" s="545">
        <f t="shared" si="421"/>
        <v>0</v>
      </c>
      <c r="BK96" s="545">
        <f t="shared" si="421"/>
        <v>0</v>
      </c>
      <c r="BL96" s="545">
        <f t="shared" si="421"/>
        <v>0</v>
      </c>
      <c r="BM96" s="545"/>
      <c r="BN96" s="545"/>
      <c r="BO96" s="545">
        <f t="shared" ref="BO96:BX96" si="423">IF(BO16="Orlov",0,BO27*BO14)</f>
        <v>0</v>
      </c>
      <c r="BP96" s="545">
        <f t="shared" si="423"/>
        <v>0</v>
      </c>
      <c r="BQ96" s="545">
        <f t="shared" si="423"/>
        <v>0</v>
      </c>
      <c r="BR96" s="545">
        <f t="shared" si="423"/>
        <v>0</v>
      </c>
      <c r="BS96" s="545">
        <f t="shared" si="423"/>
        <v>0</v>
      </c>
      <c r="BT96" s="545">
        <f t="shared" si="423"/>
        <v>0</v>
      </c>
      <c r="BU96" s="545">
        <f t="shared" si="423"/>
        <v>0</v>
      </c>
      <c r="BV96" s="545">
        <f t="shared" si="423"/>
        <v>0</v>
      </c>
      <c r="BW96" s="545">
        <f t="shared" si="423"/>
        <v>0</v>
      </c>
      <c r="BX96" s="545">
        <f t="shared" si="423"/>
        <v>0</v>
      </c>
      <c r="BY96" s="545"/>
      <c r="BZ96" s="545"/>
      <c r="CA96" s="545">
        <f t="shared" ref="CA96:CH96" si="424">IF(CA16="Orlov",0,CA27*CA14)</f>
        <v>0</v>
      </c>
      <c r="CB96" s="545">
        <f t="shared" si="424"/>
        <v>0</v>
      </c>
      <c r="CC96" s="545">
        <f t="shared" si="424"/>
        <v>0</v>
      </c>
      <c r="CD96" s="545">
        <f t="shared" si="424"/>
        <v>0</v>
      </c>
      <c r="CE96" s="545">
        <f t="shared" si="424"/>
        <v>0</v>
      </c>
      <c r="CF96" s="545">
        <f t="shared" si="424"/>
        <v>0</v>
      </c>
      <c r="CG96" s="545">
        <f t="shared" si="424"/>
        <v>0</v>
      </c>
      <c r="CH96" s="545">
        <f t="shared" si="424"/>
        <v>0</v>
      </c>
      <c r="CI96" s="545"/>
      <c r="CJ96" s="545"/>
      <c r="CK96" s="545">
        <f t="shared" ref="CK96:CU96" si="425">IF(CK16="Orlov",0,CK27*CK14)</f>
        <v>0</v>
      </c>
      <c r="CL96" s="545">
        <f t="shared" si="425"/>
        <v>0</v>
      </c>
      <c r="CM96" s="545">
        <f t="shared" si="425"/>
        <v>0</v>
      </c>
      <c r="CN96" s="545">
        <f t="shared" si="425"/>
        <v>0</v>
      </c>
      <c r="CO96" s="545">
        <f t="shared" si="425"/>
        <v>0</v>
      </c>
      <c r="CP96" s="545">
        <f t="shared" si="425"/>
        <v>0</v>
      </c>
      <c r="CQ96" s="545">
        <f t="shared" si="425"/>
        <v>0</v>
      </c>
      <c r="CR96" s="545">
        <f t="shared" si="425"/>
        <v>0</v>
      </c>
      <c r="CS96" s="545">
        <f t="shared" si="425"/>
        <v>0</v>
      </c>
      <c r="CT96" s="545">
        <f t="shared" si="425"/>
        <v>0</v>
      </c>
      <c r="CU96" s="545">
        <f t="shared" si="425"/>
        <v>0</v>
      </c>
      <c r="CV96" s="545"/>
      <c r="CW96" s="545"/>
      <c r="CX96" s="545">
        <f>IF(CX16="Orlov",0,CX27*CX14)</f>
        <v>0</v>
      </c>
      <c r="CY96" s="545">
        <f>IF(CY16="Orlov",0,CY27*CY14)</f>
        <v>0</v>
      </c>
      <c r="CZ96" s="545">
        <f>IF(CZ16="Orlov",0,CZ27*CZ14)</f>
        <v>0</v>
      </c>
      <c r="DA96" s="545">
        <f>IF(DA16="Orlov",0,DA27*DA14)</f>
        <v>0</v>
      </c>
      <c r="DB96" s="545">
        <f>IF(DB16="Orlov",0,DB27*DB14)</f>
        <v>0</v>
      </c>
      <c r="DC96" s="545"/>
      <c r="DD96" s="545"/>
    </row>
    <row r="97" spans="1:108" ht="13" hidden="1" customHeight="1">
      <c r="A97" s="575"/>
      <c r="B97" s="545" t="s">
        <v>762</v>
      </c>
      <c r="C97" s="545">
        <f>IF(C16="orlov",0,C27*C14)</f>
        <v>0</v>
      </c>
      <c r="D97" s="545">
        <f>IF(D16="orlov",0,D27*D14)</f>
        <v>0</v>
      </c>
      <c r="E97" s="545"/>
      <c r="F97" s="545"/>
      <c r="G97" s="545"/>
      <c r="H97" s="545"/>
      <c r="I97" s="545"/>
      <c r="J97" s="545"/>
      <c r="K97" s="545"/>
      <c r="L97" s="545"/>
      <c r="M97" s="545"/>
      <c r="N97" s="545"/>
      <c r="O97" s="545"/>
      <c r="P97" s="545"/>
      <c r="Q97" s="545"/>
      <c r="R97" s="545"/>
      <c r="S97" s="545"/>
      <c r="T97" s="545"/>
      <c r="U97" s="545"/>
      <c r="V97" s="545"/>
      <c r="W97" s="545"/>
      <c r="X97" s="545">
        <f>IF(X16="orlov",0,X27*X14)</f>
        <v>0</v>
      </c>
      <c r="Y97" s="545">
        <f>IF(Y16="orlov",0,Y27*Y14)</f>
        <v>0</v>
      </c>
      <c r="Z97" s="545">
        <f>IF(Z16="orlov",0,Z27*Z14)</f>
        <v>0</v>
      </c>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5"/>
      <c r="BQ97" s="545"/>
      <c r="BR97" s="545"/>
      <c r="BS97" s="545"/>
      <c r="BT97" s="545"/>
      <c r="BU97" s="545"/>
      <c r="BV97" s="545"/>
      <c r="BW97" s="545"/>
      <c r="BX97" s="545"/>
      <c r="BY97" s="545"/>
      <c r="BZ97" s="545"/>
      <c r="CA97" s="545"/>
      <c r="CB97" s="545"/>
      <c r="CC97" s="545"/>
      <c r="CD97" s="545"/>
      <c r="CE97" s="545"/>
      <c r="CF97" s="545"/>
      <c r="CG97" s="545"/>
      <c r="CH97" s="545"/>
      <c r="CI97" s="545"/>
      <c r="CJ97" s="545"/>
      <c r="CK97" s="545"/>
      <c r="CL97" s="545"/>
      <c r="CM97" s="545"/>
      <c r="CN97" s="545"/>
      <c r="CO97" s="545"/>
      <c r="CP97" s="545"/>
      <c r="CQ97" s="545"/>
      <c r="CR97" s="545"/>
      <c r="CS97" s="545"/>
      <c r="CT97" s="545"/>
      <c r="CU97" s="545"/>
      <c r="CV97" s="545"/>
      <c r="CW97" s="545"/>
      <c r="CX97" s="545"/>
      <c r="CY97" s="545"/>
      <c r="CZ97" s="545"/>
      <c r="DA97" s="545"/>
      <c r="DB97" s="545"/>
      <c r="DC97" s="545"/>
      <c r="DD97" s="545"/>
    </row>
    <row r="98" spans="1:108" ht="13" hidden="1" customHeight="1">
      <c r="A98" s="575"/>
      <c r="B98" s="545" t="s">
        <v>621</v>
      </c>
      <c r="C98" s="545"/>
      <c r="D98" s="545"/>
      <c r="E98" s="545"/>
      <c r="F98" s="545"/>
      <c r="G98" s="545"/>
      <c r="H98" s="545"/>
      <c r="I98" s="545"/>
      <c r="J98" s="545"/>
      <c r="K98" s="545"/>
      <c r="L98" s="545"/>
      <c r="M98" s="545"/>
      <c r="N98" s="545"/>
      <c r="O98" s="545"/>
      <c r="P98" s="545"/>
      <c r="Q98" s="545"/>
      <c r="R98" s="545"/>
      <c r="S98" s="545"/>
      <c r="T98" s="545"/>
      <c r="U98" s="545"/>
      <c r="V98" s="545">
        <f>V26*V14</f>
        <v>0</v>
      </c>
      <c r="W98" s="545">
        <f>W26*W14</f>
        <v>0</v>
      </c>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f>AZ26*AZ14</f>
        <v>0</v>
      </c>
      <c r="BA98" s="545">
        <f>BA26*BA14</f>
        <v>0</v>
      </c>
      <c r="BB98" s="545"/>
      <c r="BC98" s="545"/>
      <c r="BD98" s="545"/>
      <c r="BE98" s="545"/>
      <c r="BF98" s="545"/>
      <c r="BG98" s="545"/>
      <c r="BH98" s="545"/>
      <c r="BI98" s="545"/>
      <c r="BJ98" s="545"/>
      <c r="BK98" s="545"/>
      <c r="BL98" s="545"/>
      <c r="BM98" s="545">
        <f>BM26*BM14</f>
        <v>0</v>
      </c>
      <c r="BN98" s="545">
        <f>BN26*BN14</f>
        <v>0</v>
      </c>
      <c r="BO98" s="545"/>
      <c r="BP98" s="545"/>
      <c r="BQ98" s="545"/>
      <c r="BR98" s="545"/>
      <c r="BS98" s="545"/>
      <c r="BT98" s="545"/>
      <c r="BU98" s="545"/>
      <c r="BV98" s="545"/>
      <c r="BW98" s="545"/>
      <c r="BX98" s="545"/>
      <c r="BY98" s="545">
        <f>BY26*BY14</f>
        <v>0</v>
      </c>
      <c r="BZ98" s="545">
        <f>BZ26*BZ14</f>
        <v>0</v>
      </c>
      <c r="CA98" s="545"/>
      <c r="CB98" s="545"/>
      <c r="CC98" s="545"/>
      <c r="CD98" s="545"/>
      <c r="CE98" s="545"/>
      <c r="CF98" s="545"/>
      <c r="CG98" s="545"/>
      <c r="CH98" s="545"/>
      <c r="CI98" s="545">
        <f>CI26*CI14</f>
        <v>0</v>
      </c>
      <c r="CJ98" s="545">
        <f>CJ26*CJ14</f>
        <v>0</v>
      </c>
      <c r="CK98" s="545"/>
      <c r="CL98" s="545"/>
      <c r="CM98" s="545"/>
      <c r="CN98" s="545"/>
      <c r="CO98" s="545"/>
      <c r="CP98" s="545"/>
      <c r="CQ98" s="545"/>
      <c r="CR98" s="545"/>
      <c r="CS98" s="545"/>
      <c r="CT98" s="545"/>
      <c r="CU98" s="545"/>
      <c r="CV98" s="545">
        <f>CV26*CV14</f>
        <v>0</v>
      </c>
      <c r="CW98" s="545">
        <f>CW26*CW14</f>
        <v>0</v>
      </c>
      <c r="CX98" s="545"/>
      <c r="CY98" s="545"/>
      <c r="CZ98" s="545"/>
      <c r="DA98" s="545"/>
      <c r="DB98" s="545"/>
      <c r="DC98" s="545">
        <f>DC26*DC14</f>
        <v>0</v>
      </c>
      <c r="DD98" s="545">
        <f>DD26*DD14</f>
        <v>0</v>
      </c>
    </row>
    <row r="99" spans="1:108" ht="13" hidden="1" customHeight="1">
      <c r="A99" s="575"/>
      <c r="B99" s="545" t="s">
        <v>763</v>
      </c>
      <c r="C99" s="545">
        <f>IF(C16="Orlov",0,(C28*C12)+(C28*C13))</f>
        <v>0</v>
      </c>
      <c r="D99" s="545">
        <f>IF(D16="Orlov",0,D28*D12+D28*D13)</f>
        <v>0</v>
      </c>
      <c r="E99" s="545">
        <f t="shared" ref="E99:BB99" si="426">IF(E16="Orlov",0,E28*E14)</f>
        <v>0</v>
      </c>
      <c r="F99" s="545">
        <f t="shared" ref="F99" si="427">IF(F16="Orlov",0,F28*F14)</f>
        <v>0</v>
      </c>
      <c r="G99" s="545">
        <f t="shared" si="426"/>
        <v>0</v>
      </c>
      <c r="H99" s="545">
        <f t="shared" si="426"/>
        <v>0</v>
      </c>
      <c r="I99" s="545">
        <f t="shared" ref="I99" si="428">IF(I16="Orlov",0,I28*I14)</f>
        <v>0</v>
      </c>
      <c r="J99" s="545">
        <f t="shared" si="426"/>
        <v>0</v>
      </c>
      <c r="K99" s="545">
        <f t="shared" si="426"/>
        <v>0</v>
      </c>
      <c r="L99" s="545">
        <f t="shared" si="426"/>
        <v>0</v>
      </c>
      <c r="M99" s="545">
        <f t="shared" si="426"/>
        <v>0</v>
      </c>
      <c r="N99" s="545">
        <f t="shared" si="426"/>
        <v>0</v>
      </c>
      <c r="O99" s="545">
        <f t="shared" si="426"/>
        <v>0</v>
      </c>
      <c r="P99" s="545">
        <f t="shared" si="426"/>
        <v>0</v>
      </c>
      <c r="Q99" s="545">
        <f t="shared" si="426"/>
        <v>0</v>
      </c>
      <c r="R99" s="545">
        <f t="shared" si="426"/>
        <v>0</v>
      </c>
      <c r="S99" s="545">
        <f t="shared" si="426"/>
        <v>0</v>
      </c>
      <c r="T99" s="545">
        <f t="shared" si="426"/>
        <v>0</v>
      </c>
      <c r="U99" s="545">
        <f t="shared" si="426"/>
        <v>0</v>
      </c>
      <c r="V99" s="545">
        <f t="shared" si="426"/>
        <v>0</v>
      </c>
      <c r="W99" s="545">
        <f t="shared" si="426"/>
        <v>0</v>
      </c>
      <c r="X99" s="545">
        <f t="shared" si="426"/>
        <v>0</v>
      </c>
      <c r="Y99" s="545">
        <f t="shared" ref="Y99" si="429">IF(Y16="Orlov",0,Y28*Y14)</f>
        <v>0</v>
      </c>
      <c r="Z99" s="545">
        <f t="shared" si="426"/>
        <v>0</v>
      </c>
      <c r="AA99" s="545">
        <f t="shared" si="426"/>
        <v>0</v>
      </c>
      <c r="AB99" s="545">
        <f t="shared" si="426"/>
        <v>0</v>
      </c>
      <c r="AC99" s="545">
        <f t="shared" si="426"/>
        <v>0</v>
      </c>
      <c r="AD99" s="545">
        <f t="shared" si="426"/>
        <v>0</v>
      </c>
      <c r="AE99" s="545">
        <f t="shared" ref="AE99" si="430">IF(AE16="Orlov",0,AE28*AE14)</f>
        <v>0</v>
      </c>
      <c r="AF99" s="545">
        <f t="shared" si="426"/>
        <v>0</v>
      </c>
      <c r="AG99" s="545">
        <f t="shared" si="426"/>
        <v>0</v>
      </c>
      <c r="AH99" s="545">
        <f t="shared" si="426"/>
        <v>0</v>
      </c>
      <c r="AI99" s="545">
        <f t="shared" si="426"/>
        <v>0</v>
      </c>
      <c r="AJ99" s="545">
        <f t="shared" si="426"/>
        <v>0</v>
      </c>
      <c r="AK99" s="545">
        <f t="shared" ref="AK99:AN99" si="431">IF(AK16="Orlov",0,AK28*AK14)</f>
        <v>0</v>
      </c>
      <c r="AL99" s="545">
        <f t="shared" si="431"/>
        <v>0</v>
      </c>
      <c r="AM99" s="545">
        <f t="shared" si="431"/>
        <v>0</v>
      </c>
      <c r="AN99" s="545">
        <f t="shared" si="431"/>
        <v>0</v>
      </c>
      <c r="AO99" s="545">
        <f t="shared" ref="AO99:AY99" si="432">IF(AO16="Orlov",0,AO28*AO14)</f>
        <v>0</v>
      </c>
      <c r="AP99" s="545">
        <f t="shared" si="432"/>
        <v>0</v>
      </c>
      <c r="AQ99" s="545">
        <f t="shared" si="432"/>
        <v>0</v>
      </c>
      <c r="AR99" s="545">
        <f t="shared" si="432"/>
        <v>0</v>
      </c>
      <c r="AS99" s="545">
        <f t="shared" si="432"/>
        <v>0</v>
      </c>
      <c r="AT99" s="545">
        <f t="shared" si="432"/>
        <v>0</v>
      </c>
      <c r="AU99" s="545">
        <f t="shared" si="432"/>
        <v>0</v>
      </c>
      <c r="AV99" s="545">
        <f t="shared" si="432"/>
        <v>0</v>
      </c>
      <c r="AW99" s="545">
        <f t="shared" si="432"/>
        <v>0</v>
      </c>
      <c r="AX99" s="545">
        <f t="shared" si="432"/>
        <v>0</v>
      </c>
      <c r="AY99" s="545">
        <f t="shared" si="432"/>
        <v>0</v>
      </c>
      <c r="AZ99" s="545">
        <f t="shared" si="426"/>
        <v>0</v>
      </c>
      <c r="BA99" s="545">
        <f t="shared" si="426"/>
        <v>0</v>
      </c>
      <c r="BB99" s="545">
        <f t="shared" si="426"/>
        <v>0</v>
      </c>
      <c r="BC99" s="545">
        <f t="shared" ref="BC99" si="433">IF(BC16="Orlov",0,BC28*BC14)</f>
        <v>0</v>
      </c>
      <c r="BD99" s="545">
        <f t="shared" ref="BD99:CM99" si="434">IF(BD16="Orlov",0,BD28*BD14)</f>
        <v>0</v>
      </c>
      <c r="BE99" s="545">
        <f t="shared" si="434"/>
        <v>0</v>
      </c>
      <c r="BF99" s="545">
        <f t="shared" si="434"/>
        <v>0</v>
      </c>
      <c r="BG99" s="545">
        <f t="shared" si="434"/>
        <v>0</v>
      </c>
      <c r="BH99" s="545">
        <f t="shared" si="434"/>
        <v>0</v>
      </c>
      <c r="BI99" s="545">
        <f t="shared" si="434"/>
        <v>0</v>
      </c>
      <c r="BJ99" s="545">
        <f t="shared" si="434"/>
        <v>0</v>
      </c>
      <c r="BK99" s="545">
        <f t="shared" si="434"/>
        <v>0</v>
      </c>
      <c r="BL99" s="545">
        <f t="shared" si="434"/>
        <v>0</v>
      </c>
      <c r="BM99" s="545">
        <f t="shared" si="434"/>
        <v>0</v>
      </c>
      <c r="BN99" s="545">
        <f t="shared" si="434"/>
        <v>0</v>
      </c>
      <c r="BO99" s="545">
        <f t="shared" si="434"/>
        <v>0</v>
      </c>
      <c r="BP99" s="545">
        <f t="shared" si="434"/>
        <v>0</v>
      </c>
      <c r="BQ99" s="545">
        <f t="shared" si="434"/>
        <v>0</v>
      </c>
      <c r="BR99" s="545">
        <f t="shared" si="434"/>
        <v>0</v>
      </c>
      <c r="BS99" s="545">
        <f t="shared" si="434"/>
        <v>0</v>
      </c>
      <c r="BT99" s="545">
        <f t="shared" si="434"/>
        <v>0</v>
      </c>
      <c r="BU99" s="545">
        <f t="shared" si="434"/>
        <v>0</v>
      </c>
      <c r="BV99" s="545">
        <f t="shared" si="434"/>
        <v>0</v>
      </c>
      <c r="BW99" s="545">
        <f t="shared" si="434"/>
        <v>0</v>
      </c>
      <c r="BX99" s="545">
        <f t="shared" si="434"/>
        <v>0</v>
      </c>
      <c r="BY99" s="545">
        <f t="shared" si="434"/>
        <v>0</v>
      </c>
      <c r="BZ99" s="545">
        <f t="shared" si="434"/>
        <v>0</v>
      </c>
      <c r="CA99" s="545">
        <f t="shared" si="434"/>
        <v>0</v>
      </c>
      <c r="CB99" s="545">
        <f t="shared" si="434"/>
        <v>0</v>
      </c>
      <c r="CC99" s="545">
        <f t="shared" si="434"/>
        <v>0</v>
      </c>
      <c r="CD99" s="545">
        <f t="shared" ref="CD99" si="435">IF(CD16="Orlov",0,CD28*CD14)</f>
        <v>0</v>
      </c>
      <c r="CE99" s="545">
        <f t="shared" si="434"/>
        <v>0</v>
      </c>
      <c r="CF99" s="545">
        <f t="shared" ref="CF99:CG99" si="436">IF(CF16="Orlov",0,CF28*CF14)</f>
        <v>0</v>
      </c>
      <c r="CG99" s="545">
        <f t="shared" si="436"/>
        <v>0</v>
      </c>
      <c r="CH99" s="545">
        <f t="shared" si="434"/>
        <v>0</v>
      </c>
      <c r="CI99" s="545">
        <f t="shared" si="434"/>
        <v>0</v>
      </c>
      <c r="CJ99" s="545">
        <f t="shared" si="434"/>
        <v>0</v>
      </c>
      <c r="CK99" s="545">
        <f t="shared" si="434"/>
        <v>0</v>
      </c>
      <c r="CL99" s="545">
        <f t="shared" si="434"/>
        <v>0</v>
      </c>
      <c r="CM99" s="545">
        <f t="shared" si="434"/>
        <v>0</v>
      </c>
      <c r="CN99" s="545">
        <f t="shared" ref="CN99:DD99" si="437">IF(CN16="Orlov",0,CN28*CN14)</f>
        <v>0</v>
      </c>
      <c r="CO99" s="545">
        <f t="shared" si="437"/>
        <v>0</v>
      </c>
      <c r="CP99" s="545">
        <f t="shared" si="437"/>
        <v>0</v>
      </c>
      <c r="CQ99" s="545">
        <f t="shared" si="437"/>
        <v>0</v>
      </c>
      <c r="CR99" s="545">
        <f t="shared" si="437"/>
        <v>0</v>
      </c>
      <c r="CS99" s="545">
        <f t="shared" si="437"/>
        <v>0</v>
      </c>
      <c r="CT99" s="545">
        <f t="shared" si="437"/>
        <v>0</v>
      </c>
      <c r="CU99" s="545">
        <f t="shared" si="437"/>
        <v>0</v>
      </c>
      <c r="CV99" s="545">
        <f t="shared" si="437"/>
        <v>0</v>
      </c>
      <c r="CW99" s="545">
        <f t="shared" si="437"/>
        <v>0</v>
      </c>
      <c r="CX99" s="545">
        <f t="shared" si="437"/>
        <v>0</v>
      </c>
      <c r="CY99" s="545">
        <f t="shared" si="437"/>
        <v>0</v>
      </c>
      <c r="CZ99" s="545">
        <f t="shared" si="437"/>
        <v>0</v>
      </c>
      <c r="DA99" s="545">
        <f t="shared" si="437"/>
        <v>0</v>
      </c>
      <c r="DB99" s="545">
        <f t="shared" si="437"/>
        <v>0</v>
      </c>
      <c r="DC99" s="545">
        <f t="shared" si="437"/>
        <v>0</v>
      </c>
      <c r="DD99" s="545">
        <f t="shared" si="437"/>
        <v>0</v>
      </c>
    </row>
    <row r="100" spans="1:108" ht="13" hidden="1" customHeight="1">
      <c r="A100" s="575"/>
      <c r="B100" s="545" t="s">
        <v>692</v>
      </c>
      <c r="C100" s="545">
        <f t="shared" ref="C100:AZ100" si="438">IF(C16="Orlov",0,C30*C14)</f>
        <v>0</v>
      </c>
      <c r="D100" s="545">
        <f t="shared" si="438"/>
        <v>0</v>
      </c>
      <c r="E100" s="545">
        <f t="shared" si="438"/>
        <v>0</v>
      </c>
      <c r="F100" s="545">
        <f t="shared" ref="F100" si="439">IF(F16="Orlov",0,F30*F14)</f>
        <v>0</v>
      </c>
      <c r="G100" s="545">
        <f t="shared" si="438"/>
        <v>0</v>
      </c>
      <c r="H100" s="545">
        <f t="shared" si="438"/>
        <v>0</v>
      </c>
      <c r="I100" s="545">
        <f t="shared" ref="I100" si="440">IF(I16="Orlov",0,I30*I14)</f>
        <v>0</v>
      </c>
      <c r="J100" s="545">
        <f t="shared" si="438"/>
        <v>0</v>
      </c>
      <c r="K100" s="545">
        <f t="shared" si="438"/>
        <v>0</v>
      </c>
      <c r="L100" s="545">
        <f t="shared" si="438"/>
        <v>0</v>
      </c>
      <c r="M100" s="545">
        <f t="shared" si="438"/>
        <v>0</v>
      </c>
      <c r="N100" s="545">
        <f t="shared" si="438"/>
        <v>0</v>
      </c>
      <c r="O100" s="545">
        <f t="shared" si="438"/>
        <v>0</v>
      </c>
      <c r="P100" s="545">
        <f t="shared" si="438"/>
        <v>0</v>
      </c>
      <c r="Q100" s="545">
        <f t="shared" si="438"/>
        <v>0</v>
      </c>
      <c r="R100" s="545">
        <f t="shared" si="438"/>
        <v>0</v>
      </c>
      <c r="S100" s="545">
        <f t="shared" si="438"/>
        <v>0</v>
      </c>
      <c r="T100" s="545">
        <f t="shared" si="438"/>
        <v>0</v>
      </c>
      <c r="U100" s="545">
        <f t="shared" si="438"/>
        <v>0</v>
      </c>
      <c r="V100" s="545">
        <f t="shared" si="438"/>
        <v>0</v>
      </c>
      <c r="W100" s="545">
        <f t="shared" si="438"/>
        <v>0</v>
      </c>
      <c r="X100" s="545">
        <f t="shared" si="438"/>
        <v>0</v>
      </c>
      <c r="Y100" s="545">
        <f t="shared" ref="Y100" si="441">IF(Y16="Orlov",0,Y30*Y14)</f>
        <v>0</v>
      </c>
      <c r="Z100" s="545">
        <f t="shared" si="438"/>
        <v>0</v>
      </c>
      <c r="AA100" s="545">
        <f t="shared" si="438"/>
        <v>0</v>
      </c>
      <c r="AB100" s="545">
        <f t="shared" si="438"/>
        <v>0</v>
      </c>
      <c r="AC100" s="545">
        <f t="shared" si="438"/>
        <v>0</v>
      </c>
      <c r="AD100" s="545">
        <f t="shared" si="438"/>
        <v>0</v>
      </c>
      <c r="AE100" s="545">
        <f t="shared" ref="AE100" si="442">IF(AE16="Orlov",0,AE30*AE14)</f>
        <v>0</v>
      </c>
      <c r="AF100" s="545">
        <f t="shared" si="438"/>
        <v>0</v>
      </c>
      <c r="AG100" s="545">
        <f t="shared" si="438"/>
        <v>0</v>
      </c>
      <c r="AH100" s="545">
        <f t="shared" si="438"/>
        <v>0</v>
      </c>
      <c r="AI100" s="545">
        <f t="shared" si="438"/>
        <v>0</v>
      </c>
      <c r="AJ100" s="545">
        <f t="shared" si="438"/>
        <v>0</v>
      </c>
      <c r="AK100" s="545">
        <f t="shared" ref="AK100:AN100" si="443">IF(AK16="Orlov",0,AK30*AK14)</f>
        <v>0</v>
      </c>
      <c r="AL100" s="545">
        <f t="shared" si="443"/>
        <v>0</v>
      </c>
      <c r="AM100" s="545">
        <f t="shared" si="443"/>
        <v>0</v>
      </c>
      <c r="AN100" s="545">
        <f t="shared" si="443"/>
        <v>0</v>
      </c>
      <c r="AO100" s="545">
        <f t="shared" ref="AO100:AY100" si="444">IF(AO16="Orlov",0,AO30*AO14)</f>
        <v>0</v>
      </c>
      <c r="AP100" s="545">
        <f t="shared" si="444"/>
        <v>0</v>
      </c>
      <c r="AQ100" s="545">
        <f t="shared" si="444"/>
        <v>0</v>
      </c>
      <c r="AR100" s="545">
        <f t="shared" si="444"/>
        <v>0</v>
      </c>
      <c r="AS100" s="545">
        <f t="shared" si="444"/>
        <v>0</v>
      </c>
      <c r="AT100" s="545">
        <f t="shared" si="444"/>
        <v>0</v>
      </c>
      <c r="AU100" s="545">
        <f t="shared" si="444"/>
        <v>0</v>
      </c>
      <c r="AV100" s="545">
        <f t="shared" si="444"/>
        <v>0</v>
      </c>
      <c r="AW100" s="545">
        <f t="shared" si="444"/>
        <v>0</v>
      </c>
      <c r="AX100" s="545">
        <f t="shared" si="444"/>
        <v>0</v>
      </c>
      <c r="AY100" s="545">
        <f t="shared" si="444"/>
        <v>0</v>
      </c>
      <c r="AZ100" s="545">
        <f t="shared" si="438"/>
        <v>0</v>
      </c>
      <c r="BA100" s="545">
        <f t="shared" ref="BA100:CL100" si="445">IF(BA16="Orlov",0,BA30*BA14)</f>
        <v>0</v>
      </c>
      <c r="BB100" s="545">
        <f t="shared" si="445"/>
        <v>0</v>
      </c>
      <c r="BC100" s="545">
        <f t="shared" ref="BC100" si="446">IF(BC16="Orlov",0,BC30*BC14)</f>
        <v>0</v>
      </c>
      <c r="BD100" s="545">
        <f t="shared" si="445"/>
        <v>0</v>
      </c>
      <c r="BE100" s="545">
        <f t="shared" si="445"/>
        <v>0</v>
      </c>
      <c r="BF100" s="545">
        <f t="shared" si="445"/>
        <v>0</v>
      </c>
      <c r="BG100" s="545">
        <f t="shared" si="445"/>
        <v>0</v>
      </c>
      <c r="BH100" s="545">
        <f t="shared" si="445"/>
        <v>0</v>
      </c>
      <c r="BI100" s="545">
        <f t="shared" si="445"/>
        <v>0</v>
      </c>
      <c r="BJ100" s="545">
        <f t="shared" si="445"/>
        <v>0</v>
      </c>
      <c r="BK100" s="545">
        <f t="shared" si="445"/>
        <v>0</v>
      </c>
      <c r="BL100" s="545">
        <f t="shared" si="445"/>
        <v>0</v>
      </c>
      <c r="BM100" s="545">
        <f t="shared" si="445"/>
        <v>0</v>
      </c>
      <c r="BN100" s="545">
        <f t="shared" si="445"/>
        <v>0</v>
      </c>
      <c r="BO100" s="545">
        <f t="shared" si="445"/>
        <v>0</v>
      </c>
      <c r="BP100" s="545">
        <f t="shared" si="445"/>
        <v>0</v>
      </c>
      <c r="BQ100" s="545">
        <f t="shared" si="445"/>
        <v>0</v>
      </c>
      <c r="BR100" s="545">
        <f t="shared" si="445"/>
        <v>0</v>
      </c>
      <c r="BS100" s="545">
        <f t="shared" si="445"/>
        <v>0</v>
      </c>
      <c r="BT100" s="545">
        <f t="shared" si="445"/>
        <v>0</v>
      </c>
      <c r="BU100" s="545">
        <f t="shared" si="445"/>
        <v>0</v>
      </c>
      <c r="BV100" s="545">
        <f t="shared" si="445"/>
        <v>0</v>
      </c>
      <c r="BW100" s="545">
        <f t="shared" si="445"/>
        <v>0</v>
      </c>
      <c r="BX100" s="545">
        <f t="shared" si="445"/>
        <v>0</v>
      </c>
      <c r="BY100" s="545">
        <f t="shared" si="445"/>
        <v>0</v>
      </c>
      <c r="BZ100" s="545">
        <f t="shared" si="445"/>
        <v>0</v>
      </c>
      <c r="CA100" s="545">
        <f t="shared" si="445"/>
        <v>0</v>
      </c>
      <c r="CB100" s="545">
        <f t="shared" si="445"/>
        <v>0</v>
      </c>
      <c r="CC100" s="545">
        <f t="shared" si="445"/>
        <v>0</v>
      </c>
      <c r="CD100" s="545">
        <f t="shared" ref="CD100" si="447">IF(CD16="Orlov",0,CD30*CD14)</f>
        <v>0</v>
      </c>
      <c r="CE100" s="545">
        <f t="shared" si="445"/>
        <v>0</v>
      </c>
      <c r="CF100" s="545">
        <f t="shared" ref="CF100:CG100" si="448">IF(CF16="Orlov",0,CF30*CF14)</f>
        <v>0</v>
      </c>
      <c r="CG100" s="545">
        <f t="shared" si="448"/>
        <v>0</v>
      </c>
      <c r="CH100" s="545">
        <f t="shared" si="445"/>
        <v>0</v>
      </c>
      <c r="CI100" s="545">
        <f t="shared" si="445"/>
        <v>0</v>
      </c>
      <c r="CJ100" s="545">
        <f t="shared" si="445"/>
        <v>0</v>
      </c>
      <c r="CK100" s="545">
        <f t="shared" si="445"/>
        <v>0</v>
      </c>
      <c r="CL100" s="545">
        <f t="shared" si="445"/>
        <v>0</v>
      </c>
      <c r="CM100" s="545"/>
      <c r="CN100" s="545"/>
      <c r="CO100" s="545"/>
      <c r="CP100" s="545"/>
      <c r="CQ100" s="545"/>
      <c r="CR100" s="545"/>
      <c r="CS100" s="545"/>
      <c r="CT100" s="545"/>
      <c r="CU100" s="545"/>
      <c r="CV100" s="545"/>
      <c r="CW100" s="545"/>
      <c r="CX100" s="545"/>
      <c r="CY100" s="545"/>
      <c r="CZ100" s="545"/>
      <c r="DA100" s="545"/>
      <c r="DB100" s="545"/>
      <c r="DC100" s="545"/>
      <c r="DD100" s="545"/>
    </row>
    <row r="101" spans="1:108" ht="13" hidden="1" customHeight="1">
      <c r="A101" s="575"/>
      <c r="B101" s="545" t="s">
        <v>626</v>
      </c>
      <c r="C101" s="545">
        <f>IF(C16="Orlov",0,(C31+C34)*C22/12*C14)</f>
        <v>0</v>
      </c>
      <c r="D101" s="545">
        <f>IF(D16="Orlov",0,D31*D22/12*D14)</f>
        <v>0</v>
      </c>
      <c r="E101" s="545">
        <f t="shared" ref="E101:BB101" si="449">IF(E16="Orlov",0,(E31+E34)*E22/12*E14)</f>
        <v>0</v>
      </c>
      <c r="F101" s="545">
        <f t="shared" ref="F101" si="450">IF(F16="Orlov",0,(F31+F34)*F22/12*F14)</f>
        <v>0</v>
      </c>
      <c r="G101" s="545">
        <f t="shared" si="449"/>
        <v>0</v>
      </c>
      <c r="H101" s="545">
        <f t="shared" si="449"/>
        <v>0</v>
      </c>
      <c r="I101" s="545">
        <f t="shared" ref="I101" si="451">IF(I16="Orlov",0,(I31+I34)*I22/12*I14)</f>
        <v>0</v>
      </c>
      <c r="J101" s="545">
        <f t="shared" si="449"/>
        <v>0</v>
      </c>
      <c r="K101" s="545">
        <f t="shared" si="449"/>
        <v>0</v>
      </c>
      <c r="L101" s="545">
        <f t="shared" si="449"/>
        <v>0</v>
      </c>
      <c r="M101" s="545">
        <f t="shared" si="449"/>
        <v>0</v>
      </c>
      <c r="N101" s="545">
        <f t="shared" si="449"/>
        <v>0</v>
      </c>
      <c r="O101" s="545">
        <f t="shared" si="449"/>
        <v>0</v>
      </c>
      <c r="P101" s="545">
        <f t="shared" si="449"/>
        <v>0</v>
      </c>
      <c r="Q101" s="545">
        <f t="shared" si="449"/>
        <v>0</v>
      </c>
      <c r="R101" s="545">
        <f t="shared" si="449"/>
        <v>0</v>
      </c>
      <c r="S101" s="545">
        <f t="shared" si="449"/>
        <v>0</v>
      </c>
      <c r="T101" s="545">
        <f t="shared" si="449"/>
        <v>0</v>
      </c>
      <c r="U101" s="545">
        <f t="shared" si="449"/>
        <v>0</v>
      </c>
      <c r="V101" s="545">
        <f t="shared" si="449"/>
        <v>0</v>
      </c>
      <c r="W101" s="545">
        <f t="shared" si="449"/>
        <v>0</v>
      </c>
      <c r="X101" s="545">
        <f t="shared" si="449"/>
        <v>0</v>
      </c>
      <c r="Y101" s="545">
        <f t="shared" ref="Y101" si="452">IF(Y16="Orlov",0,(Y31+Y34)*Y22/12*Y14)</f>
        <v>0</v>
      </c>
      <c r="Z101" s="545">
        <f t="shared" si="449"/>
        <v>0</v>
      </c>
      <c r="AA101" s="545">
        <f t="shared" si="449"/>
        <v>0</v>
      </c>
      <c r="AB101" s="545">
        <f t="shared" si="449"/>
        <v>0</v>
      </c>
      <c r="AC101" s="545">
        <f t="shared" si="449"/>
        <v>0</v>
      </c>
      <c r="AD101" s="545">
        <f t="shared" si="449"/>
        <v>0</v>
      </c>
      <c r="AE101" s="545">
        <f t="shared" ref="AE101" si="453">IF(AE16="Orlov",0,(AE31+AE34)*AE22/12*AE14)</f>
        <v>0</v>
      </c>
      <c r="AF101" s="545">
        <f t="shared" si="449"/>
        <v>0</v>
      </c>
      <c r="AG101" s="545">
        <f t="shared" si="449"/>
        <v>0</v>
      </c>
      <c r="AH101" s="545">
        <f t="shared" si="449"/>
        <v>0</v>
      </c>
      <c r="AI101" s="545">
        <f t="shared" si="449"/>
        <v>0</v>
      </c>
      <c r="AJ101" s="545">
        <f t="shared" si="449"/>
        <v>0</v>
      </c>
      <c r="AK101" s="545">
        <f t="shared" ref="AK101:AN101" si="454">IF(AK16="Orlov",0,(AK31+AK34)*AK22/12*AK14)</f>
        <v>0</v>
      </c>
      <c r="AL101" s="545">
        <f t="shared" si="454"/>
        <v>0</v>
      </c>
      <c r="AM101" s="545">
        <f t="shared" si="454"/>
        <v>0</v>
      </c>
      <c r="AN101" s="545">
        <f t="shared" si="454"/>
        <v>0</v>
      </c>
      <c r="AO101" s="545">
        <f t="shared" ref="AO101:AY101" si="455">IF(AO16="Orlov",0,(AO31+AO34)*AO22/12*AO14)</f>
        <v>0</v>
      </c>
      <c r="AP101" s="545">
        <f t="shared" si="455"/>
        <v>0</v>
      </c>
      <c r="AQ101" s="545">
        <f t="shared" si="455"/>
        <v>0</v>
      </c>
      <c r="AR101" s="545">
        <f t="shared" si="455"/>
        <v>0</v>
      </c>
      <c r="AS101" s="545">
        <f t="shared" si="455"/>
        <v>0</v>
      </c>
      <c r="AT101" s="545">
        <f t="shared" si="455"/>
        <v>0</v>
      </c>
      <c r="AU101" s="545">
        <f t="shared" si="455"/>
        <v>0</v>
      </c>
      <c r="AV101" s="545">
        <f t="shared" si="455"/>
        <v>0</v>
      </c>
      <c r="AW101" s="545">
        <f t="shared" si="455"/>
        <v>0</v>
      </c>
      <c r="AX101" s="545">
        <f t="shared" si="455"/>
        <v>0</v>
      </c>
      <c r="AY101" s="545">
        <f t="shared" si="455"/>
        <v>0</v>
      </c>
      <c r="AZ101" s="545">
        <f t="shared" si="449"/>
        <v>0</v>
      </c>
      <c r="BA101" s="545">
        <f t="shared" si="449"/>
        <v>0</v>
      </c>
      <c r="BB101" s="545">
        <f t="shared" si="449"/>
        <v>0</v>
      </c>
      <c r="BC101" s="545">
        <f t="shared" ref="BC101" si="456">IF(BC16="Orlov",0,(BC31+BC34)*BC22/12*BC14)</f>
        <v>0</v>
      </c>
      <c r="BD101" s="545">
        <f t="shared" ref="BD101:CM101" si="457">IF(BD16="Orlov",0,(BD31+BD34)*BD22/12*BD14)</f>
        <v>0</v>
      </c>
      <c r="BE101" s="545">
        <f t="shared" si="457"/>
        <v>0</v>
      </c>
      <c r="BF101" s="545">
        <f t="shared" si="457"/>
        <v>0</v>
      </c>
      <c r="BG101" s="545">
        <f t="shared" si="457"/>
        <v>0</v>
      </c>
      <c r="BH101" s="545">
        <f t="shared" si="457"/>
        <v>0</v>
      </c>
      <c r="BI101" s="545">
        <f t="shared" si="457"/>
        <v>0</v>
      </c>
      <c r="BJ101" s="545">
        <f t="shared" si="457"/>
        <v>0</v>
      </c>
      <c r="BK101" s="545">
        <f t="shared" si="457"/>
        <v>0</v>
      </c>
      <c r="BL101" s="545">
        <f t="shared" si="457"/>
        <v>0</v>
      </c>
      <c r="BM101" s="545">
        <f t="shared" si="457"/>
        <v>0</v>
      </c>
      <c r="BN101" s="545">
        <f t="shared" si="457"/>
        <v>0</v>
      </c>
      <c r="BO101" s="545">
        <f t="shared" si="457"/>
        <v>0</v>
      </c>
      <c r="BP101" s="545">
        <f t="shared" si="457"/>
        <v>0</v>
      </c>
      <c r="BQ101" s="545">
        <f t="shared" si="457"/>
        <v>0</v>
      </c>
      <c r="BR101" s="545">
        <f t="shared" si="457"/>
        <v>0</v>
      </c>
      <c r="BS101" s="545">
        <f t="shared" si="457"/>
        <v>0</v>
      </c>
      <c r="BT101" s="545">
        <f t="shared" si="457"/>
        <v>0</v>
      </c>
      <c r="BU101" s="545">
        <f t="shared" si="457"/>
        <v>0</v>
      </c>
      <c r="BV101" s="545">
        <f t="shared" si="457"/>
        <v>0</v>
      </c>
      <c r="BW101" s="545">
        <f t="shared" si="457"/>
        <v>0</v>
      </c>
      <c r="BX101" s="545">
        <f t="shared" si="457"/>
        <v>0</v>
      </c>
      <c r="BY101" s="545">
        <f t="shared" si="457"/>
        <v>0</v>
      </c>
      <c r="BZ101" s="545">
        <f t="shared" si="457"/>
        <v>0</v>
      </c>
      <c r="CA101" s="545">
        <f t="shared" si="457"/>
        <v>0</v>
      </c>
      <c r="CB101" s="545">
        <f t="shared" si="457"/>
        <v>0</v>
      </c>
      <c r="CC101" s="545">
        <f t="shared" si="457"/>
        <v>0</v>
      </c>
      <c r="CD101" s="545">
        <f t="shared" ref="CD101" si="458">IF(CD16="Orlov",0,(CD31+CD34)*CD22/12*CD14)</f>
        <v>0</v>
      </c>
      <c r="CE101" s="545">
        <f t="shared" si="457"/>
        <v>0</v>
      </c>
      <c r="CF101" s="545">
        <f t="shared" ref="CF101:CG101" si="459">IF(CF16="Orlov",0,(CF31+CF34)*CF22/12*CF14)</f>
        <v>0</v>
      </c>
      <c r="CG101" s="545">
        <f t="shared" si="459"/>
        <v>0</v>
      </c>
      <c r="CH101" s="545">
        <f t="shared" si="457"/>
        <v>0</v>
      </c>
      <c r="CI101" s="545">
        <f t="shared" si="457"/>
        <v>0</v>
      </c>
      <c r="CJ101" s="545">
        <f t="shared" si="457"/>
        <v>0</v>
      </c>
      <c r="CK101" s="545">
        <f t="shared" si="457"/>
        <v>0</v>
      </c>
      <c r="CL101" s="545">
        <f t="shared" si="457"/>
        <v>0</v>
      </c>
      <c r="CM101" s="545">
        <f t="shared" si="457"/>
        <v>0</v>
      </c>
      <c r="CN101" s="545">
        <f t="shared" ref="CN101:DD101" si="460">IF(CN16="Orlov",0,(CN31+CN34)*CN22/12*CN14)</f>
        <v>0</v>
      </c>
      <c r="CO101" s="545">
        <f t="shared" si="460"/>
        <v>0</v>
      </c>
      <c r="CP101" s="545">
        <f t="shared" si="460"/>
        <v>0</v>
      </c>
      <c r="CQ101" s="545">
        <f t="shared" si="460"/>
        <v>0</v>
      </c>
      <c r="CR101" s="545">
        <f t="shared" si="460"/>
        <v>0</v>
      </c>
      <c r="CS101" s="545">
        <f t="shared" si="460"/>
        <v>0</v>
      </c>
      <c r="CT101" s="545">
        <f t="shared" si="460"/>
        <v>0</v>
      </c>
      <c r="CU101" s="545">
        <f t="shared" si="460"/>
        <v>0</v>
      </c>
      <c r="CV101" s="545">
        <f t="shared" si="460"/>
        <v>0</v>
      </c>
      <c r="CW101" s="545">
        <f t="shared" si="460"/>
        <v>0</v>
      </c>
      <c r="CX101" s="545">
        <f t="shared" si="460"/>
        <v>0</v>
      </c>
      <c r="CY101" s="545">
        <f t="shared" si="460"/>
        <v>0</v>
      </c>
      <c r="CZ101" s="545">
        <f t="shared" si="460"/>
        <v>0</v>
      </c>
      <c r="DA101" s="545">
        <f t="shared" si="460"/>
        <v>0</v>
      </c>
      <c r="DB101" s="545">
        <f t="shared" si="460"/>
        <v>0</v>
      </c>
      <c r="DC101" s="545">
        <f t="shared" si="460"/>
        <v>0</v>
      </c>
      <c r="DD101" s="545">
        <f t="shared" si="460"/>
        <v>0</v>
      </c>
    </row>
    <row r="102" spans="1:108" ht="13" hidden="1" customHeight="1">
      <c r="A102" s="575"/>
      <c r="B102" s="545" t="s">
        <v>627</v>
      </c>
      <c r="C102" s="545">
        <f>IF(C16="Orlov",0,(C32*C22/12*C14)+(C35+C36+C37)*C22*C24/12*C14)</f>
        <v>0</v>
      </c>
      <c r="D102" s="545">
        <f>IF(D16="Orlov",0,(D32*D22/12*D14)+(D35+D37)*D22*D24/12*D14)</f>
        <v>0</v>
      </c>
      <c r="E102" s="545">
        <f t="shared" ref="E102:BB102" si="461">IF(E16="Orlov",0,(E32*E22/12*E14)+(E35+E36+E37)*E22*E24/12*E14)</f>
        <v>0</v>
      </c>
      <c r="F102" s="545">
        <f t="shared" ref="F102" si="462">IF(F16="Orlov",0,(F32*F22/12*F14)+(F35+F36+F37)*F22*F24/12*F14)</f>
        <v>0</v>
      </c>
      <c r="G102" s="545">
        <f t="shared" si="461"/>
        <v>0</v>
      </c>
      <c r="H102" s="545">
        <f t="shared" si="461"/>
        <v>0</v>
      </c>
      <c r="I102" s="545">
        <f t="shared" ref="I102" si="463">IF(I16="Orlov",0,(I32*I22/12*I14)+(I35+I36+I37)*I22*I24/12*I14)</f>
        <v>0</v>
      </c>
      <c r="J102" s="545">
        <f t="shared" si="461"/>
        <v>0</v>
      </c>
      <c r="K102" s="545">
        <f t="shared" si="461"/>
        <v>0</v>
      </c>
      <c r="L102" s="545">
        <f t="shared" si="461"/>
        <v>0</v>
      </c>
      <c r="M102" s="545">
        <f t="shared" si="461"/>
        <v>0</v>
      </c>
      <c r="N102" s="545">
        <f t="shared" si="461"/>
        <v>0</v>
      </c>
      <c r="O102" s="545">
        <f t="shared" si="461"/>
        <v>0</v>
      </c>
      <c r="P102" s="545">
        <f t="shared" si="461"/>
        <v>0</v>
      </c>
      <c r="Q102" s="545">
        <f t="shared" si="461"/>
        <v>0</v>
      </c>
      <c r="R102" s="545">
        <f t="shared" si="461"/>
        <v>0</v>
      </c>
      <c r="S102" s="545">
        <f t="shared" si="461"/>
        <v>0</v>
      </c>
      <c r="T102" s="545">
        <f t="shared" si="461"/>
        <v>0</v>
      </c>
      <c r="U102" s="545">
        <f t="shared" si="461"/>
        <v>0</v>
      </c>
      <c r="V102" s="545">
        <f t="shared" si="461"/>
        <v>0</v>
      </c>
      <c r="W102" s="545">
        <f t="shared" si="461"/>
        <v>0</v>
      </c>
      <c r="X102" s="545">
        <f t="shared" si="461"/>
        <v>0</v>
      </c>
      <c r="Y102" s="545">
        <f t="shared" ref="Y102" si="464">IF(Y16="Orlov",0,(Y32*Y22/12*Y14)+(Y35+Y36+Y37)*Y22*Y24/12*Y14)</f>
        <v>0</v>
      </c>
      <c r="Z102" s="545">
        <f t="shared" si="461"/>
        <v>0</v>
      </c>
      <c r="AA102" s="545">
        <f t="shared" si="461"/>
        <v>0</v>
      </c>
      <c r="AB102" s="545">
        <f t="shared" si="461"/>
        <v>0</v>
      </c>
      <c r="AC102" s="545">
        <f t="shared" si="461"/>
        <v>0</v>
      </c>
      <c r="AD102" s="545">
        <f t="shared" si="461"/>
        <v>0</v>
      </c>
      <c r="AE102" s="545">
        <f t="shared" ref="AE102" si="465">IF(AE16="Orlov",0,(AE32*AE22/12*AE14)+(AE35+AE36+AE37)*AE22*AE24/12*AE14)</f>
        <v>0</v>
      </c>
      <c r="AF102" s="545">
        <f t="shared" si="461"/>
        <v>0</v>
      </c>
      <c r="AG102" s="545">
        <f t="shared" si="461"/>
        <v>0</v>
      </c>
      <c r="AH102" s="545">
        <f t="shared" si="461"/>
        <v>0</v>
      </c>
      <c r="AI102" s="545">
        <f t="shared" si="461"/>
        <v>0</v>
      </c>
      <c r="AJ102" s="545">
        <f t="shared" si="461"/>
        <v>0</v>
      </c>
      <c r="AK102" s="545">
        <f t="shared" ref="AK102:AN102" si="466">IF(AK16="Orlov",0,(AK32*AK22/12*AK14)+(AK35+AK36+AK37)*AK22*AK24/12*AK14)</f>
        <v>0</v>
      </c>
      <c r="AL102" s="545">
        <f t="shared" si="466"/>
        <v>0</v>
      </c>
      <c r="AM102" s="545">
        <f t="shared" si="466"/>
        <v>0</v>
      </c>
      <c r="AN102" s="545">
        <f t="shared" si="466"/>
        <v>0</v>
      </c>
      <c r="AO102" s="545">
        <f t="shared" ref="AO102:AY102" si="467">IF(AO16="Orlov",0,(AO32*AO22/12*AO14)+(AO35+AO36+AO37)*AO22*AO24/12*AO14)</f>
        <v>0</v>
      </c>
      <c r="AP102" s="545">
        <f t="shared" si="467"/>
        <v>0</v>
      </c>
      <c r="AQ102" s="545">
        <f t="shared" si="467"/>
        <v>0</v>
      </c>
      <c r="AR102" s="545">
        <f t="shared" si="467"/>
        <v>0</v>
      </c>
      <c r="AS102" s="545">
        <f t="shared" si="467"/>
        <v>0</v>
      </c>
      <c r="AT102" s="545">
        <f t="shared" si="467"/>
        <v>0</v>
      </c>
      <c r="AU102" s="545">
        <f t="shared" si="467"/>
        <v>0</v>
      </c>
      <c r="AV102" s="545">
        <f t="shared" si="467"/>
        <v>0</v>
      </c>
      <c r="AW102" s="545">
        <f t="shared" si="467"/>
        <v>0</v>
      </c>
      <c r="AX102" s="545">
        <f t="shared" si="467"/>
        <v>0</v>
      </c>
      <c r="AY102" s="545">
        <f t="shared" si="467"/>
        <v>0</v>
      </c>
      <c r="AZ102" s="545">
        <f t="shared" si="461"/>
        <v>0</v>
      </c>
      <c r="BA102" s="545">
        <f t="shared" si="461"/>
        <v>0</v>
      </c>
      <c r="BB102" s="545">
        <f t="shared" si="461"/>
        <v>0</v>
      </c>
      <c r="BC102" s="545">
        <f t="shared" ref="BC102" si="468">IF(BC16="Orlov",0,(BC32*BC22/12*BC14)+(BC35+BC36+BC37)*BC22*BC24/12*BC14)</f>
        <v>0</v>
      </c>
      <c r="BD102" s="545">
        <f t="shared" ref="BD102:CM102" si="469">IF(BD16="Orlov",0,(BD32*BD22/12*BD14)+(BD35+BD36+BD37)*BD22*BD24/12*BD14)</f>
        <v>0</v>
      </c>
      <c r="BE102" s="545">
        <f t="shared" si="469"/>
        <v>0</v>
      </c>
      <c r="BF102" s="545">
        <f t="shared" si="469"/>
        <v>0</v>
      </c>
      <c r="BG102" s="545">
        <f t="shared" si="469"/>
        <v>0</v>
      </c>
      <c r="BH102" s="545">
        <f t="shared" si="469"/>
        <v>0</v>
      </c>
      <c r="BI102" s="545">
        <f t="shared" si="469"/>
        <v>0</v>
      </c>
      <c r="BJ102" s="545">
        <f t="shared" si="469"/>
        <v>0</v>
      </c>
      <c r="BK102" s="545">
        <f t="shared" si="469"/>
        <v>0</v>
      </c>
      <c r="BL102" s="545">
        <f t="shared" si="469"/>
        <v>0</v>
      </c>
      <c r="BM102" s="545">
        <f t="shared" si="469"/>
        <v>0</v>
      </c>
      <c r="BN102" s="545">
        <f t="shared" si="469"/>
        <v>0</v>
      </c>
      <c r="BO102" s="545">
        <f t="shared" si="469"/>
        <v>0</v>
      </c>
      <c r="BP102" s="545">
        <f t="shared" si="469"/>
        <v>0</v>
      </c>
      <c r="BQ102" s="545">
        <f t="shared" si="469"/>
        <v>0</v>
      </c>
      <c r="BR102" s="545">
        <f t="shared" si="469"/>
        <v>0</v>
      </c>
      <c r="BS102" s="545">
        <f t="shared" si="469"/>
        <v>0</v>
      </c>
      <c r="BT102" s="545">
        <f t="shared" si="469"/>
        <v>0</v>
      </c>
      <c r="BU102" s="545">
        <f t="shared" si="469"/>
        <v>0</v>
      </c>
      <c r="BV102" s="545">
        <f t="shared" si="469"/>
        <v>0</v>
      </c>
      <c r="BW102" s="545">
        <f t="shared" si="469"/>
        <v>0</v>
      </c>
      <c r="BX102" s="545">
        <f t="shared" si="469"/>
        <v>0</v>
      </c>
      <c r="BY102" s="545">
        <f t="shared" si="469"/>
        <v>0</v>
      </c>
      <c r="BZ102" s="545">
        <f t="shared" si="469"/>
        <v>0</v>
      </c>
      <c r="CA102" s="545">
        <f t="shared" si="469"/>
        <v>0</v>
      </c>
      <c r="CB102" s="545">
        <f t="shared" si="469"/>
        <v>0</v>
      </c>
      <c r="CC102" s="545">
        <f t="shared" si="469"/>
        <v>0</v>
      </c>
      <c r="CD102" s="545">
        <f t="shared" ref="CD102" si="470">IF(CD16="Orlov",0,(CD32*CD22/12*CD14)+(CD35+CD36+CD37)*CD22*CD24/12*CD14)</f>
        <v>0</v>
      </c>
      <c r="CE102" s="545">
        <f t="shared" si="469"/>
        <v>0</v>
      </c>
      <c r="CF102" s="545">
        <f t="shared" ref="CF102:CG102" si="471">IF(CF16="Orlov",0,(CF32*CF22/12*CF14)+(CF35+CF36+CF37)*CF22*CF24/12*CF14)</f>
        <v>0</v>
      </c>
      <c r="CG102" s="545">
        <f t="shared" si="471"/>
        <v>0</v>
      </c>
      <c r="CH102" s="545">
        <f t="shared" si="469"/>
        <v>0</v>
      </c>
      <c r="CI102" s="545">
        <f t="shared" si="469"/>
        <v>0</v>
      </c>
      <c r="CJ102" s="545">
        <f t="shared" si="469"/>
        <v>0</v>
      </c>
      <c r="CK102" s="545">
        <f t="shared" si="469"/>
        <v>0</v>
      </c>
      <c r="CL102" s="545">
        <f t="shared" si="469"/>
        <v>0</v>
      </c>
      <c r="CM102" s="545">
        <f t="shared" si="469"/>
        <v>0</v>
      </c>
      <c r="CN102" s="545">
        <f t="shared" ref="CN102:DD102" si="472">IF(CN16="Orlov",0,(CN32*CN22/12*CN14)+(CN35+CN36+CN37)*CN22*CN24/12*CN14)</f>
        <v>0</v>
      </c>
      <c r="CO102" s="545">
        <f t="shared" si="472"/>
        <v>0</v>
      </c>
      <c r="CP102" s="545">
        <f t="shared" si="472"/>
        <v>0</v>
      </c>
      <c r="CQ102" s="545">
        <f t="shared" si="472"/>
        <v>0</v>
      </c>
      <c r="CR102" s="545">
        <f t="shared" si="472"/>
        <v>0</v>
      </c>
      <c r="CS102" s="545">
        <f t="shared" si="472"/>
        <v>0</v>
      </c>
      <c r="CT102" s="545">
        <f t="shared" si="472"/>
        <v>0</v>
      </c>
      <c r="CU102" s="545">
        <f t="shared" si="472"/>
        <v>0</v>
      </c>
      <c r="CV102" s="545">
        <f t="shared" si="472"/>
        <v>0</v>
      </c>
      <c r="CW102" s="545">
        <f t="shared" si="472"/>
        <v>0</v>
      </c>
      <c r="CX102" s="545">
        <f t="shared" si="472"/>
        <v>0</v>
      </c>
      <c r="CY102" s="545">
        <f t="shared" si="472"/>
        <v>0</v>
      </c>
      <c r="CZ102" s="545">
        <f t="shared" si="472"/>
        <v>0</v>
      </c>
      <c r="DA102" s="545">
        <f t="shared" si="472"/>
        <v>0</v>
      </c>
      <c r="DB102" s="545">
        <f t="shared" si="472"/>
        <v>0</v>
      </c>
      <c r="DC102" s="545">
        <f t="shared" si="472"/>
        <v>0</v>
      </c>
      <c r="DD102" s="545">
        <f t="shared" si="472"/>
        <v>0</v>
      </c>
    </row>
    <row r="103" spans="1:108" ht="13" hidden="1" customHeight="1">
      <c r="A103" s="575"/>
      <c r="B103" s="545" t="s">
        <v>696</v>
      </c>
      <c r="C103" s="545">
        <f t="shared" ref="C103:AZ103" si="473">IF(C16="Orlov",0,C33*C22/12*C14)</f>
        <v>0</v>
      </c>
      <c r="D103" s="545">
        <f t="shared" si="473"/>
        <v>0</v>
      </c>
      <c r="E103" s="545">
        <f t="shared" si="473"/>
        <v>0</v>
      </c>
      <c r="F103" s="545">
        <f t="shared" ref="F103" si="474">IF(F16="Orlov",0,F33*F22/12*F14)</f>
        <v>0</v>
      </c>
      <c r="G103" s="545">
        <f t="shared" si="473"/>
        <v>0</v>
      </c>
      <c r="H103" s="545">
        <f t="shared" si="473"/>
        <v>0</v>
      </c>
      <c r="I103" s="545">
        <f t="shared" ref="I103" si="475">IF(I16="Orlov",0,I33*I22/12*I14)</f>
        <v>0</v>
      </c>
      <c r="J103" s="545">
        <f t="shared" si="473"/>
        <v>0</v>
      </c>
      <c r="K103" s="545">
        <f t="shared" si="473"/>
        <v>0</v>
      </c>
      <c r="L103" s="545">
        <f t="shared" si="473"/>
        <v>0</v>
      </c>
      <c r="M103" s="545">
        <f t="shared" si="473"/>
        <v>0</v>
      </c>
      <c r="N103" s="545">
        <f t="shared" si="473"/>
        <v>0</v>
      </c>
      <c r="O103" s="545">
        <f t="shared" si="473"/>
        <v>0</v>
      </c>
      <c r="P103" s="545">
        <f t="shared" si="473"/>
        <v>0</v>
      </c>
      <c r="Q103" s="545">
        <f t="shared" si="473"/>
        <v>0</v>
      </c>
      <c r="R103" s="545">
        <f t="shared" si="473"/>
        <v>0</v>
      </c>
      <c r="S103" s="545">
        <f t="shared" si="473"/>
        <v>0</v>
      </c>
      <c r="T103" s="545">
        <f t="shared" si="473"/>
        <v>0</v>
      </c>
      <c r="U103" s="545">
        <f t="shared" si="473"/>
        <v>0</v>
      </c>
      <c r="V103" s="545">
        <f t="shared" si="473"/>
        <v>0</v>
      </c>
      <c r="W103" s="545">
        <f t="shared" si="473"/>
        <v>0</v>
      </c>
      <c r="X103" s="545">
        <f t="shared" si="473"/>
        <v>0</v>
      </c>
      <c r="Y103" s="545">
        <f t="shared" ref="Y103" si="476">IF(Y16="Orlov",0,Y33*Y22/12*Y14)</f>
        <v>0</v>
      </c>
      <c r="Z103" s="545">
        <f t="shared" si="473"/>
        <v>0</v>
      </c>
      <c r="AA103" s="545">
        <f t="shared" si="473"/>
        <v>0</v>
      </c>
      <c r="AB103" s="545">
        <f t="shared" si="473"/>
        <v>0</v>
      </c>
      <c r="AC103" s="545">
        <f t="shared" si="473"/>
        <v>0</v>
      </c>
      <c r="AD103" s="545">
        <f t="shared" si="473"/>
        <v>0</v>
      </c>
      <c r="AE103" s="545">
        <f t="shared" ref="AE103" si="477">IF(AE16="Orlov",0,AE33*AE22/12*AE14)</f>
        <v>0</v>
      </c>
      <c r="AF103" s="545">
        <f t="shared" si="473"/>
        <v>0</v>
      </c>
      <c r="AG103" s="545">
        <f t="shared" si="473"/>
        <v>0</v>
      </c>
      <c r="AH103" s="545">
        <f t="shared" si="473"/>
        <v>0</v>
      </c>
      <c r="AI103" s="545">
        <f t="shared" si="473"/>
        <v>0</v>
      </c>
      <c r="AJ103" s="545">
        <f t="shared" si="473"/>
        <v>0</v>
      </c>
      <c r="AK103" s="545">
        <f t="shared" ref="AK103:AN103" si="478">IF(AK16="Orlov",0,AK33*AK22/12*AK14)</f>
        <v>0</v>
      </c>
      <c r="AL103" s="545">
        <f t="shared" si="478"/>
        <v>0</v>
      </c>
      <c r="AM103" s="545">
        <f t="shared" si="478"/>
        <v>0</v>
      </c>
      <c r="AN103" s="545">
        <f t="shared" si="478"/>
        <v>0</v>
      </c>
      <c r="AO103" s="545">
        <f t="shared" ref="AO103:AY103" si="479">IF(AO16="Orlov",0,AO33*AO22/12*AO14)</f>
        <v>0</v>
      </c>
      <c r="AP103" s="545">
        <f t="shared" si="479"/>
        <v>0</v>
      </c>
      <c r="AQ103" s="545">
        <f t="shared" si="479"/>
        <v>0</v>
      </c>
      <c r="AR103" s="545">
        <f t="shared" si="479"/>
        <v>0</v>
      </c>
      <c r="AS103" s="545">
        <f t="shared" si="479"/>
        <v>0</v>
      </c>
      <c r="AT103" s="545">
        <f t="shared" si="479"/>
        <v>0</v>
      </c>
      <c r="AU103" s="545">
        <f t="shared" si="479"/>
        <v>0</v>
      </c>
      <c r="AV103" s="545">
        <f t="shared" si="479"/>
        <v>0</v>
      </c>
      <c r="AW103" s="545">
        <f t="shared" si="479"/>
        <v>0</v>
      </c>
      <c r="AX103" s="545">
        <f t="shared" si="479"/>
        <v>0</v>
      </c>
      <c r="AY103" s="545">
        <f t="shared" si="479"/>
        <v>0</v>
      </c>
      <c r="AZ103" s="545">
        <f t="shared" si="473"/>
        <v>0</v>
      </c>
      <c r="BA103" s="545">
        <f t="shared" ref="BA103:CK103" si="480">IF(BA16="Orlov",0,BA33*BA22/12*BA14)</f>
        <v>0</v>
      </c>
      <c r="BB103" s="545">
        <f t="shared" si="480"/>
        <v>0</v>
      </c>
      <c r="BC103" s="545">
        <f t="shared" ref="BC103" si="481">IF(BC16="Orlov",0,BC33*BC22/12*BC14)</f>
        <v>0</v>
      </c>
      <c r="BD103" s="545">
        <f t="shared" si="480"/>
        <v>0</v>
      </c>
      <c r="BE103" s="545">
        <f t="shared" si="480"/>
        <v>0</v>
      </c>
      <c r="BF103" s="545">
        <f t="shared" si="480"/>
        <v>0</v>
      </c>
      <c r="BG103" s="545">
        <f t="shared" si="480"/>
        <v>0</v>
      </c>
      <c r="BH103" s="545">
        <f t="shared" si="480"/>
        <v>0</v>
      </c>
      <c r="BI103" s="545">
        <f t="shared" si="480"/>
        <v>0</v>
      </c>
      <c r="BJ103" s="545">
        <f t="shared" si="480"/>
        <v>0</v>
      </c>
      <c r="BK103" s="545">
        <f t="shared" si="480"/>
        <v>0</v>
      </c>
      <c r="BL103" s="545">
        <f t="shared" si="480"/>
        <v>0</v>
      </c>
      <c r="BM103" s="545">
        <f t="shared" si="480"/>
        <v>0</v>
      </c>
      <c r="BN103" s="545">
        <f t="shared" si="480"/>
        <v>0</v>
      </c>
      <c r="BO103" s="545">
        <f t="shared" si="480"/>
        <v>0</v>
      </c>
      <c r="BP103" s="545">
        <f t="shared" si="480"/>
        <v>0</v>
      </c>
      <c r="BQ103" s="545">
        <f t="shared" si="480"/>
        <v>0</v>
      </c>
      <c r="BR103" s="545">
        <f t="shared" si="480"/>
        <v>0</v>
      </c>
      <c r="BS103" s="545">
        <f t="shared" si="480"/>
        <v>0</v>
      </c>
      <c r="BT103" s="545">
        <f t="shared" si="480"/>
        <v>0</v>
      </c>
      <c r="BU103" s="545">
        <f t="shared" si="480"/>
        <v>0</v>
      </c>
      <c r="BV103" s="545">
        <f t="shared" si="480"/>
        <v>0</v>
      </c>
      <c r="BW103" s="545">
        <f t="shared" si="480"/>
        <v>0</v>
      </c>
      <c r="BX103" s="545">
        <f t="shared" si="480"/>
        <v>0</v>
      </c>
      <c r="BY103" s="545">
        <f t="shared" si="480"/>
        <v>0</v>
      </c>
      <c r="BZ103" s="545">
        <f t="shared" si="480"/>
        <v>0</v>
      </c>
      <c r="CA103" s="545">
        <f t="shared" si="480"/>
        <v>0</v>
      </c>
      <c r="CB103" s="545">
        <f t="shared" si="480"/>
        <v>0</v>
      </c>
      <c r="CC103" s="545">
        <f t="shared" si="480"/>
        <v>0</v>
      </c>
      <c r="CD103" s="545">
        <f t="shared" ref="CD103" si="482">IF(CD16="Orlov",0,CD33*CD22/12*CD14)</f>
        <v>0</v>
      </c>
      <c r="CE103" s="545">
        <f t="shared" si="480"/>
        <v>0</v>
      </c>
      <c r="CF103" s="545">
        <f t="shared" ref="CF103:CG103" si="483">IF(CF16="Orlov",0,CF33*CF22/12*CF14)</f>
        <v>0</v>
      </c>
      <c r="CG103" s="545">
        <f t="shared" si="483"/>
        <v>0</v>
      </c>
      <c r="CH103" s="545">
        <f t="shared" si="480"/>
        <v>0</v>
      </c>
      <c r="CI103" s="545">
        <f t="shared" si="480"/>
        <v>0</v>
      </c>
      <c r="CJ103" s="545">
        <f t="shared" si="480"/>
        <v>0</v>
      </c>
      <c r="CK103" s="545">
        <f t="shared" si="480"/>
        <v>0</v>
      </c>
      <c r="CL103" s="545">
        <f t="shared" ref="CL103:DD103" si="484">IF(CL16="Orlov",0,CL33*CL22/12*CL14)</f>
        <v>0</v>
      </c>
      <c r="CM103" s="545">
        <f t="shared" si="484"/>
        <v>0</v>
      </c>
      <c r="CN103" s="545">
        <f t="shared" si="484"/>
        <v>0</v>
      </c>
      <c r="CO103" s="545">
        <f t="shared" si="484"/>
        <v>0</v>
      </c>
      <c r="CP103" s="545">
        <f t="shared" si="484"/>
        <v>0</v>
      </c>
      <c r="CQ103" s="545">
        <f t="shared" si="484"/>
        <v>0</v>
      </c>
      <c r="CR103" s="545">
        <f t="shared" si="484"/>
        <v>0</v>
      </c>
      <c r="CS103" s="545">
        <f t="shared" si="484"/>
        <v>0</v>
      </c>
      <c r="CT103" s="545">
        <f t="shared" si="484"/>
        <v>0</v>
      </c>
      <c r="CU103" s="545">
        <f t="shared" si="484"/>
        <v>0</v>
      </c>
      <c r="CV103" s="545">
        <f t="shared" si="484"/>
        <v>0</v>
      </c>
      <c r="CW103" s="545">
        <f t="shared" si="484"/>
        <v>0</v>
      </c>
      <c r="CX103" s="545">
        <f t="shared" si="484"/>
        <v>0</v>
      </c>
      <c r="CY103" s="545">
        <f t="shared" si="484"/>
        <v>0</v>
      </c>
      <c r="CZ103" s="545">
        <f t="shared" si="484"/>
        <v>0</v>
      </c>
      <c r="DA103" s="545">
        <f t="shared" si="484"/>
        <v>0</v>
      </c>
      <c r="DB103" s="545">
        <f t="shared" si="484"/>
        <v>0</v>
      </c>
      <c r="DC103" s="545">
        <f t="shared" si="484"/>
        <v>0</v>
      </c>
      <c r="DD103" s="545">
        <f t="shared" si="484"/>
        <v>0</v>
      </c>
    </row>
    <row r="104" spans="1:108" ht="13" hidden="1" customHeight="1">
      <c r="A104" s="575"/>
      <c r="B104" s="545" t="s">
        <v>699</v>
      </c>
      <c r="C104" s="545">
        <f t="shared" ref="C104:AZ104" si="485">IF(C16="Orlov",0,(C39+C40)*C14)</f>
        <v>0</v>
      </c>
      <c r="D104" s="545">
        <f t="shared" si="485"/>
        <v>0</v>
      </c>
      <c r="E104" s="545">
        <f t="shared" si="485"/>
        <v>0</v>
      </c>
      <c r="F104" s="545">
        <f t="shared" ref="F104" si="486">IF(F16="Orlov",0,(F39+F40)*F14)</f>
        <v>0</v>
      </c>
      <c r="G104" s="545">
        <f t="shared" si="485"/>
        <v>0</v>
      </c>
      <c r="H104" s="545">
        <f t="shared" si="485"/>
        <v>0</v>
      </c>
      <c r="I104" s="545">
        <f t="shared" ref="I104" si="487">IF(I16="Orlov",0,(I39+I40)*I14)</f>
        <v>0</v>
      </c>
      <c r="J104" s="545">
        <f t="shared" si="485"/>
        <v>0</v>
      </c>
      <c r="K104" s="545">
        <f t="shared" si="485"/>
        <v>0</v>
      </c>
      <c r="L104" s="545">
        <f t="shared" si="485"/>
        <v>0</v>
      </c>
      <c r="M104" s="545">
        <f t="shared" si="485"/>
        <v>0</v>
      </c>
      <c r="N104" s="545">
        <f t="shared" si="485"/>
        <v>0</v>
      </c>
      <c r="O104" s="545">
        <f t="shared" si="485"/>
        <v>0</v>
      </c>
      <c r="P104" s="545">
        <f t="shared" si="485"/>
        <v>0</v>
      </c>
      <c r="Q104" s="545">
        <f t="shared" si="485"/>
        <v>0</v>
      </c>
      <c r="R104" s="545">
        <f t="shared" si="485"/>
        <v>0</v>
      </c>
      <c r="S104" s="545">
        <f t="shared" si="485"/>
        <v>0</v>
      </c>
      <c r="T104" s="545">
        <f t="shared" si="485"/>
        <v>0</v>
      </c>
      <c r="U104" s="545">
        <f t="shared" si="485"/>
        <v>0</v>
      </c>
      <c r="V104" s="545">
        <f t="shared" si="485"/>
        <v>0</v>
      </c>
      <c r="W104" s="545">
        <f t="shared" si="485"/>
        <v>0</v>
      </c>
      <c r="X104" s="545">
        <f t="shared" si="485"/>
        <v>0</v>
      </c>
      <c r="Y104" s="545">
        <f t="shared" ref="Y104" si="488">IF(Y16="Orlov",0,(Y39+Y40)*Y14)</f>
        <v>0</v>
      </c>
      <c r="Z104" s="545">
        <f t="shared" si="485"/>
        <v>0</v>
      </c>
      <c r="AA104" s="545">
        <f t="shared" si="485"/>
        <v>0</v>
      </c>
      <c r="AB104" s="545">
        <f t="shared" si="485"/>
        <v>0</v>
      </c>
      <c r="AC104" s="545">
        <f t="shared" si="485"/>
        <v>0</v>
      </c>
      <c r="AD104" s="545">
        <f t="shared" si="485"/>
        <v>0</v>
      </c>
      <c r="AE104" s="545">
        <f t="shared" ref="AE104" si="489">IF(AE16="Orlov",0,(AE39+AE40)*AE14)</f>
        <v>0</v>
      </c>
      <c r="AF104" s="545">
        <f t="shared" si="485"/>
        <v>0</v>
      </c>
      <c r="AG104" s="545">
        <f t="shared" si="485"/>
        <v>0</v>
      </c>
      <c r="AH104" s="545">
        <f t="shared" si="485"/>
        <v>0</v>
      </c>
      <c r="AI104" s="545">
        <f t="shared" si="485"/>
        <v>0</v>
      </c>
      <c r="AJ104" s="545">
        <f t="shared" si="485"/>
        <v>0</v>
      </c>
      <c r="AK104" s="545">
        <f t="shared" ref="AK104:AN104" si="490">IF(AK16="Orlov",0,(AK39+AK40)*AK14)</f>
        <v>0</v>
      </c>
      <c r="AL104" s="545">
        <f t="shared" si="490"/>
        <v>0</v>
      </c>
      <c r="AM104" s="545">
        <f t="shared" si="490"/>
        <v>0</v>
      </c>
      <c r="AN104" s="545">
        <f t="shared" si="490"/>
        <v>0</v>
      </c>
      <c r="AO104" s="545">
        <f t="shared" ref="AO104:AY104" si="491">IF(AO16="Orlov",0,(AO39+AO40)*AO14)</f>
        <v>0</v>
      </c>
      <c r="AP104" s="545">
        <f t="shared" si="491"/>
        <v>0</v>
      </c>
      <c r="AQ104" s="545">
        <f t="shared" si="491"/>
        <v>0</v>
      </c>
      <c r="AR104" s="545">
        <f t="shared" si="491"/>
        <v>0</v>
      </c>
      <c r="AS104" s="545">
        <f t="shared" si="491"/>
        <v>0</v>
      </c>
      <c r="AT104" s="545">
        <f t="shared" si="491"/>
        <v>0</v>
      </c>
      <c r="AU104" s="545">
        <f t="shared" si="491"/>
        <v>0</v>
      </c>
      <c r="AV104" s="545">
        <f t="shared" si="491"/>
        <v>0</v>
      </c>
      <c r="AW104" s="545">
        <f t="shared" si="491"/>
        <v>0</v>
      </c>
      <c r="AX104" s="545">
        <f t="shared" si="491"/>
        <v>0</v>
      </c>
      <c r="AY104" s="545">
        <f t="shared" si="491"/>
        <v>0</v>
      </c>
      <c r="AZ104" s="545">
        <f t="shared" si="485"/>
        <v>0</v>
      </c>
      <c r="BA104" s="545">
        <f t="shared" ref="BA104:CK104" si="492">IF(BA16="Orlov",0,(BA39+BA40)*BA14)</f>
        <v>0</v>
      </c>
      <c r="BB104" s="545">
        <f t="shared" si="492"/>
        <v>0</v>
      </c>
      <c r="BC104" s="545">
        <f t="shared" ref="BC104" si="493">IF(BC16="Orlov",0,(BC39+BC40)*BC14)</f>
        <v>0</v>
      </c>
      <c r="BD104" s="545">
        <f t="shared" si="492"/>
        <v>0</v>
      </c>
      <c r="BE104" s="545">
        <f t="shared" si="492"/>
        <v>0</v>
      </c>
      <c r="BF104" s="545">
        <f t="shared" si="492"/>
        <v>0</v>
      </c>
      <c r="BG104" s="545">
        <f t="shared" si="492"/>
        <v>0</v>
      </c>
      <c r="BH104" s="545">
        <f t="shared" si="492"/>
        <v>0</v>
      </c>
      <c r="BI104" s="545">
        <f t="shared" si="492"/>
        <v>0</v>
      </c>
      <c r="BJ104" s="545">
        <f t="shared" si="492"/>
        <v>0</v>
      </c>
      <c r="BK104" s="545">
        <f t="shared" si="492"/>
        <v>0</v>
      </c>
      <c r="BL104" s="545">
        <f t="shared" si="492"/>
        <v>0</v>
      </c>
      <c r="BM104" s="545">
        <f t="shared" si="492"/>
        <v>0</v>
      </c>
      <c r="BN104" s="545">
        <f t="shared" si="492"/>
        <v>0</v>
      </c>
      <c r="BO104" s="545">
        <f t="shared" si="492"/>
        <v>0</v>
      </c>
      <c r="BP104" s="545">
        <f t="shared" si="492"/>
        <v>0</v>
      </c>
      <c r="BQ104" s="545">
        <f t="shared" si="492"/>
        <v>0</v>
      </c>
      <c r="BR104" s="545">
        <f t="shared" si="492"/>
        <v>0</v>
      </c>
      <c r="BS104" s="545">
        <f t="shared" si="492"/>
        <v>0</v>
      </c>
      <c r="BT104" s="545">
        <f t="shared" si="492"/>
        <v>0</v>
      </c>
      <c r="BU104" s="545">
        <f t="shared" si="492"/>
        <v>0</v>
      </c>
      <c r="BV104" s="545">
        <f t="shared" si="492"/>
        <v>0</v>
      </c>
      <c r="BW104" s="545">
        <f t="shared" si="492"/>
        <v>0</v>
      </c>
      <c r="BX104" s="545">
        <f t="shared" si="492"/>
        <v>0</v>
      </c>
      <c r="BY104" s="545">
        <f t="shared" si="492"/>
        <v>0</v>
      </c>
      <c r="BZ104" s="545">
        <f t="shared" si="492"/>
        <v>0</v>
      </c>
      <c r="CA104" s="545">
        <f t="shared" si="492"/>
        <v>0</v>
      </c>
      <c r="CB104" s="545">
        <f t="shared" si="492"/>
        <v>0</v>
      </c>
      <c r="CC104" s="545">
        <f t="shared" si="492"/>
        <v>0</v>
      </c>
      <c r="CD104" s="545">
        <f t="shared" ref="CD104" si="494">IF(CD16="Orlov",0,(CD39+CD40)*CD14)</f>
        <v>0</v>
      </c>
      <c r="CE104" s="545">
        <f t="shared" si="492"/>
        <v>0</v>
      </c>
      <c r="CF104" s="545">
        <f t="shared" ref="CF104:CG104" si="495">IF(CF16="Orlov",0,(CF39+CF40)*CF14)</f>
        <v>0</v>
      </c>
      <c r="CG104" s="545">
        <f t="shared" si="495"/>
        <v>0</v>
      </c>
      <c r="CH104" s="545">
        <f t="shared" si="492"/>
        <v>0</v>
      </c>
      <c r="CI104" s="545">
        <f t="shared" si="492"/>
        <v>0</v>
      </c>
      <c r="CJ104" s="545">
        <f t="shared" si="492"/>
        <v>0</v>
      </c>
      <c r="CK104" s="545">
        <f t="shared" si="492"/>
        <v>0</v>
      </c>
      <c r="CL104" s="545">
        <f t="shared" ref="CL104:DD104" si="496">IF(CL16="Orlov",0,(CL39+CL40)*CL14)</f>
        <v>0</v>
      </c>
      <c r="CM104" s="545">
        <f t="shared" si="496"/>
        <v>0</v>
      </c>
      <c r="CN104" s="545">
        <f t="shared" si="496"/>
        <v>0</v>
      </c>
      <c r="CO104" s="545">
        <f t="shared" si="496"/>
        <v>0</v>
      </c>
      <c r="CP104" s="545">
        <f t="shared" si="496"/>
        <v>0</v>
      </c>
      <c r="CQ104" s="545">
        <f t="shared" si="496"/>
        <v>0</v>
      </c>
      <c r="CR104" s="545">
        <f t="shared" si="496"/>
        <v>0</v>
      </c>
      <c r="CS104" s="545">
        <f t="shared" si="496"/>
        <v>0</v>
      </c>
      <c r="CT104" s="545">
        <f t="shared" si="496"/>
        <v>0</v>
      </c>
      <c r="CU104" s="545">
        <f t="shared" si="496"/>
        <v>0</v>
      </c>
      <c r="CV104" s="545">
        <f t="shared" si="496"/>
        <v>0</v>
      </c>
      <c r="CW104" s="545">
        <f t="shared" si="496"/>
        <v>0</v>
      </c>
      <c r="CX104" s="545">
        <f t="shared" si="496"/>
        <v>0</v>
      </c>
      <c r="CY104" s="545">
        <f t="shared" si="496"/>
        <v>0</v>
      </c>
      <c r="CZ104" s="545">
        <f t="shared" si="496"/>
        <v>0</v>
      </c>
      <c r="DA104" s="545">
        <f t="shared" si="496"/>
        <v>0</v>
      </c>
      <c r="DB104" s="545">
        <f t="shared" si="496"/>
        <v>0</v>
      </c>
      <c r="DC104" s="545">
        <f t="shared" si="496"/>
        <v>0</v>
      </c>
      <c r="DD104" s="545">
        <f t="shared" si="496"/>
        <v>0</v>
      </c>
    </row>
    <row r="105" spans="1:108" ht="13" hidden="1" customHeight="1">
      <c r="A105" s="575"/>
      <c r="B105" s="545" t="s">
        <v>542</v>
      </c>
      <c r="C105" s="545">
        <f t="shared" ref="C105:AZ105" si="497">IF(C16="Orlov",0,C41*C14)</f>
        <v>0</v>
      </c>
      <c r="D105" s="545">
        <f t="shared" si="497"/>
        <v>0</v>
      </c>
      <c r="E105" s="545">
        <f t="shared" si="497"/>
        <v>0</v>
      </c>
      <c r="F105" s="545">
        <f t="shared" ref="F105" si="498">IF(F16="Orlov",0,F41*F14)</f>
        <v>0</v>
      </c>
      <c r="G105" s="545">
        <f t="shared" si="497"/>
        <v>0</v>
      </c>
      <c r="H105" s="545">
        <f t="shared" si="497"/>
        <v>0</v>
      </c>
      <c r="I105" s="545">
        <f t="shared" ref="I105" si="499">IF(I16="Orlov",0,I41*I14)</f>
        <v>0</v>
      </c>
      <c r="J105" s="545">
        <f t="shared" si="497"/>
        <v>0</v>
      </c>
      <c r="K105" s="545">
        <f t="shared" si="497"/>
        <v>0</v>
      </c>
      <c r="L105" s="545">
        <f t="shared" si="497"/>
        <v>0</v>
      </c>
      <c r="M105" s="545">
        <f t="shared" si="497"/>
        <v>0</v>
      </c>
      <c r="N105" s="545">
        <f t="shared" si="497"/>
        <v>0</v>
      </c>
      <c r="O105" s="545">
        <f t="shared" si="497"/>
        <v>0</v>
      </c>
      <c r="P105" s="545">
        <f t="shared" si="497"/>
        <v>0</v>
      </c>
      <c r="Q105" s="545">
        <f t="shared" si="497"/>
        <v>0</v>
      </c>
      <c r="R105" s="545">
        <f t="shared" si="497"/>
        <v>0</v>
      </c>
      <c r="S105" s="545">
        <f t="shared" si="497"/>
        <v>0</v>
      </c>
      <c r="T105" s="545">
        <f t="shared" si="497"/>
        <v>0</v>
      </c>
      <c r="U105" s="545">
        <f t="shared" si="497"/>
        <v>0</v>
      </c>
      <c r="V105" s="545">
        <f t="shared" si="497"/>
        <v>0</v>
      </c>
      <c r="W105" s="545">
        <f t="shared" si="497"/>
        <v>0</v>
      </c>
      <c r="X105" s="545">
        <f t="shared" si="497"/>
        <v>0</v>
      </c>
      <c r="Y105" s="545">
        <f t="shared" ref="Y105" si="500">IF(Y16="Orlov",0,Y41*Y14)</f>
        <v>0</v>
      </c>
      <c r="Z105" s="545">
        <f t="shared" si="497"/>
        <v>0</v>
      </c>
      <c r="AA105" s="545">
        <f t="shared" si="497"/>
        <v>0</v>
      </c>
      <c r="AB105" s="545">
        <f t="shared" si="497"/>
        <v>0</v>
      </c>
      <c r="AC105" s="545">
        <f t="shared" si="497"/>
        <v>0</v>
      </c>
      <c r="AD105" s="545">
        <f t="shared" si="497"/>
        <v>0</v>
      </c>
      <c r="AE105" s="545">
        <f t="shared" ref="AE105" si="501">IF(AE16="Orlov",0,AE41*AE14)</f>
        <v>0</v>
      </c>
      <c r="AF105" s="545">
        <f t="shared" si="497"/>
        <v>0</v>
      </c>
      <c r="AG105" s="545">
        <f t="shared" si="497"/>
        <v>0</v>
      </c>
      <c r="AH105" s="545">
        <f t="shared" si="497"/>
        <v>0</v>
      </c>
      <c r="AI105" s="545">
        <f t="shared" si="497"/>
        <v>0</v>
      </c>
      <c r="AJ105" s="545">
        <f t="shared" si="497"/>
        <v>0</v>
      </c>
      <c r="AK105" s="545">
        <f t="shared" ref="AK105:AN105" si="502">IF(AK16="Orlov",0,AK41*AK14)</f>
        <v>0</v>
      </c>
      <c r="AL105" s="545">
        <f t="shared" si="502"/>
        <v>0</v>
      </c>
      <c r="AM105" s="545">
        <f t="shared" si="502"/>
        <v>0</v>
      </c>
      <c r="AN105" s="545">
        <f t="shared" si="502"/>
        <v>0</v>
      </c>
      <c r="AO105" s="545">
        <f t="shared" ref="AO105:AY105" si="503">IF(AO16="Orlov",0,AO41*AO14)</f>
        <v>0</v>
      </c>
      <c r="AP105" s="545">
        <f t="shared" si="503"/>
        <v>0</v>
      </c>
      <c r="AQ105" s="545">
        <f t="shared" si="503"/>
        <v>0</v>
      </c>
      <c r="AR105" s="545">
        <f t="shared" si="503"/>
        <v>0</v>
      </c>
      <c r="AS105" s="545">
        <f t="shared" si="503"/>
        <v>0</v>
      </c>
      <c r="AT105" s="545">
        <f t="shared" si="503"/>
        <v>0</v>
      </c>
      <c r="AU105" s="545">
        <f t="shared" si="503"/>
        <v>0</v>
      </c>
      <c r="AV105" s="545">
        <f t="shared" si="503"/>
        <v>0</v>
      </c>
      <c r="AW105" s="545">
        <f t="shared" si="503"/>
        <v>0</v>
      </c>
      <c r="AX105" s="545">
        <f t="shared" si="503"/>
        <v>0</v>
      </c>
      <c r="AY105" s="545">
        <f t="shared" si="503"/>
        <v>0</v>
      </c>
      <c r="AZ105" s="545">
        <f t="shared" si="497"/>
        <v>0</v>
      </c>
      <c r="BA105" s="545">
        <f t="shared" ref="BA105:CK105" si="504">IF(BA16="Orlov",0,BA41*BA14)</f>
        <v>0</v>
      </c>
      <c r="BB105" s="545">
        <f t="shared" si="504"/>
        <v>0</v>
      </c>
      <c r="BC105" s="545">
        <f t="shared" ref="BC105" si="505">IF(BC16="Orlov",0,BC41*BC14)</f>
        <v>0</v>
      </c>
      <c r="BD105" s="545">
        <f t="shared" si="504"/>
        <v>0</v>
      </c>
      <c r="BE105" s="545">
        <f t="shared" si="504"/>
        <v>0</v>
      </c>
      <c r="BF105" s="545">
        <f t="shared" si="504"/>
        <v>0</v>
      </c>
      <c r="BG105" s="545">
        <f t="shared" si="504"/>
        <v>0</v>
      </c>
      <c r="BH105" s="545">
        <f t="shared" si="504"/>
        <v>0</v>
      </c>
      <c r="BI105" s="545">
        <f t="shared" si="504"/>
        <v>0</v>
      </c>
      <c r="BJ105" s="545">
        <f t="shared" si="504"/>
        <v>0</v>
      </c>
      <c r="BK105" s="545">
        <f t="shared" si="504"/>
        <v>0</v>
      </c>
      <c r="BL105" s="545">
        <f t="shared" si="504"/>
        <v>0</v>
      </c>
      <c r="BM105" s="545">
        <f t="shared" si="504"/>
        <v>0</v>
      </c>
      <c r="BN105" s="545">
        <f t="shared" si="504"/>
        <v>0</v>
      </c>
      <c r="BO105" s="545">
        <f t="shared" si="504"/>
        <v>0</v>
      </c>
      <c r="BP105" s="545">
        <f t="shared" si="504"/>
        <v>0</v>
      </c>
      <c r="BQ105" s="545">
        <f t="shared" si="504"/>
        <v>0</v>
      </c>
      <c r="BR105" s="545">
        <f t="shared" si="504"/>
        <v>0</v>
      </c>
      <c r="BS105" s="545">
        <f t="shared" si="504"/>
        <v>0</v>
      </c>
      <c r="BT105" s="545">
        <f t="shared" si="504"/>
        <v>0</v>
      </c>
      <c r="BU105" s="545">
        <f t="shared" si="504"/>
        <v>0</v>
      </c>
      <c r="BV105" s="545">
        <f t="shared" si="504"/>
        <v>0</v>
      </c>
      <c r="BW105" s="545">
        <f t="shared" si="504"/>
        <v>0</v>
      </c>
      <c r="BX105" s="545">
        <f t="shared" si="504"/>
        <v>0</v>
      </c>
      <c r="BY105" s="545">
        <f t="shared" si="504"/>
        <v>0</v>
      </c>
      <c r="BZ105" s="545">
        <f t="shared" si="504"/>
        <v>0</v>
      </c>
      <c r="CA105" s="545">
        <f t="shared" si="504"/>
        <v>0</v>
      </c>
      <c r="CB105" s="545">
        <f t="shared" si="504"/>
        <v>0</v>
      </c>
      <c r="CC105" s="545">
        <f t="shared" si="504"/>
        <v>0</v>
      </c>
      <c r="CD105" s="545">
        <f t="shared" ref="CD105" si="506">IF(CD16="Orlov",0,CD41*CD14)</f>
        <v>0</v>
      </c>
      <c r="CE105" s="545">
        <f t="shared" si="504"/>
        <v>0</v>
      </c>
      <c r="CF105" s="545">
        <f t="shared" ref="CF105:CG105" si="507">IF(CF16="Orlov",0,CF41*CF14)</f>
        <v>0</v>
      </c>
      <c r="CG105" s="545">
        <f t="shared" si="507"/>
        <v>0</v>
      </c>
      <c r="CH105" s="545">
        <f t="shared" si="504"/>
        <v>0</v>
      </c>
      <c r="CI105" s="545">
        <f t="shared" si="504"/>
        <v>0</v>
      </c>
      <c r="CJ105" s="545">
        <f t="shared" si="504"/>
        <v>0</v>
      </c>
      <c r="CK105" s="545">
        <f t="shared" si="504"/>
        <v>0</v>
      </c>
      <c r="CL105" s="545">
        <f t="shared" ref="CL105:DD105" si="508">IF(CL16="Orlov",0,CL41*CL14)</f>
        <v>0</v>
      </c>
      <c r="CM105" s="545">
        <f t="shared" si="508"/>
        <v>0</v>
      </c>
      <c r="CN105" s="545">
        <f t="shared" si="508"/>
        <v>0</v>
      </c>
      <c r="CO105" s="545">
        <f t="shared" si="508"/>
        <v>0</v>
      </c>
      <c r="CP105" s="545">
        <f t="shared" si="508"/>
        <v>0</v>
      </c>
      <c r="CQ105" s="545">
        <f t="shared" si="508"/>
        <v>0</v>
      </c>
      <c r="CR105" s="545">
        <f t="shared" si="508"/>
        <v>0</v>
      </c>
      <c r="CS105" s="545">
        <f t="shared" si="508"/>
        <v>0</v>
      </c>
      <c r="CT105" s="545">
        <f t="shared" si="508"/>
        <v>0</v>
      </c>
      <c r="CU105" s="545">
        <f t="shared" si="508"/>
        <v>0</v>
      </c>
      <c r="CV105" s="545">
        <f t="shared" si="508"/>
        <v>0</v>
      </c>
      <c r="CW105" s="545">
        <f t="shared" si="508"/>
        <v>0</v>
      </c>
      <c r="CX105" s="545">
        <f t="shared" si="508"/>
        <v>0</v>
      </c>
      <c r="CY105" s="545">
        <f t="shared" si="508"/>
        <v>0</v>
      </c>
      <c r="CZ105" s="545">
        <f t="shared" si="508"/>
        <v>0</v>
      </c>
      <c r="DA105" s="545">
        <f t="shared" si="508"/>
        <v>0</v>
      </c>
      <c r="DB105" s="545">
        <f t="shared" si="508"/>
        <v>0</v>
      </c>
      <c r="DC105" s="545">
        <f t="shared" si="508"/>
        <v>0</v>
      </c>
      <c r="DD105" s="545">
        <f t="shared" si="508"/>
        <v>0</v>
      </c>
    </row>
    <row r="106" spans="1:108" ht="13" hidden="1" customHeight="1">
      <c r="A106" s="575"/>
      <c r="B106" s="545" t="s">
        <v>552</v>
      </c>
      <c r="C106" s="545">
        <f t="shared" ref="C106:AZ106" si="509">IF(AND(C16="Nej",C18="Ja"),(C27+C38+C39+C40)*0.8%*C14,0)</f>
        <v>0</v>
      </c>
      <c r="D106" s="545">
        <f t="shared" si="509"/>
        <v>0</v>
      </c>
      <c r="E106" s="545">
        <f t="shared" si="509"/>
        <v>0</v>
      </c>
      <c r="F106" s="545">
        <f t="shared" ref="F106" si="510">IF(AND(F16="Nej",F18="Ja"),(F27+F38+F39+F40)*0.8%*F14,0)</f>
        <v>0</v>
      </c>
      <c r="G106" s="545">
        <f t="shared" si="509"/>
        <v>0</v>
      </c>
      <c r="H106" s="545">
        <f t="shared" si="509"/>
        <v>0</v>
      </c>
      <c r="I106" s="545">
        <f t="shared" ref="I106" si="511">IF(AND(I16="Nej",I18="Ja"),(I27+I38+I39+I40)*0.8%*I14,0)</f>
        <v>0</v>
      </c>
      <c r="J106" s="545">
        <f t="shared" si="509"/>
        <v>0</v>
      </c>
      <c r="K106" s="545">
        <f t="shared" si="509"/>
        <v>0</v>
      </c>
      <c r="L106" s="545">
        <f t="shared" si="509"/>
        <v>0</v>
      </c>
      <c r="M106" s="545">
        <f t="shared" si="509"/>
        <v>0</v>
      </c>
      <c r="N106" s="545">
        <f t="shared" si="509"/>
        <v>0</v>
      </c>
      <c r="O106" s="545">
        <f t="shared" si="509"/>
        <v>0</v>
      </c>
      <c r="P106" s="545">
        <f t="shared" si="509"/>
        <v>0</v>
      </c>
      <c r="Q106" s="545">
        <f t="shared" si="509"/>
        <v>0</v>
      </c>
      <c r="R106" s="545">
        <f t="shared" si="509"/>
        <v>0</v>
      </c>
      <c r="S106" s="545">
        <f t="shared" si="509"/>
        <v>0</v>
      </c>
      <c r="T106" s="545">
        <f t="shared" si="509"/>
        <v>0</v>
      </c>
      <c r="U106" s="545">
        <f t="shared" si="509"/>
        <v>0</v>
      </c>
      <c r="V106" s="545">
        <f t="shared" si="509"/>
        <v>0</v>
      </c>
      <c r="W106" s="545">
        <f t="shared" si="509"/>
        <v>0</v>
      </c>
      <c r="X106" s="545">
        <f t="shared" si="509"/>
        <v>0</v>
      </c>
      <c r="Y106" s="545">
        <f t="shared" ref="Y106" si="512">IF(AND(Y16="Nej",Y18="Ja"),(Y27+Y38+Y39+Y40)*0.8%*Y14,0)</f>
        <v>0</v>
      </c>
      <c r="Z106" s="545">
        <f t="shared" si="509"/>
        <v>0</v>
      </c>
      <c r="AA106" s="545">
        <f t="shared" si="509"/>
        <v>0</v>
      </c>
      <c r="AB106" s="545">
        <f t="shared" si="509"/>
        <v>0</v>
      </c>
      <c r="AC106" s="545">
        <f t="shared" si="509"/>
        <v>0</v>
      </c>
      <c r="AD106" s="545">
        <f t="shared" si="509"/>
        <v>0</v>
      </c>
      <c r="AE106" s="545">
        <f t="shared" ref="AE106" si="513">IF(AND(AE16="Nej",AE18="Ja"),(AE27+AE38+AE39+AE40)*0.8%*AE14,0)</f>
        <v>0</v>
      </c>
      <c r="AF106" s="545">
        <f t="shared" si="509"/>
        <v>0</v>
      </c>
      <c r="AG106" s="545">
        <f t="shared" si="509"/>
        <v>0</v>
      </c>
      <c r="AH106" s="545">
        <f t="shared" si="509"/>
        <v>0</v>
      </c>
      <c r="AI106" s="545">
        <f t="shared" si="509"/>
        <v>0</v>
      </c>
      <c r="AJ106" s="545">
        <f t="shared" si="509"/>
        <v>0</v>
      </c>
      <c r="AK106" s="545">
        <f t="shared" ref="AK106:AN106" si="514">IF(AND(AK16="Nej",AK18="Ja"),(AK27+AK38+AK39+AK40)*0.8%*AK14,0)</f>
        <v>0</v>
      </c>
      <c r="AL106" s="545">
        <f t="shared" si="514"/>
        <v>0</v>
      </c>
      <c r="AM106" s="545">
        <f t="shared" si="514"/>
        <v>0</v>
      </c>
      <c r="AN106" s="545">
        <f t="shared" si="514"/>
        <v>0</v>
      </c>
      <c r="AO106" s="545">
        <f t="shared" ref="AO106:AY106" si="515">IF(AND(AO16="Nej",AO18="Ja"),(AO27+AO38+AO39+AO40)*0.8%*AO14,0)</f>
        <v>0</v>
      </c>
      <c r="AP106" s="545">
        <f t="shared" si="515"/>
        <v>0</v>
      </c>
      <c r="AQ106" s="545">
        <f t="shared" si="515"/>
        <v>0</v>
      </c>
      <c r="AR106" s="545">
        <f t="shared" si="515"/>
        <v>0</v>
      </c>
      <c r="AS106" s="545">
        <f t="shared" si="515"/>
        <v>0</v>
      </c>
      <c r="AT106" s="545">
        <f t="shared" si="515"/>
        <v>0</v>
      </c>
      <c r="AU106" s="545">
        <f t="shared" si="515"/>
        <v>0</v>
      </c>
      <c r="AV106" s="545">
        <f t="shared" si="515"/>
        <v>0</v>
      </c>
      <c r="AW106" s="545">
        <f t="shared" si="515"/>
        <v>0</v>
      </c>
      <c r="AX106" s="545">
        <f t="shared" si="515"/>
        <v>0</v>
      </c>
      <c r="AY106" s="545">
        <f t="shared" si="515"/>
        <v>0</v>
      </c>
      <c r="AZ106" s="545">
        <f t="shared" si="509"/>
        <v>0</v>
      </c>
      <c r="BA106" s="545">
        <f t="shared" ref="BA106:CK106" si="516">IF(AND(BA16="Nej",BA18="Ja"),(BA27+BA38+BA39+BA40)*0.8%*BA14,0)</f>
        <v>0</v>
      </c>
      <c r="BB106" s="545">
        <f t="shared" si="516"/>
        <v>0</v>
      </c>
      <c r="BC106" s="545">
        <f t="shared" ref="BC106" si="517">IF(AND(BC16="Nej",BC18="Ja"),(BC27+BC38+BC39+BC40)*0.8%*BC14,0)</f>
        <v>0</v>
      </c>
      <c r="BD106" s="545">
        <f t="shared" si="516"/>
        <v>0</v>
      </c>
      <c r="BE106" s="545">
        <f t="shared" si="516"/>
        <v>0</v>
      </c>
      <c r="BF106" s="545">
        <f t="shared" si="516"/>
        <v>0</v>
      </c>
      <c r="BG106" s="545">
        <f t="shared" si="516"/>
        <v>0</v>
      </c>
      <c r="BH106" s="545">
        <f t="shared" si="516"/>
        <v>0</v>
      </c>
      <c r="BI106" s="545">
        <f t="shared" si="516"/>
        <v>0</v>
      </c>
      <c r="BJ106" s="545">
        <f t="shared" si="516"/>
        <v>0</v>
      </c>
      <c r="BK106" s="545">
        <f t="shared" si="516"/>
        <v>0</v>
      </c>
      <c r="BL106" s="545">
        <f t="shared" si="516"/>
        <v>0</v>
      </c>
      <c r="BM106" s="545">
        <f t="shared" si="516"/>
        <v>0</v>
      </c>
      <c r="BN106" s="545">
        <f t="shared" si="516"/>
        <v>0</v>
      </c>
      <c r="BO106" s="545">
        <f t="shared" si="516"/>
        <v>0</v>
      </c>
      <c r="BP106" s="545">
        <f t="shared" si="516"/>
        <v>0</v>
      </c>
      <c r="BQ106" s="545">
        <f t="shared" si="516"/>
        <v>0</v>
      </c>
      <c r="BR106" s="545">
        <f t="shared" si="516"/>
        <v>0</v>
      </c>
      <c r="BS106" s="545">
        <f t="shared" si="516"/>
        <v>0</v>
      </c>
      <c r="BT106" s="545">
        <f t="shared" si="516"/>
        <v>0</v>
      </c>
      <c r="BU106" s="545">
        <f t="shared" si="516"/>
        <v>0</v>
      </c>
      <c r="BV106" s="545">
        <f t="shared" si="516"/>
        <v>0</v>
      </c>
      <c r="BW106" s="545">
        <f t="shared" si="516"/>
        <v>0</v>
      </c>
      <c r="BX106" s="545">
        <f t="shared" si="516"/>
        <v>0</v>
      </c>
      <c r="BY106" s="545">
        <f t="shared" si="516"/>
        <v>0</v>
      </c>
      <c r="BZ106" s="545">
        <f t="shared" si="516"/>
        <v>0</v>
      </c>
      <c r="CA106" s="545">
        <f t="shared" si="516"/>
        <v>0</v>
      </c>
      <c r="CB106" s="545">
        <f t="shared" si="516"/>
        <v>0</v>
      </c>
      <c r="CC106" s="545">
        <f t="shared" si="516"/>
        <v>0</v>
      </c>
      <c r="CD106" s="545">
        <f t="shared" ref="CD106" si="518">IF(AND(CD16="Nej",CD18="Ja"),(CD27+CD38+CD39+CD40)*0.8%*CD14,0)</f>
        <v>0</v>
      </c>
      <c r="CE106" s="545">
        <f t="shared" si="516"/>
        <v>0</v>
      </c>
      <c r="CF106" s="545">
        <f t="shared" ref="CF106:CG106" si="519">IF(AND(CF16="Nej",CF18="Ja"),(CF27+CF38+CF39+CF40)*0.8%*CF14,0)</f>
        <v>0</v>
      </c>
      <c r="CG106" s="545">
        <f t="shared" si="519"/>
        <v>0</v>
      </c>
      <c r="CH106" s="545">
        <f t="shared" si="516"/>
        <v>0</v>
      </c>
      <c r="CI106" s="545">
        <f t="shared" si="516"/>
        <v>0</v>
      </c>
      <c r="CJ106" s="545">
        <f t="shared" si="516"/>
        <v>0</v>
      </c>
      <c r="CK106" s="545">
        <f t="shared" si="516"/>
        <v>0</v>
      </c>
      <c r="CL106" s="545">
        <f t="shared" ref="CL106:DD106" si="520">IF(AND(CL16="Nej",CL18="Ja"),(CL27+CL38+CL39+CL40)*0.8%*CL14,0)</f>
        <v>0</v>
      </c>
      <c r="CM106" s="545">
        <f t="shared" si="520"/>
        <v>0</v>
      </c>
      <c r="CN106" s="545">
        <f t="shared" si="520"/>
        <v>0</v>
      </c>
      <c r="CO106" s="545">
        <f t="shared" si="520"/>
        <v>0</v>
      </c>
      <c r="CP106" s="545">
        <f t="shared" si="520"/>
        <v>0</v>
      </c>
      <c r="CQ106" s="545">
        <f t="shared" si="520"/>
        <v>0</v>
      </c>
      <c r="CR106" s="545">
        <f t="shared" si="520"/>
        <v>0</v>
      </c>
      <c r="CS106" s="545">
        <f t="shared" si="520"/>
        <v>0</v>
      </c>
      <c r="CT106" s="545">
        <f t="shared" si="520"/>
        <v>0</v>
      </c>
      <c r="CU106" s="545">
        <f t="shared" si="520"/>
        <v>0</v>
      </c>
      <c r="CV106" s="545">
        <f t="shared" si="520"/>
        <v>0</v>
      </c>
      <c r="CW106" s="545">
        <f t="shared" si="520"/>
        <v>0</v>
      </c>
      <c r="CX106" s="545">
        <f t="shared" si="520"/>
        <v>0</v>
      </c>
      <c r="CY106" s="545">
        <f t="shared" si="520"/>
        <v>0</v>
      </c>
      <c r="CZ106" s="545">
        <f t="shared" si="520"/>
        <v>0</v>
      </c>
      <c r="DA106" s="545">
        <f t="shared" si="520"/>
        <v>0</v>
      </c>
      <c r="DB106" s="545">
        <f t="shared" si="520"/>
        <v>0</v>
      </c>
      <c r="DC106" s="545">
        <f t="shared" si="520"/>
        <v>0</v>
      </c>
      <c r="DD106" s="545">
        <f t="shared" si="520"/>
        <v>0</v>
      </c>
    </row>
    <row r="107" spans="1:108" ht="13" hidden="1" customHeight="1">
      <c r="A107" s="575"/>
      <c r="B107" s="545" t="s">
        <v>543</v>
      </c>
      <c r="C107" s="635">
        <f t="shared" ref="C107:AZ107" si="521">C46*C14-IF(C21="nej",(C43+C44)*C14)</f>
        <v>0</v>
      </c>
      <c r="D107" s="635">
        <f t="shared" si="521"/>
        <v>0</v>
      </c>
      <c r="E107" s="635">
        <f t="shared" si="521"/>
        <v>0</v>
      </c>
      <c r="F107" s="635">
        <f t="shared" ref="F107" si="522">F46*F14-IF(F21="nej",(F43+F44)*F14)</f>
        <v>0</v>
      </c>
      <c r="G107" s="635">
        <f t="shared" si="521"/>
        <v>0</v>
      </c>
      <c r="H107" s="635">
        <f t="shared" si="521"/>
        <v>0</v>
      </c>
      <c r="I107" s="635">
        <f t="shared" ref="I107" si="523">I46*I14-IF(I21="nej",(I43+I44)*I14)</f>
        <v>0</v>
      </c>
      <c r="J107" s="635">
        <f t="shared" si="521"/>
        <v>0</v>
      </c>
      <c r="K107" s="635">
        <f t="shared" si="521"/>
        <v>0</v>
      </c>
      <c r="L107" s="635">
        <f t="shared" si="521"/>
        <v>0</v>
      </c>
      <c r="M107" s="635">
        <f t="shared" si="521"/>
        <v>0</v>
      </c>
      <c r="N107" s="635">
        <f t="shared" si="521"/>
        <v>0</v>
      </c>
      <c r="O107" s="635">
        <f t="shared" si="521"/>
        <v>0</v>
      </c>
      <c r="P107" s="635">
        <f t="shared" si="521"/>
        <v>0</v>
      </c>
      <c r="Q107" s="635">
        <f t="shared" si="521"/>
        <v>0</v>
      </c>
      <c r="R107" s="635">
        <f t="shared" si="521"/>
        <v>0</v>
      </c>
      <c r="S107" s="635">
        <f t="shared" si="521"/>
        <v>0</v>
      </c>
      <c r="T107" s="635">
        <f t="shared" si="521"/>
        <v>0</v>
      </c>
      <c r="U107" s="635">
        <f t="shared" si="521"/>
        <v>0</v>
      </c>
      <c r="V107" s="635">
        <f t="shared" si="521"/>
        <v>0</v>
      </c>
      <c r="W107" s="635">
        <f t="shared" si="521"/>
        <v>0</v>
      </c>
      <c r="X107" s="635">
        <f t="shared" si="521"/>
        <v>0</v>
      </c>
      <c r="Y107" s="635">
        <f t="shared" ref="Y107" si="524">Y46*Y14-IF(Y21="nej",(Y43+Y44)*Y14)</f>
        <v>0</v>
      </c>
      <c r="Z107" s="635">
        <f t="shared" si="521"/>
        <v>0</v>
      </c>
      <c r="AA107" s="635">
        <f t="shared" si="521"/>
        <v>0</v>
      </c>
      <c r="AB107" s="635">
        <f t="shared" si="521"/>
        <v>0</v>
      </c>
      <c r="AC107" s="635">
        <f t="shared" si="521"/>
        <v>0</v>
      </c>
      <c r="AD107" s="635">
        <f t="shared" si="521"/>
        <v>0</v>
      </c>
      <c r="AE107" s="635">
        <f t="shared" ref="AE107" si="525">AE46*AE14-IF(AE21="nej",(AE43+AE44)*AE14)</f>
        <v>0</v>
      </c>
      <c r="AF107" s="635">
        <f t="shared" si="521"/>
        <v>0</v>
      </c>
      <c r="AG107" s="635">
        <f t="shared" si="521"/>
        <v>0</v>
      </c>
      <c r="AH107" s="635">
        <f t="shared" si="521"/>
        <v>0</v>
      </c>
      <c r="AI107" s="635">
        <f t="shared" si="521"/>
        <v>0</v>
      </c>
      <c r="AJ107" s="635">
        <f t="shared" si="521"/>
        <v>0</v>
      </c>
      <c r="AK107" s="635">
        <f t="shared" ref="AK107:AN107" si="526">AK46*AK14-IF(AK21="nej",(AK43+AK44)*AK14)</f>
        <v>0</v>
      </c>
      <c r="AL107" s="635">
        <f t="shared" si="526"/>
        <v>0</v>
      </c>
      <c r="AM107" s="635">
        <f t="shared" si="526"/>
        <v>0</v>
      </c>
      <c r="AN107" s="635">
        <f t="shared" si="526"/>
        <v>0</v>
      </c>
      <c r="AO107" s="635">
        <f t="shared" ref="AO107:AY107" si="527">AO46*AO14-IF(AO21="nej",(AO43+AO44)*AO14)</f>
        <v>0</v>
      </c>
      <c r="AP107" s="635">
        <f t="shared" si="527"/>
        <v>0</v>
      </c>
      <c r="AQ107" s="635">
        <f t="shared" si="527"/>
        <v>0</v>
      </c>
      <c r="AR107" s="635">
        <f t="shared" si="527"/>
        <v>0</v>
      </c>
      <c r="AS107" s="635">
        <f t="shared" si="527"/>
        <v>0</v>
      </c>
      <c r="AT107" s="635">
        <f t="shared" si="527"/>
        <v>0</v>
      </c>
      <c r="AU107" s="635">
        <f t="shared" si="527"/>
        <v>0</v>
      </c>
      <c r="AV107" s="635">
        <f t="shared" si="527"/>
        <v>0</v>
      </c>
      <c r="AW107" s="635">
        <f t="shared" si="527"/>
        <v>0</v>
      </c>
      <c r="AX107" s="635">
        <f t="shared" si="527"/>
        <v>0</v>
      </c>
      <c r="AY107" s="635">
        <f t="shared" si="527"/>
        <v>0</v>
      </c>
      <c r="AZ107" s="635">
        <f t="shared" si="521"/>
        <v>0</v>
      </c>
      <c r="BA107" s="635">
        <f t="shared" ref="BA107:CK107" si="528">BA46*BA14-IF(BA21="nej",(BA43+BA44)*BA14)</f>
        <v>0</v>
      </c>
      <c r="BB107" s="635">
        <f t="shared" si="528"/>
        <v>0</v>
      </c>
      <c r="BC107" s="635">
        <f t="shared" ref="BC107" si="529">BC46*BC14-IF(BC21="nej",(BC43+BC44)*BC14)</f>
        <v>0</v>
      </c>
      <c r="BD107" s="635">
        <f t="shared" si="528"/>
        <v>0</v>
      </c>
      <c r="BE107" s="635">
        <f t="shared" si="528"/>
        <v>0</v>
      </c>
      <c r="BF107" s="635">
        <f t="shared" si="528"/>
        <v>0</v>
      </c>
      <c r="BG107" s="635">
        <f t="shared" si="528"/>
        <v>0</v>
      </c>
      <c r="BH107" s="635">
        <f t="shared" si="528"/>
        <v>0</v>
      </c>
      <c r="BI107" s="635">
        <f t="shared" si="528"/>
        <v>0</v>
      </c>
      <c r="BJ107" s="635">
        <f t="shared" si="528"/>
        <v>0</v>
      </c>
      <c r="BK107" s="635">
        <f t="shared" si="528"/>
        <v>0</v>
      </c>
      <c r="BL107" s="635">
        <f t="shared" si="528"/>
        <v>0</v>
      </c>
      <c r="BM107" s="635">
        <f t="shared" si="528"/>
        <v>0</v>
      </c>
      <c r="BN107" s="635">
        <f t="shared" si="528"/>
        <v>0</v>
      </c>
      <c r="BO107" s="635">
        <f t="shared" si="528"/>
        <v>0</v>
      </c>
      <c r="BP107" s="635">
        <f t="shared" si="528"/>
        <v>0</v>
      </c>
      <c r="BQ107" s="635">
        <f t="shared" si="528"/>
        <v>0</v>
      </c>
      <c r="BR107" s="635">
        <f t="shared" si="528"/>
        <v>0</v>
      </c>
      <c r="BS107" s="635">
        <f t="shared" si="528"/>
        <v>0</v>
      </c>
      <c r="BT107" s="635">
        <f t="shared" si="528"/>
        <v>0</v>
      </c>
      <c r="BU107" s="635">
        <f t="shared" si="528"/>
        <v>0</v>
      </c>
      <c r="BV107" s="635">
        <f t="shared" si="528"/>
        <v>0</v>
      </c>
      <c r="BW107" s="635">
        <f t="shared" si="528"/>
        <v>0</v>
      </c>
      <c r="BX107" s="635">
        <f t="shared" si="528"/>
        <v>0</v>
      </c>
      <c r="BY107" s="635">
        <f t="shared" si="528"/>
        <v>0</v>
      </c>
      <c r="BZ107" s="635">
        <f t="shared" si="528"/>
        <v>0</v>
      </c>
      <c r="CA107" s="635">
        <f t="shared" si="528"/>
        <v>0</v>
      </c>
      <c r="CB107" s="635">
        <f t="shared" si="528"/>
        <v>0</v>
      </c>
      <c r="CC107" s="635">
        <f t="shared" si="528"/>
        <v>0</v>
      </c>
      <c r="CD107" s="635">
        <f t="shared" ref="CD107" si="530">CD46*CD14-IF(CD21="nej",(CD43+CD44)*CD14)</f>
        <v>0</v>
      </c>
      <c r="CE107" s="635">
        <f t="shared" si="528"/>
        <v>0</v>
      </c>
      <c r="CF107" s="635">
        <f t="shared" ref="CF107:CG107" si="531">CF46*CF14-IF(CF21="nej",(CF43+CF44)*CF14)</f>
        <v>0</v>
      </c>
      <c r="CG107" s="635">
        <f t="shared" si="531"/>
        <v>0</v>
      </c>
      <c r="CH107" s="635">
        <f t="shared" si="528"/>
        <v>0</v>
      </c>
      <c r="CI107" s="635">
        <f t="shared" si="528"/>
        <v>0</v>
      </c>
      <c r="CJ107" s="635">
        <f t="shared" si="528"/>
        <v>0</v>
      </c>
      <c r="CK107" s="635">
        <f t="shared" si="528"/>
        <v>0</v>
      </c>
      <c r="CL107" s="635">
        <f t="shared" ref="CL107:DD107" si="532">CL46*CL14-IF(CL21="nej",(CL43+CL44)*CL14)</f>
        <v>0</v>
      </c>
      <c r="CM107" s="635">
        <f t="shared" si="532"/>
        <v>0</v>
      </c>
      <c r="CN107" s="635">
        <f t="shared" si="532"/>
        <v>0</v>
      </c>
      <c r="CO107" s="635">
        <f t="shared" si="532"/>
        <v>0</v>
      </c>
      <c r="CP107" s="635">
        <f t="shared" si="532"/>
        <v>0</v>
      </c>
      <c r="CQ107" s="635">
        <f t="shared" si="532"/>
        <v>0</v>
      </c>
      <c r="CR107" s="635">
        <f t="shared" si="532"/>
        <v>0</v>
      </c>
      <c r="CS107" s="635">
        <f t="shared" si="532"/>
        <v>0</v>
      </c>
      <c r="CT107" s="635">
        <f t="shared" si="532"/>
        <v>0</v>
      </c>
      <c r="CU107" s="635">
        <f t="shared" si="532"/>
        <v>0</v>
      </c>
      <c r="CV107" s="635">
        <f t="shared" si="532"/>
        <v>0</v>
      </c>
      <c r="CW107" s="635">
        <f t="shared" si="532"/>
        <v>0</v>
      </c>
      <c r="CX107" s="635">
        <f t="shared" si="532"/>
        <v>0</v>
      </c>
      <c r="CY107" s="635">
        <f t="shared" si="532"/>
        <v>0</v>
      </c>
      <c r="CZ107" s="635">
        <f t="shared" si="532"/>
        <v>0</v>
      </c>
      <c r="DA107" s="635">
        <f t="shared" si="532"/>
        <v>0</v>
      </c>
      <c r="DB107" s="635">
        <f t="shared" si="532"/>
        <v>0</v>
      </c>
      <c r="DC107" s="635">
        <f t="shared" si="532"/>
        <v>0</v>
      </c>
      <c r="DD107" s="635">
        <f t="shared" si="532"/>
        <v>0</v>
      </c>
    </row>
    <row r="108" spans="1:108" ht="13" hidden="1" customHeight="1">
      <c r="A108" s="575"/>
      <c r="B108" s="545" t="s">
        <v>103</v>
      </c>
      <c r="C108" s="545">
        <f t="shared" ref="C108:AZ108" si="533">IF(C16="Orlov",0,C47/3*2*C14)</f>
        <v>0</v>
      </c>
      <c r="D108" s="545">
        <f t="shared" si="533"/>
        <v>0</v>
      </c>
      <c r="E108" s="545">
        <f t="shared" si="533"/>
        <v>0</v>
      </c>
      <c r="F108" s="545">
        <f t="shared" ref="F108" si="534">IF(F16="Orlov",0,F47/3*2*F14)</f>
        <v>0</v>
      </c>
      <c r="G108" s="545">
        <f t="shared" si="533"/>
        <v>0</v>
      </c>
      <c r="H108" s="545">
        <f t="shared" si="533"/>
        <v>0</v>
      </c>
      <c r="I108" s="545">
        <f t="shared" ref="I108" si="535">IF(I16="Orlov",0,I47/3*2*I14)</f>
        <v>0</v>
      </c>
      <c r="J108" s="545">
        <f t="shared" si="533"/>
        <v>0</v>
      </c>
      <c r="K108" s="545">
        <f t="shared" si="533"/>
        <v>0</v>
      </c>
      <c r="L108" s="545">
        <f t="shared" si="533"/>
        <v>0</v>
      </c>
      <c r="M108" s="545">
        <f t="shared" si="533"/>
        <v>0</v>
      </c>
      <c r="N108" s="545">
        <f t="shared" si="533"/>
        <v>0</v>
      </c>
      <c r="O108" s="545">
        <f t="shared" si="533"/>
        <v>0</v>
      </c>
      <c r="P108" s="545">
        <f t="shared" si="533"/>
        <v>0</v>
      </c>
      <c r="Q108" s="545">
        <f t="shared" si="533"/>
        <v>0</v>
      </c>
      <c r="R108" s="545">
        <f t="shared" si="533"/>
        <v>0</v>
      </c>
      <c r="S108" s="545">
        <f t="shared" si="533"/>
        <v>0</v>
      </c>
      <c r="T108" s="545">
        <f t="shared" si="533"/>
        <v>0</v>
      </c>
      <c r="U108" s="545">
        <f t="shared" si="533"/>
        <v>0</v>
      </c>
      <c r="V108" s="545">
        <f t="shared" si="533"/>
        <v>0</v>
      </c>
      <c r="W108" s="545">
        <f t="shared" si="533"/>
        <v>0</v>
      </c>
      <c r="X108" s="545">
        <f t="shared" si="533"/>
        <v>0</v>
      </c>
      <c r="Y108" s="545">
        <f t="shared" ref="Y108" si="536">IF(Y16="Orlov",0,Y47/3*2*Y14)</f>
        <v>0</v>
      </c>
      <c r="Z108" s="545">
        <f t="shared" si="533"/>
        <v>0</v>
      </c>
      <c r="AA108" s="545">
        <f t="shared" si="533"/>
        <v>0</v>
      </c>
      <c r="AB108" s="545">
        <f t="shared" si="533"/>
        <v>0</v>
      </c>
      <c r="AC108" s="545">
        <f t="shared" si="533"/>
        <v>0</v>
      </c>
      <c r="AD108" s="545">
        <f t="shared" si="533"/>
        <v>0</v>
      </c>
      <c r="AE108" s="545">
        <f t="shared" ref="AE108" si="537">IF(AE16="Orlov",0,AE47/3*2*AE14)</f>
        <v>0</v>
      </c>
      <c r="AF108" s="545">
        <f t="shared" si="533"/>
        <v>0</v>
      </c>
      <c r="AG108" s="545">
        <f t="shared" si="533"/>
        <v>0</v>
      </c>
      <c r="AH108" s="545">
        <f t="shared" si="533"/>
        <v>0</v>
      </c>
      <c r="AI108" s="545">
        <f t="shared" si="533"/>
        <v>0</v>
      </c>
      <c r="AJ108" s="545">
        <f t="shared" si="533"/>
        <v>0</v>
      </c>
      <c r="AK108" s="545">
        <f t="shared" ref="AK108:AN108" si="538">IF(AK16="Orlov",0,AK47/3*2*AK14)</f>
        <v>0</v>
      </c>
      <c r="AL108" s="545">
        <f t="shared" si="538"/>
        <v>0</v>
      </c>
      <c r="AM108" s="545">
        <f t="shared" si="538"/>
        <v>0</v>
      </c>
      <c r="AN108" s="545">
        <f t="shared" si="538"/>
        <v>0</v>
      </c>
      <c r="AO108" s="545">
        <f t="shared" ref="AO108:AY108" si="539">IF(AO16="Orlov",0,AO47/3*2*AO14)</f>
        <v>0</v>
      </c>
      <c r="AP108" s="545">
        <f t="shared" si="539"/>
        <v>0</v>
      </c>
      <c r="AQ108" s="545">
        <f t="shared" si="539"/>
        <v>0</v>
      </c>
      <c r="AR108" s="545">
        <f t="shared" si="539"/>
        <v>0</v>
      </c>
      <c r="AS108" s="545">
        <f t="shared" si="539"/>
        <v>0</v>
      </c>
      <c r="AT108" s="545">
        <f t="shared" si="539"/>
        <v>0</v>
      </c>
      <c r="AU108" s="545">
        <f t="shared" si="539"/>
        <v>0</v>
      </c>
      <c r="AV108" s="545">
        <f t="shared" si="539"/>
        <v>0</v>
      </c>
      <c r="AW108" s="545">
        <f t="shared" si="539"/>
        <v>0</v>
      </c>
      <c r="AX108" s="545">
        <f t="shared" si="539"/>
        <v>0</v>
      </c>
      <c r="AY108" s="545">
        <f t="shared" si="539"/>
        <v>0</v>
      </c>
      <c r="AZ108" s="545">
        <f t="shared" si="533"/>
        <v>0</v>
      </c>
      <c r="BA108" s="545">
        <f t="shared" ref="BA108:CK108" si="540">IF(BA16="Orlov",0,BA47/3*2*BA14)</f>
        <v>0</v>
      </c>
      <c r="BB108" s="545">
        <f t="shared" si="540"/>
        <v>0</v>
      </c>
      <c r="BC108" s="545">
        <f t="shared" ref="BC108" si="541">IF(BC16="Orlov",0,BC47/3*2*BC14)</f>
        <v>0</v>
      </c>
      <c r="BD108" s="545">
        <f t="shared" si="540"/>
        <v>0</v>
      </c>
      <c r="BE108" s="545">
        <f t="shared" si="540"/>
        <v>0</v>
      </c>
      <c r="BF108" s="545">
        <f t="shared" si="540"/>
        <v>0</v>
      </c>
      <c r="BG108" s="545">
        <f t="shared" si="540"/>
        <v>0</v>
      </c>
      <c r="BH108" s="545">
        <f t="shared" si="540"/>
        <v>0</v>
      </c>
      <c r="BI108" s="545">
        <f t="shared" si="540"/>
        <v>0</v>
      </c>
      <c r="BJ108" s="545">
        <f t="shared" si="540"/>
        <v>0</v>
      </c>
      <c r="BK108" s="545">
        <f t="shared" si="540"/>
        <v>0</v>
      </c>
      <c r="BL108" s="545">
        <f t="shared" si="540"/>
        <v>0</v>
      </c>
      <c r="BM108" s="545">
        <f t="shared" si="540"/>
        <v>0</v>
      </c>
      <c r="BN108" s="545">
        <f t="shared" si="540"/>
        <v>0</v>
      </c>
      <c r="BO108" s="545">
        <f t="shared" si="540"/>
        <v>0</v>
      </c>
      <c r="BP108" s="545">
        <f t="shared" si="540"/>
        <v>0</v>
      </c>
      <c r="BQ108" s="545">
        <f t="shared" si="540"/>
        <v>0</v>
      </c>
      <c r="BR108" s="545">
        <f t="shared" si="540"/>
        <v>0</v>
      </c>
      <c r="BS108" s="545">
        <f t="shared" si="540"/>
        <v>0</v>
      </c>
      <c r="BT108" s="545">
        <f t="shared" si="540"/>
        <v>0</v>
      </c>
      <c r="BU108" s="545">
        <f t="shared" si="540"/>
        <v>0</v>
      </c>
      <c r="BV108" s="545">
        <f t="shared" si="540"/>
        <v>0</v>
      </c>
      <c r="BW108" s="545">
        <f t="shared" si="540"/>
        <v>0</v>
      </c>
      <c r="BX108" s="545">
        <f t="shared" si="540"/>
        <v>0</v>
      </c>
      <c r="BY108" s="545">
        <f t="shared" si="540"/>
        <v>0</v>
      </c>
      <c r="BZ108" s="545">
        <f t="shared" si="540"/>
        <v>0</v>
      </c>
      <c r="CA108" s="545">
        <f t="shared" si="540"/>
        <v>0</v>
      </c>
      <c r="CB108" s="545">
        <f t="shared" si="540"/>
        <v>0</v>
      </c>
      <c r="CC108" s="545">
        <f t="shared" si="540"/>
        <v>0</v>
      </c>
      <c r="CD108" s="545">
        <f t="shared" ref="CD108" si="542">IF(CD16="Orlov",0,CD47/3*2*CD14)</f>
        <v>0</v>
      </c>
      <c r="CE108" s="545">
        <f t="shared" si="540"/>
        <v>0</v>
      </c>
      <c r="CF108" s="545">
        <f t="shared" ref="CF108:CG108" si="543">IF(CF16="Orlov",0,CF47/3*2*CF14)</f>
        <v>0</v>
      </c>
      <c r="CG108" s="545">
        <f t="shared" si="543"/>
        <v>0</v>
      </c>
      <c r="CH108" s="545">
        <f t="shared" si="540"/>
        <v>0</v>
      </c>
      <c r="CI108" s="545">
        <f t="shared" si="540"/>
        <v>0</v>
      </c>
      <c r="CJ108" s="545">
        <f t="shared" si="540"/>
        <v>0</v>
      </c>
      <c r="CK108" s="545">
        <f t="shared" si="540"/>
        <v>0</v>
      </c>
      <c r="CL108" s="545">
        <f t="shared" ref="CL108:DD108" si="544">IF(CL16="Orlov",0,CL47/3*2*CL14)</f>
        <v>0</v>
      </c>
      <c r="CM108" s="545">
        <f t="shared" si="544"/>
        <v>0</v>
      </c>
      <c r="CN108" s="545">
        <f t="shared" si="544"/>
        <v>0</v>
      </c>
      <c r="CO108" s="545">
        <f t="shared" si="544"/>
        <v>0</v>
      </c>
      <c r="CP108" s="545">
        <f t="shared" si="544"/>
        <v>0</v>
      </c>
      <c r="CQ108" s="545">
        <f t="shared" si="544"/>
        <v>0</v>
      </c>
      <c r="CR108" s="545">
        <f t="shared" si="544"/>
        <v>0</v>
      </c>
      <c r="CS108" s="545">
        <f t="shared" si="544"/>
        <v>0</v>
      </c>
      <c r="CT108" s="545">
        <f t="shared" si="544"/>
        <v>0</v>
      </c>
      <c r="CU108" s="545">
        <f t="shared" si="544"/>
        <v>0</v>
      </c>
      <c r="CV108" s="545">
        <f t="shared" si="544"/>
        <v>0</v>
      </c>
      <c r="CW108" s="545">
        <f t="shared" si="544"/>
        <v>0</v>
      </c>
      <c r="CX108" s="545">
        <f t="shared" si="544"/>
        <v>0</v>
      </c>
      <c r="CY108" s="545">
        <f t="shared" si="544"/>
        <v>0</v>
      </c>
      <c r="CZ108" s="545">
        <f t="shared" si="544"/>
        <v>0</v>
      </c>
      <c r="DA108" s="545">
        <f t="shared" si="544"/>
        <v>0</v>
      </c>
      <c r="DB108" s="545">
        <f t="shared" si="544"/>
        <v>0</v>
      </c>
      <c r="DC108" s="545">
        <f t="shared" si="544"/>
        <v>0</v>
      </c>
      <c r="DD108" s="545">
        <f t="shared" si="544"/>
        <v>0</v>
      </c>
    </row>
    <row r="109" spans="1:108" ht="13" hidden="1" customHeight="1">
      <c r="A109" s="575"/>
      <c r="B109" s="545" t="s">
        <v>764</v>
      </c>
      <c r="C109" s="635">
        <f t="shared" ref="C109:AZ109" si="545">C49</f>
        <v>0</v>
      </c>
      <c r="D109" s="635">
        <f t="shared" si="545"/>
        <v>0</v>
      </c>
      <c r="E109" s="635">
        <f t="shared" si="545"/>
        <v>0</v>
      </c>
      <c r="F109" s="635">
        <f t="shared" ref="F109" si="546">F49</f>
        <v>0</v>
      </c>
      <c r="G109" s="635">
        <f t="shared" si="545"/>
        <v>0</v>
      </c>
      <c r="H109" s="635">
        <f t="shared" si="545"/>
        <v>0</v>
      </c>
      <c r="I109" s="635">
        <f t="shared" ref="I109" si="547">I49</f>
        <v>0</v>
      </c>
      <c r="J109" s="635">
        <f t="shared" si="545"/>
        <v>0</v>
      </c>
      <c r="K109" s="635">
        <f t="shared" si="545"/>
        <v>0</v>
      </c>
      <c r="L109" s="635">
        <f t="shared" si="545"/>
        <v>0</v>
      </c>
      <c r="M109" s="635">
        <f t="shared" si="545"/>
        <v>0</v>
      </c>
      <c r="N109" s="635">
        <f t="shared" si="545"/>
        <v>0</v>
      </c>
      <c r="O109" s="635">
        <f t="shared" si="545"/>
        <v>0</v>
      </c>
      <c r="P109" s="635">
        <f t="shared" si="545"/>
        <v>0</v>
      </c>
      <c r="Q109" s="635">
        <f t="shared" si="545"/>
        <v>0</v>
      </c>
      <c r="R109" s="635">
        <f t="shared" si="545"/>
        <v>0</v>
      </c>
      <c r="S109" s="635">
        <f t="shared" si="545"/>
        <v>0</v>
      </c>
      <c r="T109" s="635">
        <f t="shared" si="545"/>
        <v>0</v>
      </c>
      <c r="U109" s="635">
        <f t="shared" si="545"/>
        <v>0</v>
      </c>
      <c r="V109" s="635">
        <f t="shared" si="545"/>
        <v>0</v>
      </c>
      <c r="W109" s="635">
        <f t="shared" si="545"/>
        <v>0</v>
      </c>
      <c r="X109" s="635">
        <f t="shared" si="545"/>
        <v>0</v>
      </c>
      <c r="Y109" s="635">
        <f t="shared" ref="Y109" si="548">Y49</f>
        <v>0</v>
      </c>
      <c r="Z109" s="635">
        <f t="shared" si="545"/>
        <v>0</v>
      </c>
      <c r="AA109" s="635">
        <f t="shared" si="545"/>
        <v>0</v>
      </c>
      <c r="AB109" s="635">
        <f t="shared" si="545"/>
        <v>0</v>
      </c>
      <c r="AC109" s="635">
        <f t="shared" si="545"/>
        <v>0</v>
      </c>
      <c r="AD109" s="635">
        <f t="shared" si="545"/>
        <v>0</v>
      </c>
      <c r="AE109" s="635">
        <f t="shared" ref="AE109" si="549">AE49</f>
        <v>0</v>
      </c>
      <c r="AF109" s="635">
        <f t="shared" si="545"/>
        <v>0</v>
      </c>
      <c r="AG109" s="635">
        <f t="shared" si="545"/>
        <v>0</v>
      </c>
      <c r="AH109" s="635">
        <f t="shared" si="545"/>
        <v>0</v>
      </c>
      <c r="AI109" s="635">
        <f t="shared" si="545"/>
        <v>0</v>
      </c>
      <c r="AJ109" s="635">
        <f t="shared" si="545"/>
        <v>0</v>
      </c>
      <c r="AK109" s="635">
        <f t="shared" ref="AK109:AN109" si="550">AK49</f>
        <v>0</v>
      </c>
      <c r="AL109" s="635">
        <f t="shared" si="550"/>
        <v>0</v>
      </c>
      <c r="AM109" s="635">
        <f t="shared" si="550"/>
        <v>0</v>
      </c>
      <c r="AN109" s="635">
        <f t="shared" si="550"/>
        <v>0</v>
      </c>
      <c r="AO109" s="635">
        <f t="shared" ref="AO109:AY109" si="551">AO49</f>
        <v>0</v>
      </c>
      <c r="AP109" s="635">
        <f t="shared" si="551"/>
        <v>0</v>
      </c>
      <c r="AQ109" s="635">
        <f t="shared" si="551"/>
        <v>0</v>
      </c>
      <c r="AR109" s="635">
        <f t="shared" si="551"/>
        <v>0</v>
      </c>
      <c r="AS109" s="635">
        <f t="shared" si="551"/>
        <v>0</v>
      </c>
      <c r="AT109" s="635">
        <f t="shared" si="551"/>
        <v>0</v>
      </c>
      <c r="AU109" s="635">
        <f t="shared" si="551"/>
        <v>0</v>
      </c>
      <c r="AV109" s="635">
        <f t="shared" si="551"/>
        <v>0</v>
      </c>
      <c r="AW109" s="635">
        <f t="shared" si="551"/>
        <v>0</v>
      </c>
      <c r="AX109" s="635">
        <f t="shared" si="551"/>
        <v>0</v>
      </c>
      <c r="AY109" s="635">
        <f t="shared" si="551"/>
        <v>0</v>
      </c>
      <c r="AZ109" s="635">
        <f t="shared" si="545"/>
        <v>0</v>
      </c>
      <c r="BA109" s="635">
        <f t="shared" ref="BA109:CK109" si="552">BA49</f>
        <v>0</v>
      </c>
      <c r="BB109" s="635">
        <f t="shared" si="552"/>
        <v>0</v>
      </c>
      <c r="BC109" s="635">
        <f t="shared" ref="BC109" si="553">BC49</f>
        <v>0</v>
      </c>
      <c r="BD109" s="635">
        <f t="shared" si="552"/>
        <v>0</v>
      </c>
      <c r="BE109" s="635">
        <f t="shared" si="552"/>
        <v>0</v>
      </c>
      <c r="BF109" s="635">
        <f t="shared" si="552"/>
        <v>0</v>
      </c>
      <c r="BG109" s="635">
        <f t="shared" si="552"/>
        <v>0</v>
      </c>
      <c r="BH109" s="635">
        <f t="shared" si="552"/>
        <v>0</v>
      </c>
      <c r="BI109" s="635">
        <f t="shared" si="552"/>
        <v>0</v>
      </c>
      <c r="BJ109" s="635">
        <f t="shared" si="552"/>
        <v>0</v>
      </c>
      <c r="BK109" s="635">
        <f t="shared" si="552"/>
        <v>0</v>
      </c>
      <c r="BL109" s="635">
        <f t="shared" si="552"/>
        <v>0</v>
      </c>
      <c r="BM109" s="635">
        <f t="shared" si="552"/>
        <v>0</v>
      </c>
      <c r="BN109" s="635">
        <f t="shared" si="552"/>
        <v>0</v>
      </c>
      <c r="BO109" s="635">
        <f t="shared" si="552"/>
        <v>0</v>
      </c>
      <c r="BP109" s="635">
        <f t="shared" si="552"/>
        <v>0</v>
      </c>
      <c r="BQ109" s="635">
        <f t="shared" si="552"/>
        <v>0</v>
      </c>
      <c r="BR109" s="635">
        <f t="shared" si="552"/>
        <v>0</v>
      </c>
      <c r="BS109" s="635">
        <f t="shared" si="552"/>
        <v>0</v>
      </c>
      <c r="BT109" s="635">
        <f t="shared" si="552"/>
        <v>0</v>
      </c>
      <c r="BU109" s="635">
        <f t="shared" si="552"/>
        <v>0</v>
      </c>
      <c r="BV109" s="635">
        <f t="shared" si="552"/>
        <v>0</v>
      </c>
      <c r="BW109" s="635">
        <f t="shared" si="552"/>
        <v>0</v>
      </c>
      <c r="BX109" s="635">
        <f t="shared" si="552"/>
        <v>0</v>
      </c>
      <c r="BY109" s="635">
        <f t="shared" si="552"/>
        <v>0</v>
      </c>
      <c r="BZ109" s="635">
        <f t="shared" si="552"/>
        <v>0</v>
      </c>
      <c r="CA109" s="635">
        <f t="shared" si="552"/>
        <v>0</v>
      </c>
      <c r="CB109" s="635">
        <f t="shared" si="552"/>
        <v>0</v>
      </c>
      <c r="CC109" s="635">
        <f t="shared" si="552"/>
        <v>0</v>
      </c>
      <c r="CD109" s="635">
        <f t="shared" ref="CD109" si="554">CD49</f>
        <v>0</v>
      </c>
      <c r="CE109" s="635">
        <f t="shared" si="552"/>
        <v>0</v>
      </c>
      <c r="CF109" s="635">
        <f t="shared" ref="CF109:CG109" si="555">CF49</f>
        <v>0</v>
      </c>
      <c r="CG109" s="635">
        <f t="shared" si="555"/>
        <v>0</v>
      </c>
      <c r="CH109" s="635">
        <f t="shared" si="552"/>
        <v>0</v>
      </c>
      <c r="CI109" s="635">
        <f t="shared" si="552"/>
        <v>0</v>
      </c>
      <c r="CJ109" s="635">
        <f t="shared" si="552"/>
        <v>0</v>
      </c>
      <c r="CK109" s="635">
        <f t="shared" si="552"/>
        <v>0</v>
      </c>
      <c r="CL109" s="635">
        <f t="shared" ref="CL109:DD109" si="556">CL49</f>
        <v>0</v>
      </c>
      <c r="CM109" s="635">
        <f t="shared" si="556"/>
        <v>0</v>
      </c>
      <c r="CN109" s="635">
        <f t="shared" si="556"/>
        <v>0</v>
      </c>
      <c r="CO109" s="635">
        <f t="shared" si="556"/>
        <v>0</v>
      </c>
      <c r="CP109" s="635">
        <f t="shared" si="556"/>
        <v>0</v>
      </c>
      <c r="CQ109" s="635">
        <f t="shared" si="556"/>
        <v>0</v>
      </c>
      <c r="CR109" s="635">
        <f t="shared" si="556"/>
        <v>0</v>
      </c>
      <c r="CS109" s="635">
        <f t="shared" si="556"/>
        <v>0</v>
      </c>
      <c r="CT109" s="635">
        <f t="shared" si="556"/>
        <v>0</v>
      </c>
      <c r="CU109" s="635">
        <f t="shared" si="556"/>
        <v>0</v>
      </c>
      <c r="CV109" s="635">
        <f t="shared" si="556"/>
        <v>0</v>
      </c>
      <c r="CW109" s="635">
        <f t="shared" si="556"/>
        <v>0</v>
      </c>
      <c r="CX109" s="635">
        <f t="shared" si="556"/>
        <v>0</v>
      </c>
      <c r="CY109" s="635">
        <f t="shared" si="556"/>
        <v>0</v>
      </c>
      <c r="CZ109" s="635">
        <f t="shared" si="556"/>
        <v>0</v>
      </c>
      <c r="DA109" s="635">
        <f t="shared" si="556"/>
        <v>0</v>
      </c>
      <c r="DB109" s="635">
        <f t="shared" si="556"/>
        <v>0</v>
      </c>
      <c r="DC109" s="635">
        <f t="shared" si="556"/>
        <v>0</v>
      </c>
      <c r="DD109" s="635">
        <f t="shared" si="556"/>
        <v>0</v>
      </c>
    </row>
    <row r="110" spans="1:108" ht="13" hidden="1" customHeight="1">
      <c r="A110" s="575"/>
      <c r="B110" s="545" t="s">
        <v>558</v>
      </c>
      <c r="C110" s="545">
        <f t="shared" ref="C110:AZ110" si="557">IF(C16="Orlov",0,C51)</f>
        <v>0</v>
      </c>
      <c r="D110" s="545">
        <f t="shared" si="557"/>
        <v>0</v>
      </c>
      <c r="E110" s="545">
        <f t="shared" si="557"/>
        <v>0</v>
      </c>
      <c r="F110" s="545">
        <f t="shared" ref="F110" si="558">IF(F16="Orlov",0,F51)</f>
        <v>0</v>
      </c>
      <c r="G110" s="545">
        <f t="shared" si="557"/>
        <v>0</v>
      </c>
      <c r="H110" s="545">
        <f t="shared" si="557"/>
        <v>0</v>
      </c>
      <c r="I110" s="545">
        <f t="shared" ref="I110" si="559">IF(I16="Orlov",0,I51)</f>
        <v>0</v>
      </c>
      <c r="J110" s="545">
        <f t="shared" si="557"/>
        <v>0</v>
      </c>
      <c r="K110" s="545">
        <f t="shared" si="557"/>
        <v>0</v>
      </c>
      <c r="L110" s="545">
        <f t="shared" si="557"/>
        <v>0</v>
      </c>
      <c r="M110" s="545">
        <f t="shared" si="557"/>
        <v>0</v>
      </c>
      <c r="N110" s="545">
        <f t="shared" si="557"/>
        <v>0</v>
      </c>
      <c r="O110" s="545">
        <f t="shared" si="557"/>
        <v>0</v>
      </c>
      <c r="P110" s="545">
        <f t="shared" si="557"/>
        <v>0</v>
      </c>
      <c r="Q110" s="545">
        <f t="shared" si="557"/>
        <v>0</v>
      </c>
      <c r="R110" s="545">
        <f t="shared" si="557"/>
        <v>0</v>
      </c>
      <c r="S110" s="545">
        <f t="shared" si="557"/>
        <v>0</v>
      </c>
      <c r="T110" s="545">
        <f t="shared" si="557"/>
        <v>0</v>
      </c>
      <c r="U110" s="545">
        <f t="shared" si="557"/>
        <v>0</v>
      </c>
      <c r="V110" s="545">
        <f t="shared" si="557"/>
        <v>0</v>
      </c>
      <c r="W110" s="545">
        <f t="shared" si="557"/>
        <v>0</v>
      </c>
      <c r="X110" s="545">
        <f t="shared" si="557"/>
        <v>0</v>
      </c>
      <c r="Y110" s="545">
        <f t="shared" ref="Y110" si="560">IF(Y16="Orlov",0,Y51)</f>
        <v>0</v>
      </c>
      <c r="Z110" s="545">
        <f t="shared" si="557"/>
        <v>0</v>
      </c>
      <c r="AA110" s="545">
        <f t="shared" si="557"/>
        <v>0</v>
      </c>
      <c r="AB110" s="545">
        <f t="shared" si="557"/>
        <v>0</v>
      </c>
      <c r="AC110" s="545">
        <f t="shared" si="557"/>
        <v>0</v>
      </c>
      <c r="AD110" s="545">
        <f t="shared" si="557"/>
        <v>0</v>
      </c>
      <c r="AE110" s="545">
        <f t="shared" ref="AE110" si="561">IF(AE16="Orlov",0,AE51)</f>
        <v>0</v>
      </c>
      <c r="AF110" s="545">
        <f t="shared" si="557"/>
        <v>0</v>
      </c>
      <c r="AG110" s="545">
        <f t="shared" si="557"/>
        <v>0</v>
      </c>
      <c r="AH110" s="545">
        <f t="shared" si="557"/>
        <v>0</v>
      </c>
      <c r="AI110" s="545">
        <f t="shared" si="557"/>
        <v>0</v>
      </c>
      <c r="AJ110" s="545">
        <f t="shared" si="557"/>
        <v>0</v>
      </c>
      <c r="AK110" s="545">
        <f t="shared" ref="AK110:AN110" si="562">IF(AK16="Orlov",0,AK51)</f>
        <v>0</v>
      </c>
      <c r="AL110" s="545">
        <f t="shared" si="562"/>
        <v>0</v>
      </c>
      <c r="AM110" s="545">
        <f t="shared" si="562"/>
        <v>0</v>
      </c>
      <c r="AN110" s="545">
        <f t="shared" si="562"/>
        <v>0</v>
      </c>
      <c r="AO110" s="545">
        <f t="shared" ref="AO110:AY110" si="563">IF(AO16="Orlov",0,AO51)</f>
        <v>0</v>
      </c>
      <c r="AP110" s="545">
        <f t="shared" si="563"/>
        <v>0</v>
      </c>
      <c r="AQ110" s="545">
        <f t="shared" si="563"/>
        <v>0</v>
      </c>
      <c r="AR110" s="545">
        <f t="shared" si="563"/>
        <v>0</v>
      </c>
      <c r="AS110" s="545">
        <f t="shared" si="563"/>
        <v>0</v>
      </c>
      <c r="AT110" s="545">
        <f t="shared" si="563"/>
        <v>0</v>
      </c>
      <c r="AU110" s="545">
        <f t="shared" si="563"/>
        <v>0</v>
      </c>
      <c r="AV110" s="545">
        <f t="shared" si="563"/>
        <v>0</v>
      </c>
      <c r="AW110" s="545">
        <f t="shared" si="563"/>
        <v>0</v>
      </c>
      <c r="AX110" s="545">
        <f t="shared" si="563"/>
        <v>0</v>
      </c>
      <c r="AY110" s="545">
        <f t="shared" si="563"/>
        <v>0</v>
      </c>
      <c r="AZ110" s="545">
        <f t="shared" si="557"/>
        <v>0</v>
      </c>
      <c r="BA110" s="545">
        <f t="shared" ref="BA110:CK110" si="564">IF(BA16="Orlov",0,BA51)</f>
        <v>0</v>
      </c>
      <c r="BB110" s="545">
        <f t="shared" si="564"/>
        <v>0</v>
      </c>
      <c r="BC110" s="545">
        <f t="shared" ref="BC110" si="565">IF(BC16="Orlov",0,BC51)</f>
        <v>0</v>
      </c>
      <c r="BD110" s="545">
        <f t="shared" si="564"/>
        <v>0</v>
      </c>
      <c r="BE110" s="545">
        <f t="shared" si="564"/>
        <v>0</v>
      </c>
      <c r="BF110" s="545">
        <f t="shared" si="564"/>
        <v>0</v>
      </c>
      <c r="BG110" s="545">
        <f t="shared" si="564"/>
        <v>0</v>
      </c>
      <c r="BH110" s="545">
        <f t="shared" si="564"/>
        <v>0</v>
      </c>
      <c r="BI110" s="545">
        <f t="shared" si="564"/>
        <v>0</v>
      </c>
      <c r="BJ110" s="545">
        <f t="shared" si="564"/>
        <v>0</v>
      </c>
      <c r="BK110" s="545">
        <f t="shared" si="564"/>
        <v>0</v>
      </c>
      <c r="BL110" s="545">
        <f t="shared" si="564"/>
        <v>0</v>
      </c>
      <c r="BM110" s="545">
        <f t="shared" si="564"/>
        <v>0</v>
      </c>
      <c r="BN110" s="545">
        <f t="shared" si="564"/>
        <v>0</v>
      </c>
      <c r="BO110" s="545">
        <f t="shared" si="564"/>
        <v>0</v>
      </c>
      <c r="BP110" s="545">
        <f t="shared" si="564"/>
        <v>0</v>
      </c>
      <c r="BQ110" s="545">
        <f t="shared" si="564"/>
        <v>0</v>
      </c>
      <c r="BR110" s="545">
        <f t="shared" si="564"/>
        <v>0</v>
      </c>
      <c r="BS110" s="545">
        <f t="shared" si="564"/>
        <v>0</v>
      </c>
      <c r="BT110" s="545">
        <f t="shared" si="564"/>
        <v>0</v>
      </c>
      <c r="BU110" s="545">
        <f t="shared" si="564"/>
        <v>0</v>
      </c>
      <c r="BV110" s="545">
        <f t="shared" si="564"/>
        <v>0</v>
      </c>
      <c r="BW110" s="545">
        <f t="shared" si="564"/>
        <v>0</v>
      </c>
      <c r="BX110" s="545">
        <f t="shared" si="564"/>
        <v>0</v>
      </c>
      <c r="BY110" s="545">
        <f t="shared" si="564"/>
        <v>0</v>
      </c>
      <c r="BZ110" s="545">
        <f t="shared" si="564"/>
        <v>0</v>
      </c>
      <c r="CA110" s="545">
        <f t="shared" si="564"/>
        <v>0</v>
      </c>
      <c r="CB110" s="545">
        <f t="shared" si="564"/>
        <v>0</v>
      </c>
      <c r="CC110" s="545">
        <f t="shared" si="564"/>
        <v>0</v>
      </c>
      <c r="CD110" s="545">
        <f t="shared" ref="CD110" si="566">IF(CD16="Orlov",0,CD51)</f>
        <v>0</v>
      </c>
      <c r="CE110" s="545">
        <f t="shared" si="564"/>
        <v>0</v>
      </c>
      <c r="CF110" s="545">
        <f t="shared" ref="CF110:CG110" si="567">IF(CF16="Orlov",0,CF51)</f>
        <v>0</v>
      </c>
      <c r="CG110" s="545">
        <f t="shared" si="567"/>
        <v>0</v>
      </c>
      <c r="CH110" s="545">
        <f t="shared" si="564"/>
        <v>0</v>
      </c>
      <c r="CI110" s="545">
        <f t="shared" si="564"/>
        <v>0</v>
      </c>
      <c r="CJ110" s="545">
        <f t="shared" si="564"/>
        <v>0</v>
      </c>
      <c r="CK110" s="545">
        <f t="shared" si="564"/>
        <v>0</v>
      </c>
      <c r="CL110" s="545">
        <f t="shared" ref="CL110:DD110" si="568">IF(CL16="Orlov",0,CL51)</f>
        <v>0</v>
      </c>
      <c r="CM110" s="545">
        <f t="shared" si="568"/>
        <v>0</v>
      </c>
      <c r="CN110" s="545">
        <f t="shared" si="568"/>
        <v>0</v>
      </c>
      <c r="CO110" s="545">
        <f t="shared" si="568"/>
        <v>0</v>
      </c>
      <c r="CP110" s="545">
        <f t="shared" si="568"/>
        <v>0</v>
      </c>
      <c r="CQ110" s="545">
        <f t="shared" si="568"/>
        <v>0</v>
      </c>
      <c r="CR110" s="545">
        <f t="shared" si="568"/>
        <v>0</v>
      </c>
      <c r="CS110" s="545">
        <f t="shared" si="568"/>
        <v>0</v>
      </c>
      <c r="CT110" s="545">
        <f t="shared" si="568"/>
        <v>0</v>
      </c>
      <c r="CU110" s="545">
        <f t="shared" si="568"/>
        <v>0</v>
      </c>
      <c r="CV110" s="545">
        <f t="shared" si="568"/>
        <v>0</v>
      </c>
      <c r="CW110" s="545">
        <f t="shared" si="568"/>
        <v>0</v>
      </c>
      <c r="CX110" s="545">
        <f t="shared" si="568"/>
        <v>0</v>
      </c>
      <c r="CY110" s="545">
        <f t="shared" si="568"/>
        <v>0</v>
      </c>
      <c r="CZ110" s="545">
        <f t="shared" si="568"/>
        <v>0</v>
      </c>
      <c r="DA110" s="545">
        <f t="shared" si="568"/>
        <v>0</v>
      </c>
      <c r="DB110" s="545">
        <f t="shared" si="568"/>
        <v>0</v>
      </c>
      <c r="DC110" s="545">
        <f t="shared" si="568"/>
        <v>0</v>
      </c>
      <c r="DD110" s="545">
        <f t="shared" si="568"/>
        <v>0</v>
      </c>
    </row>
    <row r="111" spans="1:108" ht="13" hidden="1" customHeight="1">
      <c r="B111" s="63" t="s">
        <v>710</v>
      </c>
      <c r="C111" s="68">
        <f t="shared" ref="C111:AZ111" si="569">IF(C16="Orlov",0,C53)</f>
        <v>0</v>
      </c>
      <c r="D111" s="68">
        <f t="shared" si="569"/>
        <v>0</v>
      </c>
      <c r="E111" s="68">
        <f t="shared" si="569"/>
        <v>0</v>
      </c>
      <c r="F111" s="68">
        <f t="shared" ref="F111" si="570">IF(F16="Orlov",0,F53)</f>
        <v>0</v>
      </c>
      <c r="G111" s="68">
        <f t="shared" si="569"/>
        <v>0</v>
      </c>
      <c r="H111" s="68">
        <f t="shared" si="569"/>
        <v>0</v>
      </c>
      <c r="I111" s="68">
        <f t="shared" ref="I111" si="571">IF(I16="Orlov",0,I53)</f>
        <v>0</v>
      </c>
      <c r="J111" s="68">
        <f t="shared" si="569"/>
        <v>0</v>
      </c>
      <c r="K111" s="68">
        <f t="shared" si="569"/>
        <v>0</v>
      </c>
      <c r="L111" s="68">
        <f t="shared" si="569"/>
        <v>0</v>
      </c>
      <c r="M111" s="68">
        <f t="shared" si="569"/>
        <v>0</v>
      </c>
      <c r="N111" s="68">
        <f t="shared" si="569"/>
        <v>0</v>
      </c>
      <c r="O111" s="68">
        <f t="shared" si="569"/>
        <v>0</v>
      </c>
      <c r="P111" s="68">
        <f t="shared" si="569"/>
        <v>0</v>
      </c>
      <c r="Q111" s="68">
        <f t="shared" si="569"/>
        <v>0</v>
      </c>
      <c r="R111" s="68">
        <f t="shared" si="569"/>
        <v>0</v>
      </c>
      <c r="S111" s="68">
        <f t="shared" si="569"/>
        <v>0</v>
      </c>
      <c r="T111" s="68">
        <f t="shared" si="569"/>
        <v>0</v>
      </c>
      <c r="U111" s="68">
        <f t="shared" si="569"/>
        <v>0</v>
      </c>
      <c r="V111" s="68">
        <f t="shared" si="569"/>
        <v>0</v>
      </c>
      <c r="W111" s="68">
        <f t="shared" si="569"/>
        <v>0</v>
      </c>
      <c r="X111" s="68">
        <f t="shared" si="569"/>
        <v>0</v>
      </c>
      <c r="Y111" s="68">
        <f t="shared" ref="Y111" si="572">IF(Y16="Orlov",0,Y53)</f>
        <v>0</v>
      </c>
      <c r="Z111" s="68">
        <f t="shared" si="569"/>
        <v>0</v>
      </c>
      <c r="AA111" s="68">
        <f t="shared" si="569"/>
        <v>0</v>
      </c>
      <c r="AB111" s="68">
        <f t="shared" si="569"/>
        <v>0</v>
      </c>
      <c r="AC111" s="68">
        <f t="shared" si="569"/>
        <v>0</v>
      </c>
      <c r="AD111" s="68">
        <f t="shared" si="569"/>
        <v>0</v>
      </c>
      <c r="AE111" s="68">
        <f t="shared" ref="AE111" si="573">IF(AE16="Orlov",0,AE53)</f>
        <v>0</v>
      </c>
      <c r="AF111" s="68">
        <f t="shared" si="569"/>
        <v>0</v>
      </c>
      <c r="AG111" s="68">
        <f t="shared" si="569"/>
        <v>0</v>
      </c>
      <c r="AH111" s="68">
        <f t="shared" si="569"/>
        <v>0</v>
      </c>
      <c r="AI111" s="68">
        <f t="shared" si="569"/>
        <v>0</v>
      </c>
      <c r="AJ111" s="68">
        <f t="shared" si="569"/>
        <v>0</v>
      </c>
      <c r="AK111" s="68">
        <f t="shared" ref="AK111:AN111" si="574">IF(AK16="Orlov",0,AK53)</f>
        <v>0</v>
      </c>
      <c r="AL111" s="68">
        <f t="shared" si="574"/>
        <v>0</v>
      </c>
      <c r="AM111" s="68">
        <f t="shared" si="574"/>
        <v>0</v>
      </c>
      <c r="AN111" s="68">
        <f t="shared" si="574"/>
        <v>0</v>
      </c>
      <c r="AO111" s="68">
        <f t="shared" ref="AO111:AY111" si="575">IF(AO16="Orlov",0,AO53)</f>
        <v>0</v>
      </c>
      <c r="AP111" s="68">
        <f t="shared" si="575"/>
        <v>0</v>
      </c>
      <c r="AQ111" s="68">
        <f t="shared" si="575"/>
        <v>0</v>
      </c>
      <c r="AR111" s="68">
        <f t="shared" si="575"/>
        <v>0</v>
      </c>
      <c r="AS111" s="68">
        <f t="shared" si="575"/>
        <v>0</v>
      </c>
      <c r="AT111" s="68">
        <f t="shared" si="575"/>
        <v>0</v>
      </c>
      <c r="AU111" s="68">
        <f t="shared" si="575"/>
        <v>0</v>
      </c>
      <c r="AV111" s="68">
        <f t="shared" si="575"/>
        <v>0</v>
      </c>
      <c r="AW111" s="68">
        <f t="shared" si="575"/>
        <v>0</v>
      </c>
      <c r="AX111" s="68">
        <f t="shared" si="575"/>
        <v>0</v>
      </c>
      <c r="AY111" s="68">
        <f t="shared" si="575"/>
        <v>0</v>
      </c>
      <c r="AZ111" s="68">
        <f t="shared" si="569"/>
        <v>0</v>
      </c>
      <c r="BA111" s="68">
        <f t="shared" ref="BA111:CK111" si="576">IF(BA16="Orlov",0,BA53)</f>
        <v>0</v>
      </c>
      <c r="BB111" s="68">
        <f t="shared" si="576"/>
        <v>0</v>
      </c>
      <c r="BC111" s="68">
        <f t="shared" ref="BC111" si="577">IF(BC16="Orlov",0,BC53)</f>
        <v>0</v>
      </c>
      <c r="BD111" s="68">
        <f t="shared" si="576"/>
        <v>0</v>
      </c>
      <c r="BE111" s="68">
        <f t="shared" si="576"/>
        <v>0</v>
      </c>
      <c r="BF111" s="68">
        <f t="shared" si="576"/>
        <v>0</v>
      </c>
      <c r="BG111" s="68">
        <f t="shared" si="576"/>
        <v>0</v>
      </c>
      <c r="BH111" s="68">
        <f t="shared" si="576"/>
        <v>0</v>
      </c>
      <c r="BI111" s="68">
        <f t="shared" si="576"/>
        <v>0</v>
      </c>
      <c r="BJ111" s="68">
        <f t="shared" si="576"/>
        <v>0</v>
      </c>
      <c r="BK111" s="68">
        <f t="shared" si="576"/>
        <v>0</v>
      </c>
      <c r="BL111" s="68">
        <f t="shared" si="576"/>
        <v>0</v>
      </c>
      <c r="BM111" s="68">
        <f t="shared" si="576"/>
        <v>0</v>
      </c>
      <c r="BN111" s="68">
        <f t="shared" si="576"/>
        <v>0</v>
      </c>
      <c r="BO111" s="68">
        <f t="shared" si="576"/>
        <v>0</v>
      </c>
      <c r="BP111" s="68">
        <f t="shared" si="576"/>
        <v>0</v>
      </c>
      <c r="BQ111" s="68">
        <f t="shared" si="576"/>
        <v>0</v>
      </c>
      <c r="BR111" s="68">
        <f t="shared" si="576"/>
        <v>0</v>
      </c>
      <c r="BS111" s="68">
        <f t="shared" si="576"/>
        <v>0</v>
      </c>
      <c r="BT111" s="68">
        <f t="shared" si="576"/>
        <v>0</v>
      </c>
      <c r="BU111" s="68">
        <f t="shared" si="576"/>
        <v>0</v>
      </c>
      <c r="BV111" s="68">
        <f t="shared" si="576"/>
        <v>0</v>
      </c>
      <c r="BW111" s="68">
        <f t="shared" si="576"/>
        <v>0</v>
      </c>
      <c r="BX111" s="68">
        <f t="shared" si="576"/>
        <v>0</v>
      </c>
      <c r="BY111" s="68">
        <f t="shared" si="576"/>
        <v>0</v>
      </c>
      <c r="BZ111" s="68">
        <f t="shared" si="576"/>
        <v>0</v>
      </c>
      <c r="CA111" s="68">
        <f t="shared" si="576"/>
        <v>0</v>
      </c>
      <c r="CB111" s="68">
        <f t="shared" si="576"/>
        <v>0</v>
      </c>
      <c r="CC111" s="68">
        <f t="shared" si="576"/>
        <v>0</v>
      </c>
      <c r="CD111" s="68">
        <f t="shared" ref="CD111" si="578">IF(CD16="Orlov",0,CD53)</f>
        <v>0</v>
      </c>
      <c r="CE111" s="68">
        <f t="shared" si="576"/>
        <v>0</v>
      </c>
      <c r="CF111" s="68">
        <f t="shared" ref="CF111:CG111" si="579">IF(CF16="Orlov",0,CF53)</f>
        <v>0</v>
      </c>
      <c r="CG111" s="68">
        <f t="shared" si="579"/>
        <v>0</v>
      </c>
      <c r="CH111" s="68">
        <f t="shared" si="576"/>
        <v>0</v>
      </c>
      <c r="CI111" s="68">
        <f t="shared" si="576"/>
        <v>0</v>
      </c>
      <c r="CJ111" s="68">
        <f t="shared" si="576"/>
        <v>0</v>
      </c>
      <c r="CK111" s="68">
        <f t="shared" si="576"/>
        <v>0</v>
      </c>
      <c r="CL111" s="68">
        <f t="shared" ref="CL111:DD111" si="580">IF(CL16="Orlov",0,CL53)</f>
        <v>0</v>
      </c>
      <c r="CM111" s="68">
        <f t="shared" si="580"/>
        <v>0</v>
      </c>
      <c r="CN111" s="68">
        <f t="shared" si="580"/>
        <v>0</v>
      </c>
      <c r="CO111" s="68">
        <f t="shared" si="580"/>
        <v>0</v>
      </c>
      <c r="CP111" s="68">
        <f t="shared" si="580"/>
        <v>0</v>
      </c>
      <c r="CQ111" s="68">
        <f t="shared" si="580"/>
        <v>0</v>
      </c>
      <c r="CR111" s="68">
        <f t="shared" si="580"/>
        <v>0</v>
      </c>
      <c r="CS111" s="68">
        <f t="shared" si="580"/>
        <v>0</v>
      </c>
      <c r="CT111" s="68">
        <f t="shared" si="580"/>
        <v>0</v>
      </c>
      <c r="CU111" s="68">
        <f t="shared" si="580"/>
        <v>0</v>
      </c>
      <c r="CV111" s="68">
        <f t="shared" si="580"/>
        <v>0</v>
      </c>
      <c r="CW111" s="68">
        <f t="shared" si="580"/>
        <v>0</v>
      </c>
      <c r="CX111" s="68">
        <f t="shared" si="580"/>
        <v>0</v>
      </c>
      <c r="CY111" s="68">
        <f t="shared" si="580"/>
        <v>0</v>
      </c>
      <c r="CZ111" s="68">
        <f t="shared" si="580"/>
        <v>0</v>
      </c>
      <c r="DA111" s="68">
        <f t="shared" si="580"/>
        <v>0</v>
      </c>
      <c r="DB111" s="68">
        <f t="shared" si="580"/>
        <v>0</v>
      </c>
      <c r="DC111" s="68">
        <f t="shared" si="580"/>
        <v>0</v>
      </c>
      <c r="DD111" s="68">
        <f t="shared" si="580"/>
        <v>0</v>
      </c>
    </row>
    <row r="112" spans="1:108" ht="13" hidden="1" customHeight="1">
      <c r="B112" s="63" t="s">
        <v>693</v>
      </c>
      <c r="C112" s="68">
        <f t="shared" ref="C112:U112" si="581">C29*C14</f>
        <v>0</v>
      </c>
      <c r="D112" s="68">
        <f t="shared" si="581"/>
        <v>0</v>
      </c>
      <c r="E112" s="68">
        <f t="shared" si="581"/>
        <v>0</v>
      </c>
      <c r="F112" s="68">
        <f t="shared" ref="F112" si="582">F29*F14</f>
        <v>0</v>
      </c>
      <c r="G112" s="68">
        <f t="shared" si="581"/>
        <v>0</v>
      </c>
      <c r="H112" s="68">
        <f t="shared" si="581"/>
        <v>0</v>
      </c>
      <c r="I112" s="68">
        <f t="shared" ref="I112" si="583">I29*I14</f>
        <v>0</v>
      </c>
      <c r="J112" s="68">
        <f t="shared" si="581"/>
        <v>0</v>
      </c>
      <c r="K112" s="68">
        <f t="shared" si="581"/>
        <v>0</v>
      </c>
      <c r="L112" s="68">
        <f t="shared" si="581"/>
        <v>0</v>
      </c>
      <c r="M112" s="68">
        <f t="shared" si="581"/>
        <v>0</v>
      </c>
      <c r="N112" s="68">
        <f t="shared" si="581"/>
        <v>0</v>
      </c>
      <c r="O112" s="68">
        <f t="shared" si="581"/>
        <v>0</v>
      </c>
      <c r="P112" s="68">
        <f t="shared" si="581"/>
        <v>0</v>
      </c>
      <c r="Q112" s="68">
        <f t="shared" si="581"/>
        <v>0</v>
      </c>
      <c r="R112" s="68">
        <f t="shared" si="581"/>
        <v>0</v>
      </c>
      <c r="S112" s="68">
        <f t="shared" si="581"/>
        <v>0</v>
      </c>
      <c r="T112" s="68">
        <f t="shared" si="581"/>
        <v>0</v>
      </c>
      <c r="U112" s="68">
        <f t="shared" si="581"/>
        <v>0</v>
      </c>
      <c r="X112" s="68">
        <f t="shared" ref="X112:AJ112" si="584">X29*X14</f>
        <v>0</v>
      </c>
      <c r="Y112" s="68">
        <f t="shared" ref="Y112" si="585">Y29*Y14</f>
        <v>0</v>
      </c>
      <c r="Z112" s="68">
        <f t="shared" si="584"/>
        <v>0</v>
      </c>
      <c r="AA112" s="68">
        <f t="shared" si="584"/>
        <v>0</v>
      </c>
      <c r="AB112" s="68">
        <f t="shared" si="584"/>
        <v>0</v>
      </c>
      <c r="AC112" s="68">
        <f t="shared" si="584"/>
        <v>0</v>
      </c>
      <c r="AD112" s="68">
        <f t="shared" si="584"/>
        <v>0</v>
      </c>
      <c r="AE112" s="68">
        <f t="shared" ref="AE112" si="586">AE29*AE14</f>
        <v>0</v>
      </c>
      <c r="AF112" s="68">
        <f t="shared" si="584"/>
        <v>0</v>
      </c>
      <c r="AG112" s="68">
        <f t="shared" si="584"/>
        <v>0</v>
      </c>
      <c r="AH112" s="68">
        <f t="shared" si="584"/>
        <v>0</v>
      </c>
      <c r="AI112" s="68">
        <f t="shared" si="584"/>
        <v>0</v>
      </c>
      <c r="AJ112" s="68">
        <f t="shared" si="584"/>
        <v>0</v>
      </c>
      <c r="AK112" s="68">
        <f t="shared" ref="AK112:AN112" si="587">AK29*AK14</f>
        <v>0</v>
      </c>
      <c r="AL112" s="68">
        <f t="shared" si="587"/>
        <v>0</v>
      </c>
      <c r="AM112" s="68">
        <f t="shared" si="587"/>
        <v>0</v>
      </c>
      <c r="AN112" s="68">
        <f t="shared" si="587"/>
        <v>0</v>
      </c>
      <c r="AO112" s="68">
        <f t="shared" ref="AO112:AY112" si="588">AO29*AO14</f>
        <v>0</v>
      </c>
      <c r="AP112" s="68">
        <f t="shared" si="588"/>
        <v>0</v>
      </c>
      <c r="AQ112" s="68">
        <f t="shared" si="588"/>
        <v>0</v>
      </c>
      <c r="AR112" s="68">
        <f t="shared" si="588"/>
        <v>0</v>
      </c>
      <c r="AS112" s="68">
        <f t="shared" si="588"/>
        <v>0</v>
      </c>
      <c r="AT112" s="68">
        <f t="shared" si="588"/>
        <v>0</v>
      </c>
      <c r="AU112" s="68">
        <f t="shared" si="588"/>
        <v>0</v>
      </c>
      <c r="AV112" s="68">
        <f t="shared" si="588"/>
        <v>0</v>
      </c>
      <c r="AW112" s="68">
        <f t="shared" si="588"/>
        <v>0</v>
      </c>
      <c r="AX112" s="68">
        <f t="shared" si="588"/>
        <v>0</v>
      </c>
      <c r="AY112" s="68">
        <f t="shared" si="588"/>
        <v>0</v>
      </c>
      <c r="BB112" s="68">
        <f t="shared" ref="BB112:BL112" si="589">BB29*BB14</f>
        <v>0</v>
      </c>
      <c r="BC112" s="68">
        <f t="shared" ref="BC112" si="590">BC29*BC14</f>
        <v>0</v>
      </c>
      <c r="BD112" s="68">
        <f t="shared" si="589"/>
        <v>0</v>
      </c>
      <c r="BE112" s="68">
        <f t="shared" si="589"/>
        <v>0</v>
      </c>
      <c r="BF112" s="68">
        <f t="shared" si="589"/>
        <v>0</v>
      </c>
      <c r="BG112" s="68">
        <f t="shared" si="589"/>
        <v>0</v>
      </c>
      <c r="BH112" s="68">
        <f t="shared" si="589"/>
        <v>0</v>
      </c>
      <c r="BI112" s="68">
        <f t="shared" si="589"/>
        <v>0</v>
      </c>
      <c r="BJ112" s="68">
        <f t="shared" si="589"/>
        <v>0</v>
      </c>
      <c r="BK112" s="68">
        <f t="shared" si="589"/>
        <v>0</v>
      </c>
      <c r="BL112" s="68">
        <f t="shared" si="589"/>
        <v>0</v>
      </c>
      <c r="BO112" s="68">
        <f t="shared" ref="BO112:BZ112" si="591">BO29*BO14</f>
        <v>0</v>
      </c>
      <c r="BP112" s="68">
        <f t="shared" si="591"/>
        <v>0</v>
      </c>
      <c r="BQ112" s="68">
        <f t="shared" si="591"/>
        <v>0</v>
      </c>
      <c r="BR112" s="68">
        <f t="shared" si="591"/>
        <v>0</v>
      </c>
      <c r="BS112" s="68">
        <f t="shared" si="591"/>
        <v>0</v>
      </c>
      <c r="BT112" s="68">
        <f t="shared" si="591"/>
        <v>0</v>
      </c>
      <c r="BU112" s="68">
        <f t="shared" si="591"/>
        <v>0</v>
      </c>
      <c r="BV112" s="68">
        <f t="shared" si="591"/>
        <v>0</v>
      </c>
      <c r="BW112" s="68">
        <f t="shared" si="591"/>
        <v>0</v>
      </c>
      <c r="BX112" s="68">
        <f t="shared" si="591"/>
        <v>0</v>
      </c>
      <c r="BY112" s="68">
        <f t="shared" si="591"/>
        <v>0</v>
      </c>
      <c r="BZ112" s="68">
        <f t="shared" si="591"/>
        <v>0</v>
      </c>
    </row>
    <row r="113" spans="2:108" ht="13" hidden="1" customHeight="1">
      <c r="B113" s="63" t="s">
        <v>765</v>
      </c>
      <c r="C113" s="68">
        <f>SUM(C97:C112)</f>
        <v>0</v>
      </c>
      <c r="D113" s="68">
        <f>SUM(D97:D112)</f>
        <v>0</v>
      </c>
      <c r="E113" s="68">
        <f t="shared" ref="E113:BB113" si="592">SUM(E96:E112)</f>
        <v>0</v>
      </c>
      <c r="F113" s="68">
        <f t="shared" ref="F113" si="593">SUM(F96:F112)</f>
        <v>0</v>
      </c>
      <c r="G113" s="68">
        <f t="shared" si="592"/>
        <v>0</v>
      </c>
      <c r="H113" s="68">
        <f t="shared" si="592"/>
        <v>0</v>
      </c>
      <c r="I113" s="68">
        <f t="shared" ref="I113" si="594">SUM(I96:I112)</f>
        <v>0</v>
      </c>
      <c r="J113" s="68">
        <f t="shared" si="592"/>
        <v>0</v>
      </c>
      <c r="K113" s="68">
        <f t="shared" si="592"/>
        <v>0</v>
      </c>
      <c r="L113" s="68">
        <f t="shared" si="592"/>
        <v>0</v>
      </c>
      <c r="M113" s="68">
        <f t="shared" si="592"/>
        <v>0</v>
      </c>
      <c r="N113" s="68">
        <f t="shared" si="592"/>
        <v>0</v>
      </c>
      <c r="O113" s="68">
        <f t="shared" si="592"/>
        <v>0</v>
      </c>
      <c r="P113" s="68">
        <f t="shared" si="592"/>
        <v>0</v>
      </c>
      <c r="Q113" s="68">
        <f t="shared" si="592"/>
        <v>0</v>
      </c>
      <c r="R113" s="68">
        <f t="shared" si="592"/>
        <v>0</v>
      </c>
      <c r="S113" s="68">
        <f t="shared" si="592"/>
        <v>0</v>
      </c>
      <c r="T113" s="68">
        <f t="shared" si="592"/>
        <v>0</v>
      </c>
      <c r="U113" s="68">
        <f t="shared" si="592"/>
        <v>0</v>
      </c>
      <c r="V113" s="68">
        <f t="shared" si="592"/>
        <v>0</v>
      </c>
      <c r="W113" s="68">
        <f t="shared" si="592"/>
        <v>0</v>
      </c>
      <c r="X113" s="68">
        <f t="shared" si="592"/>
        <v>0</v>
      </c>
      <c r="Y113" s="68">
        <f t="shared" ref="Y113" si="595">SUM(Y96:Y112)</f>
        <v>0</v>
      </c>
      <c r="Z113" s="68">
        <f t="shared" si="592"/>
        <v>0</v>
      </c>
      <c r="AA113" s="68">
        <f t="shared" si="592"/>
        <v>0</v>
      </c>
      <c r="AB113" s="68">
        <f t="shared" si="592"/>
        <v>0</v>
      </c>
      <c r="AC113" s="68">
        <f t="shared" si="592"/>
        <v>0</v>
      </c>
      <c r="AD113" s="68">
        <f t="shared" si="592"/>
        <v>0</v>
      </c>
      <c r="AE113" s="68">
        <f t="shared" ref="AE113" si="596">SUM(AE96:AE112)</f>
        <v>0</v>
      </c>
      <c r="AF113" s="68">
        <f t="shared" si="592"/>
        <v>0</v>
      </c>
      <c r="AG113" s="68">
        <f t="shared" si="592"/>
        <v>0</v>
      </c>
      <c r="AH113" s="68">
        <f t="shared" si="592"/>
        <v>0</v>
      </c>
      <c r="AI113" s="68">
        <f t="shared" si="592"/>
        <v>0</v>
      </c>
      <c r="AJ113" s="68">
        <f t="shared" si="592"/>
        <v>0</v>
      </c>
      <c r="AK113" s="68">
        <f t="shared" ref="AK113:AN113" si="597">SUM(AK96:AK112)</f>
        <v>0</v>
      </c>
      <c r="AL113" s="68">
        <f t="shared" si="597"/>
        <v>0</v>
      </c>
      <c r="AM113" s="68">
        <f t="shared" si="597"/>
        <v>0</v>
      </c>
      <c r="AN113" s="68">
        <f t="shared" si="597"/>
        <v>0</v>
      </c>
      <c r="AO113" s="68">
        <f t="shared" ref="AO113:AY113" si="598">SUM(AO96:AO112)</f>
        <v>0</v>
      </c>
      <c r="AP113" s="68">
        <f t="shared" si="598"/>
        <v>0</v>
      </c>
      <c r="AQ113" s="68">
        <f t="shared" si="598"/>
        <v>0</v>
      </c>
      <c r="AR113" s="68">
        <f t="shared" si="598"/>
        <v>0</v>
      </c>
      <c r="AS113" s="68">
        <f t="shared" si="598"/>
        <v>0</v>
      </c>
      <c r="AT113" s="68">
        <f t="shared" si="598"/>
        <v>0</v>
      </c>
      <c r="AU113" s="68">
        <f t="shared" si="598"/>
        <v>0</v>
      </c>
      <c r="AV113" s="68">
        <f t="shared" si="598"/>
        <v>0</v>
      </c>
      <c r="AW113" s="68">
        <f t="shared" si="598"/>
        <v>0</v>
      </c>
      <c r="AX113" s="68">
        <f t="shared" si="598"/>
        <v>0</v>
      </c>
      <c r="AY113" s="68">
        <f t="shared" si="598"/>
        <v>0</v>
      </c>
      <c r="AZ113" s="68">
        <f t="shared" si="592"/>
        <v>0</v>
      </c>
      <c r="BA113" s="68">
        <f t="shared" si="592"/>
        <v>0</v>
      </c>
      <c r="BB113" s="68">
        <f t="shared" si="592"/>
        <v>0</v>
      </c>
      <c r="BC113" s="68">
        <f t="shared" ref="BC113" si="599">SUM(BC96:BC112)</f>
        <v>0</v>
      </c>
      <c r="BD113" s="68">
        <f t="shared" ref="BD113:CM113" si="600">SUM(BD96:BD112)</f>
        <v>0</v>
      </c>
      <c r="BE113" s="68">
        <f t="shared" si="600"/>
        <v>0</v>
      </c>
      <c r="BF113" s="68">
        <f t="shared" si="600"/>
        <v>0</v>
      </c>
      <c r="BG113" s="68">
        <f t="shared" si="600"/>
        <v>0</v>
      </c>
      <c r="BH113" s="68">
        <f t="shared" si="600"/>
        <v>0</v>
      </c>
      <c r="BI113" s="68">
        <f t="shared" si="600"/>
        <v>0</v>
      </c>
      <c r="BJ113" s="68">
        <f t="shared" si="600"/>
        <v>0</v>
      </c>
      <c r="BK113" s="68">
        <f t="shared" si="600"/>
        <v>0</v>
      </c>
      <c r="BL113" s="68">
        <f t="shared" si="600"/>
        <v>0</v>
      </c>
      <c r="BM113" s="68">
        <f t="shared" si="600"/>
        <v>0</v>
      </c>
      <c r="BN113" s="68">
        <f t="shared" si="600"/>
        <v>0</v>
      </c>
      <c r="BO113" s="68">
        <f t="shared" si="600"/>
        <v>0</v>
      </c>
      <c r="BP113" s="68">
        <f t="shared" si="600"/>
        <v>0</v>
      </c>
      <c r="BQ113" s="68">
        <f t="shared" si="600"/>
        <v>0</v>
      </c>
      <c r="BR113" s="68">
        <f t="shared" si="600"/>
        <v>0</v>
      </c>
      <c r="BS113" s="68">
        <f t="shared" si="600"/>
        <v>0</v>
      </c>
      <c r="BT113" s="68">
        <f t="shared" si="600"/>
        <v>0</v>
      </c>
      <c r="BU113" s="68">
        <f t="shared" si="600"/>
        <v>0</v>
      </c>
      <c r="BV113" s="68">
        <f t="shared" si="600"/>
        <v>0</v>
      </c>
      <c r="BW113" s="68">
        <f t="shared" si="600"/>
        <v>0</v>
      </c>
      <c r="BX113" s="68">
        <f t="shared" si="600"/>
        <v>0</v>
      </c>
      <c r="BY113" s="68">
        <f t="shared" si="600"/>
        <v>0</v>
      </c>
      <c r="BZ113" s="68">
        <f t="shared" si="600"/>
        <v>0</v>
      </c>
      <c r="CA113" s="68">
        <f t="shared" si="600"/>
        <v>0</v>
      </c>
      <c r="CB113" s="68">
        <f t="shared" si="600"/>
        <v>0</v>
      </c>
      <c r="CC113" s="68">
        <f t="shared" si="600"/>
        <v>0</v>
      </c>
      <c r="CD113" s="68">
        <f t="shared" ref="CD113" si="601">SUM(CD96:CD112)</f>
        <v>0</v>
      </c>
      <c r="CE113" s="68">
        <f t="shared" si="600"/>
        <v>0</v>
      </c>
      <c r="CF113" s="68">
        <f t="shared" ref="CF113:CG113" si="602">SUM(CF96:CF112)</f>
        <v>0</v>
      </c>
      <c r="CG113" s="68">
        <f t="shared" si="602"/>
        <v>0</v>
      </c>
      <c r="CH113" s="68">
        <f t="shared" si="600"/>
        <v>0</v>
      </c>
      <c r="CI113" s="68">
        <f t="shared" si="600"/>
        <v>0</v>
      </c>
      <c r="CJ113" s="68">
        <f t="shared" si="600"/>
        <v>0</v>
      </c>
      <c r="CK113" s="68">
        <f t="shared" si="600"/>
        <v>0</v>
      </c>
      <c r="CL113" s="68">
        <f t="shared" si="600"/>
        <v>0</v>
      </c>
      <c r="CM113" s="68">
        <f t="shared" si="600"/>
        <v>0</v>
      </c>
      <c r="CN113" s="68">
        <f t="shared" ref="CN113:DD113" si="603">SUM(CN96:CN112)</f>
        <v>0</v>
      </c>
      <c r="CO113" s="68">
        <f t="shared" si="603"/>
        <v>0</v>
      </c>
      <c r="CP113" s="68">
        <f t="shared" si="603"/>
        <v>0</v>
      </c>
      <c r="CQ113" s="68">
        <f t="shared" si="603"/>
        <v>0</v>
      </c>
      <c r="CR113" s="68">
        <f t="shared" si="603"/>
        <v>0</v>
      </c>
      <c r="CS113" s="68">
        <f t="shared" si="603"/>
        <v>0</v>
      </c>
      <c r="CT113" s="68">
        <f t="shared" si="603"/>
        <v>0</v>
      </c>
      <c r="CU113" s="68">
        <f t="shared" si="603"/>
        <v>0</v>
      </c>
      <c r="CV113" s="68">
        <f t="shared" si="603"/>
        <v>0</v>
      </c>
      <c r="CW113" s="68">
        <f t="shared" si="603"/>
        <v>0</v>
      </c>
      <c r="CX113" s="68">
        <f t="shared" si="603"/>
        <v>0</v>
      </c>
      <c r="CY113" s="68">
        <f t="shared" si="603"/>
        <v>0</v>
      </c>
      <c r="CZ113" s="68">
        <f t="shared" si="603"/>
        <v>0</v>
      </c>
      <c r="DA113" s="68">
        <f t="shared" si="603"/>
        <v>0</v>
      </c>
      <c r="DB113" s="68">
        <f t="shared" si="603"/>
        <v>0</v>
      </c>
      <c r="DC113" s="68">
        <f t="shared" si="603"/>
        <v>0</v>
      </c>
      <c r="DD113" s="68">
        <f t="shared" si="603"/>
        <v>0</v>
      </c>
    </row>
    <row r="114" spans="2:108" ht="13" hidden="1" customHeight="1">
      <c r="B114" s="63" t="s">
        <v>766</v>
      </c>
      <c r="C114" s="519">
        <f t="shared" ref="C114:AZ114" si="604">C54-C113</f>
        <v>0</v>
      </c>
      <c r="D114" s="519">
        <f t="shared" si="604"/>
        <v>0</v>
      </c>
      <c r="E114" s="519">
        <f t="shared" si="604"/>
        <v>0</v>
      </c>
      <c r="F114" s="519">
        <f t="shared" ref="F114" si="605">F54-F113</f>
        <v>0</v>
      </c>
      <c r="G114" s="519">
        <f t="shared" si="604"/>
        <v>0</v>
      </c>
      <c r="H114" s="519">
        <f t="shared" si="604"/>
        <v>0</v>
      </c>
      <c r="I114" s="519">
        <f t="shared" ref="I114" si="606">I54-I113</f>
        <v>0</v>
      </c>
      <c r="J114" s="519">
        <f t="shared" si="604"/>
        <v>0</v>
      </c>
      <c r="K114" s="519">
        <f t="shared" si="604"/>
        <v>0</v>
      </c>
      <c r="L114" s="519">
        <f t="shared" si="604"/>
        <v>0</v>
      </c>
      <c r="M114" s="519">
        <f t="shared" si="604"/>
        <v>0</v>
      </c>
      <c r="N114" s="519">
        <f t="shared" si="604"/>
        <v>0</v>
      </c>
      <c r="O114" s="519">
        <f t="shared" si="604"/>
        <v>0</v>
      </c>
      <c r="P114" s="519">
        <f t="shared" si="604"/>
        <v>0</v>
      </c>
      <c r="Q114" s="519">
        <f t="shared" si="604"/>
        <v>0</v>
      </c>
      <c r="R114" s="519">
        <f t="shared" si="604"/>
        <v>0</v>
      </c>
      <c r="S114" s="519">
        <f t="shared" si="604"/>
        <v>0</v>
      </c>
      <c r="T114" s="519">
        <f t="shared" si="604"/>
        <v>0</v>
      </c>
      <c r="U114" s="519">
        <f t="shared" si="604"/>
        <v>0</v>
      </c>
      <c r="V114" s="519">
        <f t="shared" si="604"/>
        <v>0</v>
      </c>
      <c r="W114" s="519">
        <f t="shared" si="604"/>
        <v>0</v>
      </c>
      <c r="X114" s="519">
        <f t="shared" si="604"/>
        <v>0</v>
      </c>
      <c r="Y114" s="519">
        <f t="shared" ref="Y114" si="607">Y54-Y113</f>
        <v>0</v>
      </c>
      <c r="Z114" s="519">
        <f t="shared" si="604"/>
        <v>0</v>
      </c>
      <c r="AA114" s="519">
        <f t="shared" si="604"/>
        <v>0</v>
      </c>
      <c r="AB114" s="519">
        <f t="shared" si="604"/>
        <v>0</v>
      </c>
      <c r="AC114" s="519">
        <f t="shared" si="604"/>
        <v>0</v>
      </c>
      <c r="AD114" s="519">
        <f t="shared" si="604"/>
        <v>0</v>
      </c>
      <c r="AE114" s="519">
        <f t="shared" ref="AE114" si="608">AE54-AE113</f>
        <v>0</v>
      </c>
      <c r="AF114" s="519">
        <f t="shared" si="604"/>
        <v>0</v>
      </c>
      <c r="AG114" s="519">
        <f t="shared" si="604"/>
        <v>0</v>
      </c>
      <c r="AH114" s="519">
        <f t="shared" si="604"/>
        <v>0</v>
      </c>
      <c r="AI114" s="519">
        <f t="shared" si="604"/>
        <v>0</v>
      </c>
      <c r="AJ114" s="519">
        <f t="shared" si="604"/>
        <v>0</v>
      </c>
      <c r="AK114" s="519">
        <f t="shared" ref="AK114:AN114" si="609">AK54-AK113</f>
        <v>0</v>
      </c>
      <c r="AL114" s="519">
        <f t="shared" si="609"/>
        <v>0</v>
      </c>
      <c r="AM114" s="519">
        <f t="shared" si="609"/>
        <v>0</v>
      </c>
      <c r="AN114" s="519">
        <f t="shared" si="609"/>
        <v>0</v>
      </c>
      <c r="AO114" s="519">
        <f t="shared" ref="AO114:AY114" si="610">AO54-AO113</f>
        <v>0</v>
      </c>
      <c r="AP114" s="519">
        <f t="shared" si="610"/>
        <v>0</v>
      </c>
      <c r="AQ114" s="519">
        <f t="shared" si="610"/>
        <v>0</v>
      </c>
      <c r="AR114" s="519">
        <f t="shared" si="610"/>
        <v>0</v>
      </c>
      <c r="AS114" s="519">
        <f t="shared" si="610"/>
        <v>0</v>
      </c>
      <c r="AT114" s="519">
        <f t="shared" si="610"/>
        <v>0</v>
      </c>
      <c r="AU114" s="519">
        <f t="shared" si="610"/>
        <v>0</v>
      </c>
      <c r="AV114" s="519">
        <f t="shared" si="610"/>
        <v>0</v>
      </c>
      <c r="AW114" s="519">
        <f t="shared" si="610"/>
        <v>0</v>
      </c>
      <c r="AX114" s="519">
        <f t="shared" si="610"/>
        <v>0</v>
      </c>
      <c r="AY114" s="519">
        <f t="shared" si="610"/>
        <v>0</v>
      </c>
      <c r="AZ114" s="519">
        <f t="shared" si="604"/>
        <v>0</v>
      </c>
      <c r="BA114" s="519">
        <f t="shared" ref="BA114:CK114" si="611">BA54-BA113</f>
        <v>0</v>
      </c>
      <c r="BB114" s="519">
        <f t="shared" si="611"/>
        <v>0</v>
      </c>
      <c r="BC114" s="519">
        <f t="shared" ref="BC114" si="612">BC54-BC113</f>
        <v>0</v>
      </c>
      <c r="BD114" s="519">
        <f t="shared" si="611"/>
        <v>0</v>
      </c>
      <c r="BE114" s="519">
        <f t="shared" si="611"/>
        <v>0</v>
      </c>
      <c r="BF114" s="519">
        <f t="shared" si="611"/>
        <v>0</v>
      </c>
      <c r="BG114" s="519">
        <f t="shared" si="611"/>
        <v>0</v>
      </c>
      <c r="BH114" s="519">
        <f t="shared" si="611"/>
        <v>0</v>
      </c>
      <c r="BI114" s="519">
        <f t="shared" si="611"/>
        <v>0</v>
      </c>
      <c r="BJ114" s="519">
        <f t="shared" si="611"/>
        <v>0</v>
      </c>
      <c r="BK114" s="519">
        <f t="shared" si="611"/>
        <v>0</v>
      </c>
      <c r="BL114" s="519">
        <f t="shared" si="611"/>
        <v>0</v>
      </c>
      <c r="BM114" s="519">
        <f t="shared" si="611"/>
        <v>0</v>
      </c>
      <c r="BN114" s="519">
        <f t="shared" si="611"/>
        <v>0</v>
      </c>
      <c r="BO114" s="519">
        <f t="shared" si="611"/>
        <v>0</v>
      </c>
      <c r="BP114" s="519">
        <f t="shared" si="611"/>
        <v>0</v>
      </c>
      <c r="BQ114" s="519">
        <f t="shared" si="611"/>
        <v>0</v>
      </c>
      <c r="BR114" s="519">
        <f t="shared" si="611"/>
        <v>0</v>
      </c>
      <c r="BS114" s="519">
        <f t="shared" si="611"/>
        <v>0</v>
      </c>
      <c r="BT114" s="519">
        <f t="shared" si="611"/>
        <v>0</v>
      </c>
      <c r="BU114" s="519">
        <f t="shared" si="611"/>
        <v>0</v>
      </c>
      <c r="BV114" s="519">
        <f t="shared" si="611"/>
        <v>0</v>
      </c>
      <c r="BW114" s="519">
        <f t="shared" si="611"/>
        <v>0</v>
      </c>
      <c r="BX114" s="519">
        <f t="shared" si="611"/>
        <v>0</v>
      </c>
      <c r="BY114" s="519">
        <f t="shared" si="611"/>
        <v>0</v>
      </c>
      <c r="BZ114" s="519">
        <f t="shared" si="611"/>
        <v>0</v>
      </c>
      <c r="CA114" s="519">
        <f t="shared" si="611"/>
        <v>0</v>
      </c>
      <c r="CB114" s="519">
        <f t="shared" si="611"/>
        <v>0</v>
      </c>
      <c r="CC114" s="519">
        <f t="shared" si="611"/>
        <v>0</v>
      </c>
      <c r="CD114" s="519">
        <f t="shared" ref="CD114" si="613">CD54-CD113</f>
        <v>0</v>
      </c>
      <c r="CE114" s="519">
        <f t="shared" si="611"/>
        <v>0</v>
      </c>
      <c r="CF114" s="519">
        <f t="shared" ref="CF114:CG114" si="614">CF54-CF113</f>
        <v>0</v>
      </c>
      <c r="CG114" s="519">
        <f t="shared" si="614"/>
        <v>0</v>
      </c>
      <c r="CH114" s="519">
        <f t="shared" si="611"/>
        <v>0</v>
      </c>
      <c r="CI114" s="519">
        <f t="shared" si="611"/>
        <v>0</v>
      </c>
      <c r="CJ114" s="519">
        <f t="shared" si="611"/>
        <v>0</v>
      </c>
      <c r="CK114" s="519">
        <f t="shared" si="611"/>
        <v>0</v>
      </c>
      <c r="CL114" s="519">
        <f t="shared" ref="CL114:DD114" si="615">CL54-CL113</f>
        <v>0</v>
      </c>
      <c r="CM114" s="519">
        <f t="shared" si="615"/>
        <v>0</v>
      </c>
      <c r="CN114" s="519">
        <f t="shared" si="615"/>
        <v>0</v>
      </c>
      <c r="CO114" s="519">
        <f t="shared" si="615"/>
        <v>0</v>
      </c>
      <c r="CP114" s="519">
        <f t="shared" si="615"/>
        <v>0</v>
      </c>
      <c r="CQ114" s="519">
        <f t="shared" si="615"/>
        <v>0</v>
      </c>
      <c r="CR114" s="519">
        <f t="shared" si="615"/>
        <v>0</v>
      </c>
      <c r="CS114" s="519">
        <f t="shared" si="615"/>
        <v>0</v>
      </c>
      <c r="CT114" s="519">
        <f t="shared" si="615"/>
        <v>0</v>
      </c>
      <c r="CU114" s="519">
        <f t="shared" si="615"/>
        <v>0</v>
      </c>
      <c r="CV114" s="519">
        <f t="shared" si="615"/>
        <v>0</v>
      </c>
      <c r="CW114" s="519">
        <f t="shared" si="615"/>
        <v>0</v>
      </c>
      <c r="CX114" s="519">
        <f t="shared" si="615"/>
        <v>0</v>
      </c>
      <c r="CY114" s="519">
        <f t="shared" si="615"/>
        <v>0</v>
      </c>
      <c r="CZ114" s="519">
        <f t="shared" si="615"/>
        <v>0</v>
      </c>
      <c r="DA114" s="519">
        <f t="shared" si="615"/>
        <v>0</v>
      </c>
      <c r="DB114" s="519">
        <f t="shared" si="615"/>
        <v>0</v>
      </c>
      <c r="DC114" s="519">
        <f t="shared" si="615"/>
        <v>0</v>
      </c>
      <c r="DD114" s="519">
        <f t="shared" si="615"/>
        <v>0</v>
      </c>
    </row>
    <row r="115" spans="2:108" ht="13" hidden="1" customHeight="1"/>
    <row r="116" spans="2:108" ht="13" hidden="1" customHeight="1"/>
    <row r="117" spans="2:108" ht="13" hidden="1" customHeight="1"/>
    <row r="118" spans="2:108" ht="13" hidden="1" customHeight="1">
      <c r="B118" s="63" t="s">
        <v>767</v>
      </c>
      <c r="E118" s="68">
        <f t="shared" ref="E118:U118" si="616">IF(E7="Pædagog",2000*E22*E24/12*E11,0)+IF(E7="pædagogisk assistent",2000*E22*E24/12*E11,0)+IF(E7="pædagogmedhjælper",2000*E22*E24/12*E11,0)</f>
        <v>0</v>
      </c>
      <c r="F118" s="68">
        <f t="shared" ref="F118" si="617">IF(F7="Pædagog",2000*F22*F24/12*F11,0)+IF(F7="pædagogisk assistent",2000*F22*F24/12*F11,0)+IF(F7="pædagogmedhjælper",2000*F22*F24/12*F11,0)</f>
        <v>0</v>
      </c>
      <c r="G118" s="68">
        <f t="shared" si="616"/>
        <v>0</v>
      </c>
      <c r="H118" s="68">
        <f t="shared" si="616"/>
        <v>0</v>
      </c>
      <c r="I118" s="68">
        <f t="shared" ref="I118" si="618">IF(I7="Pædagog",2000*I22*I24/12*I11,0)+IF(I7="pædagogisk assistent",2000*I22*I24/12*I11,0)+IF(I7="pædagogmedhjælper",2000*I22*I24/12*I11,0)</f>
        <v>0</v>
      </c>
      <c r="J118" s="68">
        <f t="shared" si="616"/>
        <v>0</v>
      </c>
      <c r="K118" s="68">
        <f t="shared" si="616"/>
        <v>0</v>
      </c>
      <c r="L118" s="68">
        <f t="shared" si="616"/>
        <v>0</v>
      </c>
      <c r="M118" s="68">
        <f t="shared" si="616"/>
        <v>0</v>
      </c>
      <c r="N118" s="68">
        <f t="shared" si="616"/>
        <v>0</v>
      </c>
      <c r="O118" s="68">
        <f t="shared" si="616"/>
        <v>0</v>
      </c>
      <c r="P118" s="68">
        <f t="shared" si="616"/>
        <v>0</v>
      </c>
      <c r="Q118" s="68">
        <f t="shared" si="616"/>
        <v>0</v>
      </c>
      <c r="R118" s="68">
        <f t="shared" si="616"/>
        <v>0</v>
      </c>
      <c r="S118" s="68">
        <f t="shared" si="616"/>
        <v>0</v>
      </c>
      <c r="T118" s="68">
        <f t="shared" si="616"/>
        <v>0</v>
      </c>
      <c r="U118" s="68">
        <f t="shared" si="616"/>
        <v>0</v>
      </c>
      <c r="AA118" s="68">
        <f t="shared" ref="AA118:AJ118" si="619">IF(AA7="Pædagog",2000*AA22*AA24/12*AA11,0)+IF(AA7="pædagogisk assistent",2000*AA22*AA24/12*AA11,0)+IF(AA7="pædagogmedhjælper",2000*AA22*AA24/12*AA11,0)</f>
        <v>0</v>
      </c>
      <c r="AB118" s="68">
        <f t="shared" si="619"/>
        <v>0</v>
      </c>
      <c r="AC118" s="68">
        <f t="shared" si="619"/>
        <v>0</v>
      </c>
      <c r="AD118" s="68">
        <f t="shared" si="619"/>
        <v>0</v>
      </c>
      <c r="AE118" s="68">
        <f t="shared" ref="AE118" si="620">IF(AE7="Pædagog",2000*AE22*AE24/12*AE11,0)+IF(AE7="pædagogisk assistent",2000*AE22*AE24/12*AE11,0)+IF(AE7="pædagogmedhjælper",2000*AE22*AE24/12*AE11,0)</f>
        <v>0</v>
      </c>
      <c r="AF118" s="68">
        <f t="shared" si="619"/>
        <v>0</v>
      </c>
      <c r="AG118" s="68">
        <f t="shared" si="619"/>
        <v>0</v>
      </c>
      <c r="AH118" s="68">
        <f t="shared" si="619"/>
        <v>0</v>
      </c>
      <c r="AI118" s="68">
        <f t="shared" si="619"/>
        <v>0</v>
      </c>
      <c r="AJ118" s="68">
        <f t="shared" si="619"/>
        <v>0</v>
      </c>
      <c r="AK118" s="68">
        <f t="shared" ref="AK118:AN118" si="621">IF(AK7="Pædagog",2000*AK22*AK24/12*AK11,0)+IF(AK7="pædagogisk assistent",2000*AK22*AK24/12*AK11,0)+IF(AK7="pædagogmedhjælper",2000*AK22*AK24/12*AK11,0)</f>
        <v>0</v>
      </c>
      <c r="AL118" s="68">
        <f t="shared" si="621"/>
        <v>0</v>
      </c>
      <c r="AM118" s="68">
        <f t="shared" si="621"/>
        <v>0</v>
      </c>
      <c r="AN118" s="68">
        <f t="shared" si="621"/>
        <v>0</v>
      </c>
      <c r="AO118" s="68">
        <f t="shared" ref="AO118:AY118" si="622">IF(AO7="Pædagog",2000*AO22*AO24/12*AO11,0)+IF(AO7="pædagogisk assistent",2000*AO22*AO24/12*AO11,0)+IF(AO7="pædagogmedhjælper",2000*AO22*AO24/12*AO11,0)</f>
        <v>0</v>
      </c>
      <c r="AP118" s="68">
        <f t="shared" si="622"/>
        <v>0</v>
      </c>
      <c r="AQ118" s="68">
        <f t="shared" si="622"/>
        <v>0</v>
      </c>
      <c r="AR118" s="68">
        <f t="shared" si="622"/>
        <v>0</v>
      </c>
      <c r="AS118" s="68">
        <f t="shared" si="622"/>
        <v>0</v>
      </c>
      <c r="AT118" s="68">
        <f t="shared" si="622"/>
        <v>0</v>
      </c>
      <c r="AU118" s="68">
        <f t="shared" si="622"/>
        <v>0</v>
      </c>
      <c r="AV118" s="68">
        <f t="shared" si="622"/>
        <v>0</v>
      </c>
      <c r="AW118" s="68">
        <f t="shared" si="622"/>
        <v>0</v>
      </c>
      <c r="AX118" s="68">
        <f t="shared" si="622"/>
        <v>0</v>
      </c>
      <c r="AY118" s="68">
        <f t="shared" si="622"/>
        <v>0</v>
      </c>
      <c r="BB118" s="68">
        <f t="shared" ref="BB118:BL118" si="623">IF(BB7="Pædagog",2000*BB22*BB24/12*BB11,0)+IF(BB7="pædagogisk assistent",2000*BB22*BB24/12*BB11,0)+IF(BB7="pædagogmedhjælper",2000*BB22*BB24/12*BB11,0)</f>
        <v>0</v>
      </c>
      <c r="BC118" s="68">
        <f t="shared" ref="BC118" si="624">IF(BC7="Pædagog",2000*BC22*BC24/12*BC11,0)+IF(BC7="pædagogisk assistent",2000*BC22*BC24/12*BC11,0)+IF(BC7="pædagogmedhjælper",2000*BC22*BC24/12*BC11,0)</f>
        <v>0</v>
      </c>
      <c r="BD118" s="68">
        <f t="shared" si="623"/>
        <v>0</v>
      </c>
      <c r="BE118" s="68">
        <f t="shared" si="623"/>
        <v>0</v>
      </c>
      <c r="BF118" s="68">
        <f t="shared" si="623"/>
        <v>0</v>
      </c>
      <c r="BG118" s="68">
        <f t="shared" si="623"/>
        <v>0</v>
      </c>
      <c r="BH118" s="68">
        <f t="shared" si="623"/>
        <v>0</v>
      </c>
      <c r="BI118" s="68">
        <f t="shared" si="623"/>
        <v>0</v>
      </c>
      <c r="BJ118" s="68">
        <f t="shared" si="623"/>
        <v>0</v>
      </c>
      <c r="BK118" s="68">
        <f t="shared" si="623"/>
        <v>0</v>
      </c>
      <c r="BL118" s="68">
        <f t="shared" si="623"/>
        <v>0</v>
      </c>
      <c r="BO118" s="68">
        <f t="shared" ref="BO118:BX118" si="625">IF(BO7="Pædagog",2000*BO22*BO24/12*BO11,0)+IF(BO7="pædagogisk assistent",2000*BO22*BO24/12*BO11,0)+IF(BO7="pædagogmedhjælper",2000*BO22*BO24/12*BO11,0)</f>
        <v>0</v>
      </c>
      <c r="BP118" s="68">
        <f t="shared" si="625"/>
        <v>0</v>
      </c>
      <c r="BQ118" s="68">
        <f t="shared" si="625"/>
        <v>0</v>
      </c>
      <c r="BR118" s="68">
        <f t="shared" si="625"/>
        <v>0</v>
      </c>
      <c r="BS118" s="68">
        <f t="shared" si="625"/>
        <v>0</v>
      </c>
      <c r="BT118" s="68">
        <f t="shared" si="625"/>
        <v>0</v>
      </c>
      <c r="BU118" s="68">
        <f t="shared" si="625"/>
        <v>0</v>
      </c>
      <c r="BV118" s="68">
        <f t="shared" si="625"/>
        <v>0</v>
      </c>
      <c r="BW118" s="68">
        <f t="shared" si="625"/>
        <v>0</v>
      </c>
      <c r="BX118" s="68">
        <f t="shared" si="625"/>
        <v>0</v>
      </c>
      <c r="CK118" s="68">
        <f t="shared" ref="CK118:CU118" si="626">IF(CK8=14,1957*CK22*CK24/12*CK11,0)+IF(CK8=21,2000*CK22*CK24/12*CK11,0)</f>
        <v>0</v>
      </c>
      <c r="CL118" s="68">
        <f t="shared" si="626"/>
        <v>0</v>
      </c>
      <c r="CM118" s="68">
        <f t="shared" si="626"/>
        <v>0</v>
      </c>
      <c r="CN118" s="68">
        <f t="shared" si="626"/>
        <v>0</v>
      </c>
      <c r="CO118" s="68">
        <f t="shared" si="626"/>
        <v>0</v>
      </c>
      <c r="CP118" s="68">
        <f t="shared" si="626"/>
        <v>0</v>
      </c>
      <c r="CQ118" s="68">
        <f t="shared" si="626"/>
        <v>0</v>
      </c>
      <c r="CR118" s="68">
        <f t="shared" si="626"/>
        <v>0</v>
      </c>
      <c r="CS118" s="68">
        <f t="shared" si="626"/>
        <v>0</v>
      </c>
      <c r="CT118" s="68">
        <f t="shared" si="626"/>
        <v>0</v>
      </c>
      <c r="CU118" s="68">
        <f t="shared" si="626"/>
        <v>0</v>
      </c>
      <c r="CX118" s="68">
        <f>IF(CX8=14,1957*CX22*CX24/12*CX11,0)+IF(CX8=21,2000*CX22*CX24/12*CX11,0)</f>
        <v>0</v>
      </c>
      <c r="CY118" s="68">
        <f>IF(CY8=14,1957*CY22*CY24/12*CY11,0)+IF(CY8=21,2000*CY22*CY24/12*CY11,0)</f>
        <v>0</v>
      </c>
      <c r="CZ118" s="68">
        <f>IF(CZ8=14,1957*CZ22*CZ24/12*CZ11,0)+IF(CZ8=21,2000*CZ22*CZ24/12*CZ11,0)</f>
        <v>0</v>
      </c>
      <c r="DA118" s="68">
        <f>IF(DA8=14,1957*DA22*DA24/12*DA11,0)+IF(DA8=21,2000*DA22*DA24/12*DA11,0)</f>
        <v>0</v>
      </c>
      <c r="DB118" s="68">
        <f>IF(DB8=14,1957*DB22*DB24/12*DB11,0)+IF(DB8=21,2000*DB22*DB24/12*DB11,0)</f>
        <v>0</v>
      </c>
    </row>
    <row r="119" spans="2:108" ht="13" hidden="1" customHeight="1">
      <c r="B119" s="63" t="s">
        <v>768</v>
      </c>
      <c r="E119" s="68">
        <f t="shared" ref="E119:T119" si="627">IF(E7="Pædagog",2000*E22*E24/12*(E12+E13),0)+IF(E7="pædagogisk assistent",5500*E22*E24/12*(E12+E13),0)+IF(E7="pædagogmedhjælper",4000*E22*E24/12*(E12+E13),0)</f>
        <v>0</v>
      </c>
      <c r="F119" s="68">
        <f t="shared" ref="F119" si="628">IF(F7="Pædagog",2000*F22*F24/12*(F12+F13),0)+IF(F7="pædagogisk assistent",5500*F22*F24/12*(F12+F13),0)+IF(F7="pædagogmedhjælper",4000*F22*F24/12*(F12+F13),0)</f>
        <v>0</v>
      </c>
      <c r="G119" s="68">
        <f t="shared" si="627"/>
        <v>0</v>
      </c>
      <c r="H119" s="68">
        <f t="shared" si="627"/>
        <v>0</v>
      </c>
      <c r="I119" s="68">
        <f t="shared" ref="I119" si="629">IF(I7="Pædagog",2000*I22*I24/12*(I12+I13),0)+IF(I7="pædagogisk assistent",5500*I22*I24/12*(I12+I13),0)+IF(I7="pædagogmedhjælper",4000*I22*I24/12*(I12+I13),0)</f>
        <v>0</v>
      </c>
      <c r="J119" s="68">
        <f t="shared" si="627"/>
        <v>0</v>
      </c>
      <c r="K119" s="68">
        <f t="shared" si="627"/>
        <v>0</v>
      </c>
      <c r="L119" s="68">
        <f t="shared" si="627"/>
        <v>0</v>
      </c>
      <c r="M119" s="68">
        <f t="shared" si="627"/>
        <v>0</v>
      </c>
      <c r="N119" s="68">
        <f t="shared" si="627"/>
        <v>0</v>
      </c>
      <c r="O119" s="68">
        <f t="shared" si="627"/>
        <v>0</v>
      </c>
      <c r="P119" s="68">
        <f t="shared" si="627"/>
        <v>0</v>
      </c>
      <c r="Q119" s="68">
        <f t="shared" si="627"/>
        <v>0</v>
      </c>
      <c r="R119" s="68">
        <f t="shared" si="627"/>
        <v>0</v>
      </c>
      <c r="S119" s="68">
        <f t="shared" si="627"/>
        <v>0</v>
      </c>
      <c r="T119" s="68">
        <f t="shared" si="627"/>
        <v>0</v>
      </c>
      <c r="U119" s="68">
        <f>IF(U7="Pædagog",2000*U22*U24/12*(U12+U13),0)+IF(U7="pædagogisk assistent",5500*U22*U24/12*(U12+U13),0)+IF(U7="pædagogmedhjælper",4000*U22*U24/12*(U12+U13),0)</f>
        <v>0</v>
      </c>
      <c r="AA119" s="68">
        <f t="shared" ref="AA119:AJ119" si="630">IF(AA7="Pædagog",2000*AA22*AA24/12*(AA12+AA13),0)+IF(AA7="pædagogisk assistent",5500*AA22*AA24/12*(AA12+AA13),0)+IF(AA7="pædagogmedhjælper",4000*AA22*AA24/12*(AA12+AA13),0)</f>
        <v>0</v>
      </c>
      <c r="AB119" s="68">
        <f t="shared" si="630"/>
        <v>0</v>
      </c>
      <c r="AC119" s="68">
        <f t="shared" si="630"/>
        <v>0</v>
      </c>
      <c r="AD119" s="68">
        <f t="shared" si="630"/>
        <v>0</v>
      </c>
      <c r="AE119" s="68">
        <f t="shared" ref="AE119" si="631">IF(AE7="Pædagog",2000*AE22*AE24/12*(AE12+AE13),0)+IF(AE7="pædagogisk assistent",5500*AE22*AE24/12*(AE12+AE13),0)+IF(AE7="pædagogmedhjælper",4000*AE22*AE24/12*(AE12+AE13),0)</f>
        <v>0</v>
      </c>
      <c r="AF119" s="68">
        <f t="shared" si="630"/>
        <v>0</v>
      </c>
      <c r="AG119" s="68">
        <f t="shared" si="630"/>
        <v>0</v>
      </c>
      <c r="AH119" s="68">
        <f t="shared" si="630"/>
        <v>0</v>
      </c>
      <c r="AI119" s="68">
        <f t="shared" si="630"/>
        <v>0</v>
      </c>
      <c r="AJ119" s="68">
        <f t="shared" si="630"/>
        <v>0</v>
      </c>
      <c r="AK119" s="68">
        <f t="shared" ref="AK119:AN119" si="632">IF(AK7="Pædagog",2000*AK22*AK24/12*(AK12+AK13),0)+IF(AK7="pædagogisk assistent",5500*AK22*AK24/12*(AK12+AK13),0)+IF(AK7="pædagogmedhjælper",4000*AK22*AK24/12*(AK12+AK13),0)</f>
        <v>0</v>
      </c>
      <c r="AL119" s="68">
        <f t="shared" si="632"/>
        <v>0</v>
      </c>
      <c r="AM119" s="68">
        <f t="shared" si="632"/>
        <v>0</v>
      </c>
      <c r="AN119" s="68">
        <f t="shared" si="632"/>
        <v>0</v>
      </c>
      <c r="AO119" s="68">
        <f t="shared" ref="AO119:AY119" si="633">IF(AO7="Pædagog",2000*AO22*AO24/12*(AO12+AO13),0)+IF(AO7="pædagogisk assistent",5500*AO22*AO24/12*(AO12+AO13),0)+IF(AO7="pædagogmedhjælper",4000*AO22*AO24/12*(AO12+AO13),0)</f>
        <v>0</v>
      </c>
      <c r="AP119" s="68">
        <f t="shared" si="633"/>
        <v>0</v>
      </c>
      <c r="AQ119" s="68">
        <f t="shared" si="633"/>
        <v>0</v>
      </c>
      <c r="AR119" s="68">
        <f t="shared" si="633"/>
        <v>0</v>
      </c>
      <c r="AS119" s="68">
        <f t="shared" si="633"/>
        <v>0</v>
      </c>
      <c r="AT119" s="68">
        <f t="shared" si="633"/>
        <v>0</v>
      </c>
      <c r="AU119" s="68">
        <f t="shared" si="633"/>
        <v>0</v>
      </c>
      <c r="AV119" s="68">
        <f t="shared" si="633"/>
        <v>0</v>
      </c>
      <c r="AW119" s="68">
        <f t="shared" si="633"/>
        <v>0</v>
      </c>
      <c r="AX119" s="68">
        <f t="shared" si="633"/>
        <v>0</v>
      </c>
      <c r="AY119" s="68">
        <f t="shared" si="633"/>
        <v>0</v>
      </c>
      <c r="BB119" s="68">
        <f t="shared" ref="BB119:BL119" si="634">IF(BB7="Pædagog",2000*BB22*BB24/12*(BB12+BB13),0)+IF(BB7="pædagogisk assistent",5500*BB22*BB24/12*(BB12+BB13),0)+IF(BB7="pædagogmedhjælper",4000*BB22*BB24/12*(BB12+BB13),0)</f>
        <v>0</v>
      </c>
      <c r="BC119" s="68">
        <f t="shared" ref="BC119" si="635">IF(BC7="Pædagog",2000*BC22*BC24/12*(BC12+BC13),0)+IF(BC7="pædagogisk assistent",5500*BC22*BC24/12*(BC12+BC13),0)+IF(BC7="pædagogmedhjælper",4000*BC22*BC24/12*(BC12+BC13),0)</f>
        <v>0</v>
      </c>
      <c r="BD119" s="68">
        <f t="shared" si="634"/>
        <v>0</v>
      </c>
      <c r="BE119" s="68">
        <f t="shared" si="634"/>
        <v>0</v>
      </c>
      <c r="BF119" s="68">
        <f t="shared" si="634"/>
        <v>0</v>
      </c>
      <c r="BG119" s="68">
        <f t="shared" si="634"/>
        <v>0</v>
      </c>
      <c r="BH119" s="68">
        <f t="shared" si="634"/>
        <v>0</v>
      </c>
      <c r="BI119" s="68">
        <f t="shared" si="634"/>
        <v>0</v>
      </c>
      <c r="BJ119" s="68">
        <f t="shared" si="634"/>
        <v>0</v>
      </c>
      <c r="BK119" s="68">
        <f t="shared" si="634"/>
        <v>0</v>
      </c>
      <c r="BL119" s="68">
        <f t="shared" si="634"/>
        <v>0</v>
      </c>
      <c r="BO119" s="68">
        <f t="shared" ref="BO119:BX119" si="636">IF(BO7="Pædagog",2000*BO22*BO24/12*(BO12+BO13),0)+IF(BO7="pædagogisk assistent",5500*BO22*BO24/12*(BO12+BO13),0)+IF(BO7="pædagogmedhjælper",4000*BO22*BO24/12*(BO12+BO13),0)</f>
        <v>0</v>
      </c>
      <c r="BP119" s="68">
        <f t="shared" si="636"/>
        <v>0</v>
      </c>
      <c r="BQ119" s="68">
        <f t="shared" si="636"/>
        <v>0</v>
      </c>
      <c r="BR119" s="68">
        <f t="shared" si="636"/>
        <v>0</v>
      </c>
      <c r="BS119" s="68">
        <f t="shared" si="636"/>
        <v>0</v>
      </c>
      <c r="BT119" s="68">
        <f t="shared" si="636"/>
        <v>0</v>
      </c>
      <c r="BU119" s="68">
        <f t="shared" si="636"/>
        <v>0</v>
      </c>
      <c r="BV119" s="68">
        <f t="shared" si="636"/>
        <v>0</v>
      </c>
      <c r="BW119" s="68">
        <f t="shared" si="636"/>
        <v>0</v>
      </c>
      <c r="BX119" s="68">
        <f t="shared" si="636"/>
        <v>0</v>
      </c>
      <c r="CK119" s="68">
        <f t="shared" ref="CK119:CU119" si="637">IF(CK8=14,3950*CK22*CK24/12*(CK12+CK13),0)+IF(CK8=21,3560*CK22*CK24/12*(CK12+CK13),0)+IF(CK8=17,2280*CK22*CK24/12*(CK12+CK13),0)</f>
        <v>0</v>
      </c>
      <c r="CL119" s="68">
        <f t="shared" si="637"/>
        <v>0</v>
      </c>
      <c r="CM119" s="68">
        <f t="shared" si="637"/>
        <v>0</v>
      </c>
      <c r="CN119" s="68">
        <f t="shared" si="637"/>
        <v>0</v>
      </c>
      <c r="CO119" s="68">
        <f t="shared" si="637"/>
        <v>0</v>
      </c>
      <c r="CP119" s="68">
        <f t="shared" si="637"/>
        <v>0</v>
      </c>
      <c r="CQ119" s="68">
        <f t="shared" si="637"/>
        <v>0</v>
      </c>
      <c r="CR119" s="68">
        <f t="shared" si="637"/>
        <v>0</v>
      </c>
      <c r="CS119" s="68">
        <f t="shared" si="637"/>
        <v>0</v>
      </c>
      <c r="CT119" s="68">
        <f t="shared" si="637"/>
        <v>0</v>
      </c>
      <c r="CU119" s="68">
        <f t="shared" si="637"/>
        <v>0</v>
      </c>
      <c r="CX119" s="68">
        <f>IF(CX8=14,3950*CX22*CX24/12*(CX12+CX13),0)+IF(CX8=21,3560*CX22*CX24/12*(CX12+CX13),0)+IF(CX8=17,2280*CX22*CX24/12*(CX12+CX13),0)</f>
        <v>0</v>
      </c>
      <c r="CY119" s="68">
        <f>IF(CY8=14,3950*CY22*CY24/12*(CY12+CY13),0)+IF(CY8=21,3560*CY22*CY24/12*(CY12+CY13),0)+IF(CY8=17,2280*CY22*CY24/12*(CY12+CY13),0)</f>
        <v>0</v>
      </c>
      <c r="CZ119" s="68">
        <f>IF(CZ8=14,3950*CZ22*CZ24/12*(CZ12+CZ13),0)+IF(CZ8=21,3560*CZ22*CZ24/12*(CZ12+CZ13),0)+IF(CZ8=17,2280*CZ22*CZ24/12*(CZ12+CZ13),0)</f>
        <v>0</v>
      </c>
      <c r="DA119" s="68">
        <f>IF(DA8=14,3950*DA22*DA24/12*(DA12+DA13),0)+IF(DA8=21,3560*DA22*DA24/12*(DA12+DA13),0)+IF(DA8=17,2280*DA22*DA24/12*(DA12+DA13),0)</f>
        <v>0</v>
      </c>
      <c r="DB119" s="68">
        <f>IF(DB8=14,3950*DB22*DB24/12*(DB12+DB13),0)+IF(DB8=21,3560*DB22*DB24/12*(DB12+DB13),0)+IF(DB8=17,2280*DB22*DB24/12*(DB12+DB13),0)</f>
        <v>0</v>
      </c>
    </row>
    <row r="120" spans="2:108" ht="13" hidden="1" customHeight="1">
      <c r="B120" s="63" t="s">
        <v>769</v>
      </c>
      <c r="E120" s="68">
        <f t="shared" ref="E120:T121" si="638">IF(E14&gt;0,(E118+E119)/E14,0)</f>
        <v>0</v>
      </c>
      <c r="F120" s="68">
        <f t="shared" ref="F120" si="639">IF(F14&gt;0,(F118+F119)/F14,0)</f>
        <v>0</v>
      </c>
      <c r="G120" s="68">
        <f t="shared" si="638"/>
        <v>0</v>
      </c>
      <c r="H120" s="68">
        <f t="shared" si="638"/>
        <v>0</v>
      </c>
      <c r="I120" s="68">
        <f t="shared" si="638"/>
        <v>0</v>
      </c>
      <c r="J120" s="68">
        <f t="shared" si="638"/>
        <v>0</v>
      </c>
      <c r="K120" s="68">
        <f t="shared" si="638"/>
        <v>0</v>
      </c>
      <c r="L120" s="68">
        <f t="shared" si="638"/>
        <v>0</v>
      </c>
      <c r="M120" s="68">
        <f t="shared" si="638"/>
        <v>0</v>
      </c>
      <c r="N120" s="68">
        <f t="shared" si="638"/>
        <v>0</v>
      </c>
      <c r="O120" s="68">
        <f t="shared" si="638"/>
        <v>0</v>
      </c>
      <c r="P120" s="68">
        <f t="shared" si="638"/>
        <v>0</v>
      </c>
      <c r="Q120" s="68">
        <f t="shared" si="638"/>
        <v>0</v>
      </c>
      <c r="R120" s="68">
        <f t="shared" si="638"/>
        <v>0</v>
      </c>
      <c r="S120" s="68">
        <f t="shared" si="638"/>
        <v>0</v>
      </c>
      <c r="T120" s="68">
        <f t="shared" si="638"/>
        <v>0</v>
      </c>
      <c r="U120" s="68">
        <f>IF(U14&gt;0,(U118+U119)/U14,0)</f>
        <v>0</v>
      </c>
      <c r="AA120" s="68">
        <f>IF(AA14&gt;0,(AA118+AA119)/AA14,0)</f>
        <v>0</v>
      </c>
      <c r="AB120" s="68">
        <f>IF(AB14&gt;0,(AB118+AB119)/AB14,0)</f>
        <v>0</v>
      </c>
      <c r="AC120" s="68">
        <f t="shared" ref="AC120:AJ120" si="640">IF(AC14&gt;0,(AC118+AC119)/AC14,0)</f>
        <v>0</v>
      </c>
      <c r="AD120" s="68">
        <f t="shared" si="640"/>
        <v>0</v>
      </c>
      <c r="AE120" s="68">
        <f t="shared" ref="AE120" si="641">IF(AE14&gt;0,(AE118+AE119)/AE14,0)</f>
        <v>0</v>
      </c>
      <c r="AF120" s="68">
        <f t="shared" si="640"/>
        <v>0</v>
      </c>
      <c r="AG120" s="68">
        <f t="shared" si="640"/>
        <v>0</v>
      </c>
      <c r="AH120" s="68">
        <f t="shared" si="640"/>
        <v>0</v>
      </c>
      <c r="AI120" s="68">
        <f t="shared" si="640"/>
        <v>0</v>
      </c>
      <c r="AJ120" s="68">
        <f t="shared" si="640"/>
        <v>0</v>
      </c>
      <c r="AK120" s="68">
        <f t="shared" ref="AK120:AN120" si="642">IF(AK14&gt;0,(AK118+AK119)/AK14,0)</f>
        <v>0</v>
      </c>
      <c r="AL120" s="68">
        <f t="shared" si="642"/>
        <v>0</v>
      </c>
      <c r="AM120" s="68">
        <f t="shared" si="642"/>
        <v>0</v>
      </c>
      <c r="AN120" s="68">
        <f t="shared" si="642"/>
        <v>0</v>
      </c>
      <c r="AO120" s="68">
        <f t="shared" ref="AO120:AY120" si="643">IF(AO14&gt;0,(AO118+AO119)/AO14,0)</f>
        <v>0</v>
      </c>
      <c r="AP120" s="68">
        <f t="shared" si="643"/>
        <v>0</v>
      </c>
      <c r="AQ120" s="68">
        <f t="shared" si="643"/>
        <v>0</v>
      </c>
      <c r="AR120" s="68">
        <f t="shared" si="643"/>
        <v>0</v>
      </c>
      <c r="AS120" s="68">
        <f t="shared" si="643"/>
        <v>0</v>
      </c>
      <c r="AT120" s="68">
        <f t="shared" si="643"/>
        <v>0</v>
      </c>
      <c r="AU120" s="68">
        <f t="shared" si="643"/>
        <v>0</v>
      </c>
      <c r="AV120" s="68">
        <f t="shared" si="643"/>
        <v>0</v>
      </c>
      <c r="AW120" s="68">
        <f t="shared" si="643"/>
        <v>0</v>
      </c>
      <c r="AX120" s="68">
        <f t="shared" si="643"/>
        <v>0</v>
      </c>
      <c r="AY120" s="68">
        <f t="shared" si="643"/>
        <v>0</v>
      </c>
      <c r="BB120" s="68">
        <f>IF(BB14&gt;0,(BB118+BB119)/BB14,0)</f>
        <v>0</v>
      </c>
      <c r="BC120" s="68">
        <f>IF(BC14&gt;0,(BC118+BC119)/BC14,0)</f>
        <v>0</v>
      </c>
      <c r="BD120" s="68">
        <f>IF(BD14&gt;0,(BD118+BD119)/BD14,0)</f>
        <v>0</v>
      </c>
      <c r="BE120" s="68">
        <f t="shared" ref="BE120:BL120" si="644">IF(BE14&gt;0,(BE118+BE119)/BE14,0)</f>
        <v>0</v>
      </c>
      <c r="BF120" s="68">
        <f t="shared" si="644"/>
        <v>0</v>
      </c>
      <c r="BG120" s="68">
        <f t="shared" si="644"/>
        <v>0</v>
      </c>
      <c r="BH120" s="68">
        <f t="shared" si="644"/>
        <v>0</v>
      </c>
      <c r="BI120" s="68">
        <f t="shared" si="644"/>
        <v>0</v>
      </c>
      <c r="BJ120" s="68">
        <f t="shared" si="644"/>
        <v>0</v>
      </c>
      <c r="BK120" s="68">
        <f t="shared" si="644"/>
        <v>0</v>
      </c>
      <c r="BL120" s="68">
        <f t="shared" si="644"/>
        <v>0</v>
      </c>
      <c r="BO120" s="68">
        <f>IF(BO14&gt;0,(BO118+BO119)/BO14,0)</f>
        <v>0</v>
      </c>
      <c r="BP120" s="68">
        <f t="shared" ref="BP120:BX120" si="645">IF(BP14&gt;0,(BP118+BP119)/BP14,0)</f>
        <v>0</v>
      </c>
      <c r="BQ120" s="68">
        <f t="shared" si="645"/>
        <v>0</v>
      </c>
      <c r="BR120" s="68">
        <f t="shared" si="645"/>
        <v>0</v>
      </c>
      <c r="BS120" s="68">
        <f t="shared" si="645"/>
        <v>0</v>
      </c>
      <c r="BT120" s="68">
        <f t="shared" si="645"/>
        <v>0</v>
      </c>
      <c r="BU120" s="68">
        <f t="shared" si="645"/>
        <v>0</v>
      </c>
      <c r="BV120" s="68">
        <f t="shared" si="645"/>
        <v>0</v>
      </c>
      <c r="BW120" s="68">
        <f t="shared" si="645"/>
        <v>0</v>
      </c>
      <c r="BX120" s="68">
        <f t="shared" si="645"/>
        <v>0</v>
      </c>
      <c r="CK120" s="68">
        <f t="shared" ref="CK120:CU120" si="646">IF(CK24&gt;0,(CK118+CK119)/CK14,0)</f>
        <v>0</v>
      </c>
      <c r="CL120" s="68">
        <f t="shared" si="646"/>
        <v>0</v>
      </c>
      <c r="CM120" s="68">
        <f t="shared" si="646"/>
        <v>0</v>
      </c>
      <c r="CN120" s="68">
        <f t="shared" si="646"/>
        <v>0</v>
      </c>
      <c r="CO120" s="68">
        <f t="shared" si="646"/>
        <v>0</v>
      </c>
      <c r="CP120" s="68">
        <f t="shared" si="646"/>
        <v>0</v>
      </c>
      <c r="CQ120" s="68">
        <f t="shared" si="646"/>
        <v>0</v>
      </c>
      <c r="CR120" s="68">
        <f t="shared" si="646"/>
        <v>0</v>
      </c>
      <c r="CS120" s="68">
        <f t="shared" si="646"/>
        <v>0</v>
      </c>
      <c r="CT120" s="68">
        <f t="shared" si="646"/>
        <v>0</v>
      </c>
      <c r="CU120" s="68">
        <f t="shared" si="646"/>
        <v>0</v>
      </c>
      <c r="CX120" s="68">
        <f>IF(CX24&gt;0,(CX118+CX119)/CX14,0)</f>
        <v>0</v>
      </c>
      <c r="CY120" s="68">
        <f>IF(CY24&gt;0,(CY118+CY119)/CY14,0)</f>
        <v>0</v>
      </c>
      <c r="CZ120" s="68">
        <f>IF(CZ24&gt;0,(CZ118+CZ119)/CZ14,0)</f>
        <v>0</v>
      </c>
      <c r="DA120" s="68">
        <f>IF(DA24&gt;0,(DA118+DA119)/DA14,0)</f>
        <v>0</v>
      </c>
      <c r="DB120" s="68">
        <f>IF(DB24&gt;0,(DB118+DB119)/DB14,0)</f>
        <v>0</v>
      </c>
    </row>
    <row r="121" spans="2:108" ht="13" hidden="1" customHeight="1">
      <c r="B121" s="63" t="s">
        <v>770</v>
      </c>
      <c r="E121" s="68">
        <f t="shared" ref="E121:U121" si="647">IF(E7="pædagog",2000*E22*E24/12*E15,0)+IF(E7="pædagogisk assistent",5500*E22*E24/12*E15,0)+IF(E7="pædagogmedhjælper",4000*E22*E24/12*E15,0)</f>
        <v>0</v>
      </c>
      <c r="F121" s="68">
        <f t="shared" ref="F121" si="648">IF(F7="pædagog",2000*F22*F24/12*F15,0)+IF(F7="pædagogisk assistent",5500*F22*F24/12*F15,0)+IF(F7="pædagogmedhjælper",4000*F22*F24/12*F15,0)</f>
        <v>0</v>
      </c>
      <c r="G121" s="68">
        <f t="shared" si="647"/>
        <v>0</v>
      </c>
      <c r="H121" s="68">
        <f t="shared" si="647"/>
        <v>0</v>
      </c>
      <c r="I121" s="68">
        <f t="shared" ref="I121" si="649">IF(I7="pædagog",2000*I22*I24/12*I15,0)+IF(I7="pædagogisk assistent",5500*I22*I24/12*I15,0)+IF(I7="pædagogmedhjælper",4000*I22*I24/12*I15,0)</f>
        <v>0</v>
      </c>
      <c r="J121" s="68">
        <f t="shared" si="638"/>
        <v>0</v>
      </c>
      <c r="K121" s="68">
        <f t="shared" si="647"/>
        <v>0</v>
      </c>
      <c r="L121" s="68">
        <f t="shared" si="647"/>
        <v>0</v>
      </c>
      <c r="M121" s="68">
        <f t="shared" si="647"/>
        <v>0</v>
      </c>
      <c r="N121" s="68">
        <f t="shared" si="647"/>
        <v>0</v>
      </c>
      <c r="O121" s="68">
        <f t="shared" si="647"/>
        <v>0</v>
      </c>
      <c r="P121" s="68">
        <f t="shared" si="647"/>
        <v>0</v>
      </c>
      <c r="Q121" s="68">
        <f t="shared" si="647"/>
        <v>0</v>
      </c>
      <c r="R121" s="68">
        <f t="shared" si="647"/>
        <v>0</v>
      </c>
      <c r="S121" s="68">
        <f t="shared" si="647"/>
        <v>0</v>
      </c>
      <c r="T121" s="68">
        <f t="shared" si="647"/>
        <v>0</v>
      </c>
      <c r="U121" s="68">
        <f t="shared" si="647"/>
        <v>0</v>
      </c>
      <c r="AA121" s="68">
        <f t="shared" ref="AA121:AJ121" si="650">IF(AA7="pædagog",2000*AA22*AA24/12*AA15,0)+IF(AA7="pædagogisk assistent",5500*AA22*AA24/12*AA15,0)+IF(AA7="pædagogmedhjælper",4000*AA22*AA24/12*AA15,0)</f>
        <v>0</v>
      </c>
      <c r="AB121" s="68">
        <f t="shared" si="650"/>
        <v>0</v>
      </c>
      <c r="AC121" s="68">
        <f t="shared" si="650"/>
        <v>0</v>
      </c>
      <c r="AD121" s="68">
        <f t="shared" si="650"/>
        <v>0</v>
      </c>
      <c r="AE121" s="68">
        <f t="shared" ref="AE121" si="651">IF(AE7="pædagog",2000*AE22*AE24/12*AE15,0)+IF(AE7="pædagogisk assistent",5500*AE22*AE24/12*AE15,0)+IF(AE7="pædagogmedhjælper",4000*AE22*AE24/12*AE15,0)</f>
        <v>0</v>
      </c>
      <c r="AF121" s="68">
        <f t="shared" si="650"/>
        <v>0</v>
      </c>
      <c r="AG121" s="68">
        <f t="shared" si="650"/>
        <v>0</v>
      </c>
      <c r="AH121" s="68">
        <f t="shared" si="650"/>
        <v>0</v>
      </c>
      <c r="AI121" s="68">
        <f t="shared" si="650"/>
        <v>0</v>
      </c>
      <c r="AJ121" s="68">
        <f t="shared" si="650"/>
        <v>0</v>
      </c>
      <c r="AK121" s="68">
        <f t="shared" ref="AK121:AN121" si="652">IF(AK7="pædagog",2000*AK22*AK24/12*AK15,0)+IF(AK7="pædagogisk assistent",5500*AK22*AK24/12*AK15,0)+IF(AK7="pædagogmedhjælper",4000*AK22*AK24/12*AK15,0)</f>
        <v>0</v>
      </c>
      <c r="AL121" s="68">
        <f t="shared" si="652"/>
        <v>0</v>
      </c>
      <c r="AM121" s="68">
        <f t="shared" si="652"/>
        <v>0</v>
      </c>
      <c r="AN121" s="68">
        <f t="shared" si="652"/>
        <v>0</v>
      </c>
      <c r="AO121" s="68">
        <f t="shared" ref="AO121:AY121" si="653">IF(AO7="pædagog",2000*AO22*AO24/12*AO15,0)+IF(AO7="pædagogisk assistent",5500*AO22*AO24/12*AO15,0)+IF(AO7="pædagogmedhjælper",4000*AO22*AO24/12*AO15,0)</f>
        <v>0</v>
      </c>
      <c r="AP121" s="68">
        <f t="shared" si="653"/>
        <v>0</v>
      </c>
      <c r="AQ121" s="68">
        <f t="shared" si="653"/>
        <v>0</v>
      </c>
      <c r="AR121" s="68">
        <f t="shared" si="653"/>
        <v>0</v>
      </c>
      <c r="AS121" s="68">
        <f t="shared" si="653"/>
        <v>0</v>
      </c>
      <c r="AT121" s="68">
        <f t="shared" si="653"/>
        <v>0</v>
      </c>
      <c r="AU121" s="68">
        <f t="shared" si="653"/>
        <v>0</v>
      </c>
      <c r="AV121" s="68">
        <f t="shared" si="653"/>
        <v>0</v>
      </c>
      <c r="AW121" s="68">
        <f t="shared" si="653"/>
        <v>0</v>
      </c>
      <c r="AX121" s="68">
        <f t="shared" si="653"/>
        <v>0</v>
      </c>
      <c r="AY121" s="68">
        <f t="shared" si="653"/>
        <v>0</v>
      </c>
      <c r="BB121" s="68">
        <f t="shared" ref="BB121:BL121" si="654">IF(BB7="pædagog",2000*BB22*BB24/12*BB15,0)+IF(BB7="pædagogisk assistent",5500*BB22*BB24/12*BB15,0)+IF(BB7="pædagogmedhjælper",4000*BB22*BB24/12*BB15,0)</f>
        <v>0</v>
      </c>
      <c r="BC121" s="68">
        <f t="shared" ref="BC121" si="655">IF(BC7="pædagog",2000*BC22*BC24/12*BC15,0)+IF(BC7="pædagogisk assistent",5500*BC22*BC24/12*BC15,0)+IF(BC7="pædagogmedhjælper",4000*BC22*BC24/12*BC15,0)</f>
        <v>0</v>
      </c>
      <c r="BD121" s="68">
        <f t="shared" si="654"/>
        <v>0</v>
      </c>
      <c r="BE121" s="68">
        <f t="shared" si="654"/>
        <v>0</v>
      </c>
      <c r="BF121" s="68">
        <f t="shared" si="654"/>
        <v>0</v>
      </c>
      <c r="BG121" s="68">
        <f t="shared" si="654"/>
        <v>0</v>
      </c>
      <c r="BH121" s="68">
        <f t="shared" si="654"/>
        <v>0</v>
      </c>
      <c r="BI121" s="68">
        <f t="shared" si="654"/>
        <v>0</v>
      </c>
      <c r="BJ121" s="68">
        <f t="shared" si="654"/>
        <v>0</v>
      </c>
      <c r="BK121" s="68">
        <f t="shared" si="654"/>
        <v>0</v>
      </c>
      <c r="BL121" s="68">
        <f t="shared" si="654"/>
        <v>0</v>
      </c>
      <c r="BO121" s="68">
        <f t="shared" ref="BO121:BX121" si="656">IF(BO7="pædagog",2000*BO22*BO24/12*BO15,0)+IF(BO7="pædagogisk assistent",5500*BO22*BO24/12*BO15,0)+IF(BO7="pædagogmedhjælper",4000*BO22*BO24/12*BO15,0)</f>
        <v>0</v>
      </c>
      <c r="BP121" s="68">
        <f t="shared" si="656"/>
        <v>0</v>
      </c>
      <c r="BQ121" s="68">
        <f t="shared" si="656"/>
        <v>0</v>
      </c>
      <c r="BR121" s="68">
        <f t="shared" si="656"/>
        <v>0</v>
      </c>
      <c r="BS121" s="68">
        <f t="shared" si="656"/>
        <v>0</v>
      </c>
      <c r="BT121" s="68">
        <f t="shared" si="656"/>
        <v>0</v>
      </c>
      <c r="BU121" s="68">
        <f t="shared" si="656"/>
        <v>0</v>
      </c>
      <c r="BV121" s="68">
        <f t="shared" si="656"/>
        <v>0</v>
      </c>
      <c r="BW121" s="68">
        <f t="shared" si="656"/>
        <v>0</v>
      </c>
      <c r="BX121" s="68">
        <f t="shared" si="656"/>
        <v>0</v>
      </c>
      <c r="CK121" s="68">
        <f t="shared" ref="CK121:CU121" si="657">IF(CK7="pædagog",2000*CK22*CK24/12*CK15,0)+IF(CK7="pædagogisk assistent",5500*CK22*CK24/12*CK15,0)+IF(CK7="pædagogmedhjælper",4000*CK22*CK24/12*CK15,0)</f>
        <v>0</v>
      </c>
      <c r="CL121" s="68">
        <f t="shared" si="657"/>
        <v>0</v>
      </c>
      <c r="CM121" s="68">
        <f t="shared" si="657"/>
        <v>0</v>
      </c>
      <c r="CN121" s="68">
        <f t="shared" si="657"/>
        <v>0</v>
      </c>
      <c r="CO121" s="68">
        <f t="shared" si="657"/>
        <v>0</v>
      </c>
      <c r="CP121" s="68">
        <f t="shared" si="657"/>
        <v>0</v>
      </c>
      <c r="CQ121" s="68">
        <f t="shared" si="657"/>
        <v>0</v>
      </c>
      <c r="CR121" s="68">
        <f t="shared" si="657"/>
        <v>0</v>
      </c>
      <c r="CS121" s="68">
        <f t="shared" si="657"/>
        <v>0</v>
      </c>
      <c r="CT121" s="68">
        <f t="shared" si="657"/>
        <v>0</v>
      </c>
      <c r="CU121" s="68">
        <f t="shared" si="657"/>
        <v>0</v>
      </c>
      <c r="CX121" s="68">
        <f>IF(CX7="pædagog",2000*CX22*CX24/12*CX15,0)+IF(CX7="pædagogisk assistent",5500*CX22*CX24/12*CX15,0)+IF(CX7="pædagogmedhjælper",4000*CX22*CX24/12*CX15,0)</f>
        <v>0</v>
      </c>
      <c r="CY121" s="68">
        <f>IF(CY7="pædagog",2000*CY22*CY24/12*CY15,0)+IF(CY7="pædagogisk assistent",5500*CY22*CY24/12*CY15,0)+IF(CY7="pædagogmedhjælper",4000*CY22*CY24/12*CY15,0)</f>
        <v>0</v>
      </c>
      <c r="CZ121" s="68">
        <f>IF(CZ7="pædagog",2000*CZ22*CZ24/12*CZ15,0)+IF(CZ7="pædagogisk assistent",5500*CZ22*CZ24/12*CZ15,0)+IF(CZ7="pædagogmedhjælper",4000*CZ22*CZ24/12*CZ15,0)</f>
        <v>0</v>
      </c>
      <c r="DA121" s="68">
        <f>IF(DA7="pædagog",2000*DA22*DA24/12*DA15,0)+IF(DA7="pædagogisk assistent",5500*DA22*DA24/12*DA15,0)+IF(DA7="pædagogmedhjælper",4000*DA22*DA24/12*DA15,0)</f>
        <v>0</v>
      </c>
      <c r="DB121" s="68">
        <f>IF(DB7="pædagog",2000*DB22*DB24/12*DB15,0)+IF(DB7="pædagogisk assistent",5500*DB22*DB24/12*DB15,0)+IF(DB7="pædagogmedhjælper",4000*DB22*DB24/12*DB15,0)</f>
        <v>0</v>
      </c>
    </row>
    <row r="122" spans="2:108" ht="13" hidden="1" customHeight="1"/>
    <row r="123" spans="2:108" ht="13" hidden="1" customHeight="1">
      <c r="B123" s="63" t="s">
        <v>771</v>
      </c>
      <c r="E123" s="68">
        <f t="shared" ref="E123:U123" si="658">IF(AND(E11&gt;0,E7="Pædagog"),2000*E22*E24/12*E11,0)+IF(AND(E11&gt;0,E7="pædagogisk assistent"),5500*E22*E24/12*E11,0)+IF(AND(E11&gt;0,E7="pædagogmedhjælper"),4000*E22*E24/12*E11,0)</f>
        <v>0</v>
      </c>
      <c r="F123" s="68">
        <f t="shared" ref="F123" si="659">IF(AND(F11&gt;0,F7="Pædagog"),2000*F22*F24/12*F11,0)+IF(AND(F11&gt;0,F7="pædagogisk assistent"),5500*F22*F24/12*F11,0)+IF(AND(F11&gt;0,F7="pædagogmedhjælper"),4000*F22*F24/12*F11,0)</f>
        <v>0</v>
      </c>
      <c r="G123" s="68">
        <f t="shared" si="658"/>
        <v>0</v>
      </c>
      <c r="H123" s="68">
        <f t="shared" si="658"/>
        <v>0</v>
      </c>
      <c r="I123" s="68">
        <f t="shared" ref="I123" si="660">IF(AND(I11&gt;0,I7="Pædagog"),2000*I22*I24/12*I11,0)+IF(AND(I11&gt;0,I7="pædagogisk assistent"),5500*I22*I24/12*I11,0)+IF(AND(I11&gt;0,I7="pædagogmedhjælper"),4000*I22*I24/12*I11,0)</f>
        <v>0</v>
      </c>
      <c r="J123" s="68">
        <f t="shared" si="658"/>
        <v>0</v>
      </c>
      <c r="K123" s="68">
        <f t="shared" si="658"/>
        <v>0</v>
      </c>
      <c r="L123" s="68">
        <f t="shared" si="658"/>
        <v>0</v>
      </c>
      <c r="M123" s="68">
        <f t="shared" si="658"/>
        <v>0</v>
      </c>
      <c r="N123" s="68">
        <f t="shared" si="658"/>
        <v>0</v>
      </c>
      <c r="O123" s="68">
        <f t="shared" si="658"/>
        <v>0</v>
      </c>
      <c r="P123" s="68">
        <f t="shared" si="658"/>
        <v>0</v>
      </c>
      <c r="Q123" s="68">
        <f t="shared" si="658"/>
        <v>0</v>
      </c>
      <c r="R123" s="68">
        <f t="shared" si="658"/>
        <v>0</v>
      </c>
      <c r="S123" s="68">
        <f t="shared" si="658"/>
        <v>0</v>
      </c>
      <c r="T123" s="68">
        <f t="shared" si="658"/>
        <v>0</v>
      </c>
      <c r="U123" s="68">
        <f t="shared" si="658"/>
        <v>0</v>
      </c>
      <c r="X123" s="68">
        <f t="shared" ref="X123:AJ123" si="661">IF(AND(X11&gt;0,X7="Pædagog"),2000*X22*X24/12*X11,0)+IF(AND(X11&gt;0,X7="pædagogisk assistent"),5500*X22*X24/12*X11,0)+IF(AND(X11&gt;0,X7="pædagogmedhjælper"),4000*X22*X24/12*X11,0)</f>
        <v>0</v>
      </c>
      <c r="Y123" s="68">
        <f t="shared" ref="Y123" si="662">IF(AND(Y11&gt;0,Y7="Pædagog"),2000*Y22*Y24/12*Y11,0)+IF(AND(Y11&gt;0,Y7="pædagogisk assistent"),5500*Y22*Y24/12*Y11,0)+IF(AND(Y11&gt;0,Y7="pædagogmedhjælper"),4000*Y22*Y24/12*Y11,0)</f>
        <v>0</v>
      </c>
      <c r="Z123" s="68">
        <f t="shared" si="661"/>
        <v>0</v>
      </c>
      <c r="AA123" s="68">
        <f t="shared" si="661"/>
        <v>0</v>
      </c>
      <c r="AB123" s="68">
        <f t="shared" si="661"/>
        <v>0</v>
      </c>
      <c r="AC123" s="68">
        <f t="shared" si="661"/>
        <v>0</v>
      </c>
      <c r="AD123" s="68">
        <f t="shared" si="661"/>
        <v>0</v>
      </c>
      <c r="AE123" s="68">
        <f t="shared" ref="AE123" si="663">IF(AND(AE11&gt;0,AE7="Pædagog"),2000*AE22*AE24/12*AE11,0)+IF(AND(AE11&gt;0,AE7="pædagogisk assistent"),5500*AE22*AE24/12*AE11,0)+IF(AND(AE11&gt;0,AE7="pædagogmedhjælper"),4000*AE22*AE24/12*AE11,0)</f>
        <v>0</v>
      </c>
      <c r="AF123" s="68">
        <f t="shared" si="661"/>
        <v>0</v>
      </c>
      <c r="AG123" s="68">
        <f t="shared" si="661"/>
        <v>0</v>
      </c>
      <c r="AH123" s="68">
        <f t="shared" si="661"/>
        <v>0</v>
      </c>
      <c r="AI123" s="68">
        <f t="shared" si="661"/>
        <v>0</v>
      </c>
      <c r="AJ123" s="68">
        <f t="shared" si="661"/>
        <v>0</v>
      </c>
      <c r="AK123" s="68">
        <f t="shared" ref="AK123:AN123" si="664">IF(AND(AK11&gt;0,AK7="Pædagog"),2000*AK22*AK24/12*AK11,0)+IF(AND(AK11&gt;0,AK7="pædagogisk assistent"),5500*AK22*AK24/12*AK11,0)+IF(AND(AK11&gt;0,AK7="pædagogmedhjælper"),4000*AK22*AK24/12*AK11,0)</f>
        <v>0</v>
      </c>
      <c r="AL123" s="68">
        <f t="shared" si="664"/>
        <v>0</v>
      </c>
      <c r="AM123" s="68">
        <f t="shared" si="664"/>
        <v>0</v>
      </c>
      <c r="AN123" s="68">
        <f t="shared" si="664"/>
        <v>0</v>
      </c>
      <c r="AO123" s="68">
        <f t="shared" ref="AO123:AY123" si="665">IF(AND(AO11&gt;0,AO7="Pædagog"),2000*AO22*AO24/12*AO11,0)+IF(AND(AO11&gt;0,AO7="pædagogisk assistent"),5500*AO22*AO24/12*AO11,0)+IF(AND(AO11&gt;0,AO7="pædagogmedhjælper"),4000*AO22*AO24/12*AO11,0)</f>
        <v>0</v>
      </c>
      <c r="AP123" s="68">
        <f t="shared" si="665"/>
        <v>0</v>
      </c>
      <c r="AQ123" s="68">
        <f t="shared" si="665"/>
        <v>0</v>
      </c>
      <c r="AR123" s="68">
        <f t="shared" si="665"/>
        <v>0</v>
      </c>
      <c r="AS123" s="68">
        <f t="shared" si="665"/>
        <v>0</v>
      </c>
      <c r="AT123" s="68">
        <f t="shared" si="665"/>
        <v>0</v>
      </c>
      <c r="AU123" s="68">
        <f t="shared" si="665"/>
        <v>0</v>
      </c>
      <c r="AV123" s="68">
        <f t="shared" si="665"/>
        <v>0</v>
      </c>
      <c r="AW123" s="68">
        <f t="shared" si="665"/>
        <v>0</v>
      </c>
      <c r="AX123" s="68">
        <f t="shared" si="665"/>
        <v>0</v>
      </c>
      <c r="AY123" s="68">
        <f t="shared" si="665"/>
        <v>0</v>
      </c>
      <c r="BB123" s="68">
        <f t="shared" ref="BB123:BL123" si="666">IF(AND(BB11&gt;0,BB7="Pædagog"),2000*BB22*BB24/12*BB11,0)+IF(AND(BB11&gt;0,BB7="pædagogisk assistent"),5500*BB22*BB24/12*BB11,0)+IF(AND(BB11&gt;0,BB7="pædagogmedhjælper"),4000*BB22*BB24/12*BB11,0)</f>
        <v>0</v>
      </c>
      <c r="BC123" s="68">
        <f t="shared" ref="BC123" si="667">IF(AND(BC11&gt;0,BC7="Pædagog"),2000*BC22*BC24/12*BC11,0)+IF(AND(BC11&gt;0,BC7="pædagogisk assistent"),5500*BC22*BC24/12*BC11,0)+IF(AND(BC11&gt;0,BC7="pædagogmedhjælper"),4000*BC22*BC24/12*BC11,0)</f>
        <v>0</v>
      </c>
      <c r="BD123" s="68">
        <f t="shared" si="666"/>
        <v>0</v>
      </c>
      <c r="BE123" s="68">
        <f t="shared" si="666"/>
        <v>0</v>
      </c>
      <c r="BF123" s="68">
        <f t="shared" si="666"/>
        <v>0</v>
      </c>
      <c r="BG123" s="68">
        <f t="shared" si="666"/>
        <v>0</v>
      </c>
      <c r="BH123" s="68">
        <f t="shared" si="666"/>
        <v>0</v>
      </c>
      <c r="BI123" s="68">
        <f t="shared" si="666"/>
        <v>0</v>
      </c>
      <c r="BJ123" s="68">
        <f t="shared" si="666"/>
        <v>0</v>
      </c>
      <c r="BK123" s="68">
        <f t="shared" si="666"/>
        <v>0</v>
      </c>
      <c r="BL123" s="68">
        <f t="shared" si="666"/>
        <v>0</v>
      </c>
      <c r="BO123" s="68">
        <f t="shared" ref="BO123:BX123" si="668">IF(AND(BO11&gt;0,BO7="Pædagog"),2000*BO22*BO24/12*BO11,0)+IF(AND(BO11&gt;0,BO7="pædagogisk assistent"),5500*BO22*BO24/12*BO11,0)+IF(AND(BO11&gt;0,BO7="pædagogmedhjælper"),4000*BO22*BO24/12*BO11,0)</f>
        <v>0</v>
      </c>
      <c r="BP123" s="68">
        <f t="shared" si="668"/>
        <v>0</v>
      </c>
      <c r="BQ123" s="68">
        <f t="shared" si="668"/>
        <v>0</v>
      </c>
      <c r="BR123" s="68">
        <f t="shared" si="668"/>
        <v>0</v>
      </c>
      <c r="BS123" s="68">
        <f t="shared" si="668"/>
        <v>0</v>
      </c>
      <c r="BT123" s="68">
        <f t="shared" si="668"/>
        <v>0</v>
      </c>
      <c r="BU123" s="68">
        <f t="shared" si="668"/>
        <v>0</v>
      </c>
      <c r="BV123" s="68">
        <f t="shared" si="668"/>
        <v>0</v>
      </c>
      <c r="BW123" s="68">
        <f t="shared" si="668"/>
        <v>0</v>
      </c>
      <c r="BX123" s="68">
        <f t="shared" si="668"/>
        <v>0</v>
      </c>
      <c r="CK123" s="68">
        <f t="shared" ref="CK123:CU123" si="669">IF(AND(CK11&gt;0,CK8=14),3950*CK22*CK24/12*CK11,0)+IF(AND(CK11&gt;0,CK8=17),2280*CK22*CK24/12*CK11,0)+IF(AND(CK11&gt;0,CK8=21),3560*CK22*CK24/12*CK11,0)</f>
        <v>0</v>
      </c>
      <c r="CL123" s="68">
        <f t="shared" si="669"/>
        <v>0</v>
      </c>
      <c r="CM123" s="68">
        <f t="shared" si="669"/>
        <v>0</v>
      </c>
      <c r="CN123" s="68">
        <f t="shared" si="669"/>
        <v>0</v>
      </c>
      <c r="CO123" s="68">
        <f t="shared" si="669"/>
        <v>0</v>
      </c>
      <c r="CP123" s="68">
        <f t="shared" si="669"/>
        <v>0</v>
      </c>
      <c r="CQ123" s="68">
        <f t="shared" si="669"/>
        <v>0</v>
      </c>
      <c r="CR123" s="68">
        <f t="shared" si="669"/>
        <v>0</v>
      </c>
      <c r="CS123" s="68">
        <f t="shared" si="669"/>
        <v>0</v>
      </c>
      <c r="CT123" s="68">
        <f t="shared" si="669"/>
        <v>0</v>
      </c>
      <c r="CU123" s="68">
        <f t="shared" si="669"/>
        <v>0</v>
      </c>
      <c r="CX123" s="68">
        <f>IF(AND(CX11&gt;0,CX8=14),3950*CX22*CX24/12*CX11,0)+IF(AND(CX11&gt;0,CX8=17),2280*CX22*CX24/12*CX11,0)+IF(AND(CX11&gt;0,CX8=21),3560*CX22*CX24/12*CX11,0)</f>
        <v>0</v>
      </c>
      <c r="CY123" s="68">
        <f>IF(AND(CY11&gt;0,CY8=14),3950*CY22*CY24/12*CY11,0)+IF(AND(CY11&gt;0,CY8=17),2280*CY22*CY24/12*CY11,0)+IF(AND(CY11&gt;0,CY8=21),3560*CY22*CY24/12*CY11,0)</f>
        <v>0</v>
      </c>
      <c r="CZ123" s="68">
        <f>IF(AND(CZ11&gt;0,CZ8=14),3950*CZ22*CZ24/12*CZ11,0)+IF(AND(CZ11&gt;0,CZ8=17),2280*CZ22*CZ24/12*CZ11,0)+IF(AND(CZ11&gt;0,CZ8=21),3560*CZ22*CZ24/12*CZ11,0)</f>
        <v>0</v>
      </c>
      <c r="DA123" s="68">
        <f>IF(AND(DA11&gt;0,DA8=14),3950*DA22*DA24/12*DA11,0)+IF(AND(DA11&gt;0,DA8=17),2280*DA22*DA24/12*DA11,0)+IF(AND(DA11&gt;0,DA8=21),3560*DA22*DA24/12*DA11,0)</f>
        <v>0</v>
      </c>
      <c r="DB123" s="68">
        <f>IF(AND(DB11&gt;0,DB8=14),3950*DB22*DB24/12*DB11,0)+IF(AND(DB11&gt;0,DB8=17),2280*DB22*DB24/12*DB11,0)+IF(AND(DB11&gt;0,DB8=21),3560*DB22*DB24/12*DB11,0)</f>
        <v>0</v>
      </c>
    </row>
    <row r="124" spans="2:108" ht="13" hidden="1" customHeight="1">
      <c r="B124" s="63" t="s">
        <v>772</v>
      </c>
      <c r="E124" s="68">
        <f>E123-E118</f>
        <v>0</v>
      </c>
      <c r="F124" s="68">
        <f>F123-F118</f>
        <v>0</v>
      </c>
      <c r="G124" s="68">
        <f>G123-G118</f>
        <v>0</v>
      </c>
      <c r="H124" s="68">
        <f t="shared" ref="H124:U124" si="670">H123-H118</f>
        <v>0</v>
      </c>
      <c r="I124" s="68">
        <f t="shared" ref="I124" si="671">I123-I118</f>
        <v>0</v>
      </c>
      <c r="J124" s="68">
        <f t="shared" si="670"/>
        <v>0</v>
      </c>
      <c r="K124" s="68">
        <f t="shared" si="670"/>
        <v>0</v>
      </c>
      <c r="L124" s="68">
        <f t="shared" si="670"/>
        <v>0</v>
      </c>
      <c r="M124" s="68">
        <f t="shared" si="670"/>
        <v>0</v>
      </c>
      <c r="N124" s="68">
        <f t="shared" si="670"/>
        <v>0</v>
      </c>
      <c r="O124" s="68">
        <f t="shared" si="670"/>
        <v>0</v>
      </c>
      <c r="P124" s="68">
        <f t="shared" si="670"/>
        <v>0</v>
      </c>
      <c r="Q124" s="68">
        <f t="shared" si="670"/>
        <v>0</v>
      </c>
      <c r="R124" s="68">
        <f t="shared" si="670"/>
        <v>0</v>
      </c>
      <c r="S124" s="68">
        <f t="shared" si="670"/>
        <v>0</v>
      </c>
      <c r="T124" s="68">
        <f t="shared" si="670"/>
        <v>0</v>
      </c>
      <c r="U124" s="68">
        <f t="shared" si="670"/>
        <v>0</v>
      </c>
      <c r="X124" s="68">
        <f>X123-X118</f>
        <v>0</v>
      </c>
      <c r="Y124" s="68">
        <f>Y123-Y118</f>
        <v>0</v>
      </c>
      <c r="Z124" s="68">
        <f t="shared" ref="Z124:AJ124" si="672">Z123-Z118</f>
        <v>0</v>
      </c>
      <c r="AA124" s="68">
        <f t="shared" si="672"/>
        <v>0</v>
      </c>
      <c r="AB124" s="68">
        <f t="shared" si="672"/>
        <v>0</v>
      </c>
      <c r="AC124" s="68">
        <f t="shared" si="672"/>
        <v>0</v>
      </c>
      <c r="AD124" s="68">
        <f t="shared" si="672"/>
        <v>0</v>
      </c>
      <c r="AE124" s="68">
        <f t="shared" ref="AE124" si="673">AE123-AE118</f>
        <v>0</v>
      </c>
      <c r="AF124" s="68">
        <f t="shared" si="672"/>
        <v>0</v>
      </c>
      <c r="AG124" s="68">
        <f t="shared" si="672"/>
        <v>0</v>
      </c>
      <c r="AH124" s="68">
        <f t="shared" si="672"/>
        <v>0</v>
      </c>
      <c r="AI124" s="68">
        <f t="shared" si="672"/>
        <v>0</v>
      </c>
      <c r="AJ124" s="68">
        <f t="shared" si="672"/>
        <v>0</v>
      </c>
      <c r="AK124" s="68">
        <f t="shared" ref="AK124:AN124" si="674">AK123-AK118</f>
        <v>0</v>
      </c>
      <c r="AL124" s="68">
        <f t="shared" si="674"/>
        <v>0</v>
      </c>
      <c r="AM124" s="68">
        <f t="shared" si="674"/>
        <v>0</v>
      </c>
      <c r="AN124" s="68">
        <f t="shared" si="674"/>
        <v>0</v>
      </c>
      <c r="AO124" s="68">
        <f t="shared" ref="AO124:AY124" si="675">AO123-AO118</f>
        <v>0</v>
      </c>
      <c r="AP124" s="68">
        <f t="shared" si="675"/>
        <v>0</v>
      </c>
      <c r="AQ124" s="68">
        <f t="shared" si="675"/>
        <v>0</v>
      </c>
      <c r="AR124" s="68">
        <f t="shared" si="675"/>
        <v>0</v>
      </c>
      <c r="AS124" s="68">
        <f t="shared" si="675"/>
        <v>0</v>
      </c>
      <c r="AT124" s="68">
        <f t="shared" si="675"/>
        <v>0</v>
      </c>
      <c r="AU124" s="68">
        <f t="shared" si="675"/>
        <v>0</v>
      </c>
      <c r="AV124" s="68">
        <f t="shared" si="675"/>
        <v>0</v>
      </c>
      <c r="AW124" s="68">
        <f t="shared" si="675"/>
        <v>0</v>
      </c>
      <c r="AX124" s="68">
        <f t="shared" si="675"/>
        <v>0</v>
      </c>
      <c r="AY124" s="68">
        <f t="shared" si="675"/>
        <v>0</v>
      </c>
      <c r="BB124" s="68">
        <f t="shared" ref="BB124:BC124" si="676">BB123-BB118</f>
        <v>0</v>
      </c>
      <c r="BC124" s="68">
        <f t="shared" si="676"/>
        <v>0</v>
      </c>
      <c r="BD124" s="68">
        <f t="shared" ref="BD124" si="677">BD123-BD118</f>
        <v>0</v>
      </c>
      <c r="BE124" s="68">
        <f t="shared" ref="BE124" si="678">BE123-BE118</f>
        <v>0</v>
      </c>
      <c r="BF124" s="68">
        <f t="shared" ref="BF124" si="679">BF123-BF118</f>
        <v>0</v>
      </c>
      <c r="BG124" s="68">
        <f t="shared" ref="BG124" si="680">BG123-BG118</f>
        <v>0</v>
      </c>
      <c r="BH124" s="68">
        <f t="shared" ref="BH124" si="681">BH123-BH118</f>
        <v>0</v>
      </c>
      <c r="BI124" s="68">
        <f t="shared" ref="BI124" si="682">BI123-BI118</f>
        <v>0</v>
      </c>
      <c r="BJ124" s="68">
        <f t="shared" ref="BJ124" si="683">BJ123-BJ118</f>
        <v>0</v>
      </c>
      <c r="BK124" s="68">
        <f t="shared" ref="BK124" si="684">BK123-BK118</f>
        <v>0</v>
      </c>
      <c r="BL124" s="68">
        <f t="shared" ref="BL124" si="685">BL123-BL118</f>
        <v>0</v>
      </c>
      <c r="BO124" s="68">
        <f t="shared" ref="BO124" si="686">BO123-BO118</f>
        <v>0</v>
      </c>
      <c r="BP124" s="68">
        <f t="shared" ref="BP124" si="687">BP123-BP118</f>
        <v>0</v>
      </c>
      <c r="BQ124" s="68">
        <f t="shared" ref="BQ124" si="688">BQ123-BQ118</f>
        <v>0</v>
      </c>
      <c r="BR124" s="68">
        <f t="shared" ref="BR124" si="689">BR123-BR118</f>
        <v>0</v>
      </c>
      <c r="BS124" s="68">
        <f t="shared" ref="BS124" si="690">BS123-BS118</f>
        <v>0</v>
      </c>
      <c r="BT124" s="68">
        <f t="shared" ref="BT124" si="691">BT123-BT118</f>
        <v>0</v>
      </c>
      <c r="BU124" s="68">
        <f t="shared" ref="BU124" si="692">BU123-BU118</f>
        <v>0</v>
      </c>
      <c r="BV124" s="68">
        <f t="shared" ref="BV124" si="693">BV123-BV118</f>
        <v>0</v>
      </c>
      <c r="BW124" s="68">
        <f t="shared" ref="BW124" si="694">BW123-BW118</f>
        <v>0</v>
      </c>
      <c r="BX124" s="68">
        <f>BX123-BX118</f>
        <v>0</v>
      </c>
      <c r="CK124" s="68">
        <f>CK123-CK118</f>
        <v>0</v>
      </c>
      <c r="CL124" s="68">
        <f t="shared" ref="CL124:CM124" si="695">CL123-CL118</f>
        <v>0</v>
      </c>
      <c r="CM124" s="68">
        <f t="shared" si="695"/>
        <v>0</v>
      </c>
      <c r="CN124" s="68">
        <f t="shared" ref="CN124" si="696">CN123-CN118</f>
        <v>0</v>
      </c>
      <c r="CO124" s="68">
        <f t="shared" ref="CO124" si="697">CO123-CO118</f>
        <v>0</v>
      </c>
      <c r="CP124" s="68">
        <f t="shared" ref="CP124" si="698">CP123-CP118</f>
        <v>0</v>
      </c>
      <c r="CQ124" s="68">
        <f t="shared" ref="CQ124" si="699">CQ123-CQ118</f>
        <v>0</v>
      </c>
      <c r="CR124" s="68">
        <f t="shared" ref="CR124" si="700">CR123-CR118</f>
        <v>0</v>
      </c>
      <c r="CS124" s="68">
        <f t="shared" ref="CS124" si="701">CS123-CS118</f>
        <v>0</v>
      </c>
      <c r="CT124" s="68">
        <f t="shared" ref="CT124" si="702">CT123-CT118</f>
        <v>0</v>
      </c>
      <c r="CU124" s="68">
        <f t="shared" ref="CU124" si="703">CU123-CU118</f>
        <v>0</v>
      </c>
      <c r="CX124" s="68">
        <f t="shared" ref="CX124" si="704">CX123-CX118</f>
        <v>0</v>
      </c>
      <c r="CY124" s="68">
        <f t="shared" ref="CY124" si="705">CY123-CY118</f>
        <v>0</v>
      </c>
      <c r="CZ124" s="68">
        <f t="shared" ref="CZ124" si="706">CZ123-CZ118</f>
        <v>0</v>
      </c>
      <c r="DA124" s="68">
        <f t="shared" ref="DA124" si="707">DA123-DA118</f>
        <v>0</v>
      </c>
      <c r="DB124" s="68">
        <f t="shared" ref="DB124" si="708">DB123-DB118</f>
        <v>0</v>
      </c>
    </row>
    <row r="125" spans="2:108" ht="13" hidden="1" customHeight="1">
      <c r="B125" s="63" t="s">
        <v>639</v>
      </c>
      <c r="E125" s="68">
        <f t="shared" ref="E125:U125" si="709">E124*E20%+E124</f>
        <v>0</v>
      </c>
      <c r="F125" s="68">
        <f t="shared" ref="F125" si="710">F124*F20%+F124</f>
        <v>0</v>
      </c>
      <c r="G125" s="68">
        <f t="shared" si="709"/>
        <v>0</v>
      </c>
      <c r="H125" s="68">
        <f t="shared" si="709"/>
        <v>0</v>
      </c>
      <c r="I125" s="68">
        <f t="shared" ref="I125" si="711">I124*I20%+I124</f>
        <v>0</v>
      </c>
      <c r="J125" s="68">
        <f t="shared" si="709"/>
        <v>0</v>
      </c>
      <c r="K125" s="68">
        <f t="shared" si="709"/>
        <v>0</v>
      </c>
      <c r="L125" s="68">
        <f t="shared" si="709"/>
        <v>0</v>
      </c>
      <c r="M125" s="68">
        <f t="shared" si="709"/>
        <v>0</v>
      </c>
      <c r="N125" s="68">
        <f t="shared" si="709"/>
        <v>0</v>
      </c>
      <c r="O125" s="68">
        <f t="shared" si="709"/>
        <v>0</v>
      </c>
      <c r="P125" s="68">
        <f t="shared" si="709"/>
        <v>0</v>
      </c>
      <c r="Q125" s="68">
        <f t="shared" si="709"/>
        <v>0</v>
      </c>
      <c r="R125" s="68">
        <f t="shared" si="709"/>
        <v>0</v>
      </c>
      <c r="S125" s="68">
        <f t="shared" si="709"/>
        <v>0</v>
      </c>
      <c r="T125" s="68">
        <f t="shared" si="709"/>
        <v>0</v>
      </c>
      <c r="U125" s="68">
        <f t="shared" si="709"/>
        <v>0</v>
      </c>
      <c r="X125" s="68">
        <f t="shared" ref="X125:AJ125" si="712">X124*X20%+X124</f>
        <v>0</v>
      </c>
      <c r="Y125" s="68">
        <f t="shared" ref="Y125" si="713">Y124*Y20%+Y124</f>
        <v>0</v>
      </c>
      <c r="Z125" s="68">
        <f t="shared" si="712"/>
        <v>0</v>
      </c>
      <c r="AA125" s="68">
        <f t="shared" si="712"/>
        <v>0</v>
      </c>
      <c r="AB125" s="68">
        <f t="shared" si="712"/>
        <v>0</v>
      </c>
      <c r="AC125" s="68">
        <f t="shared" si="712"/>
        <v>0</v>
      </c>
      <c r="AD125" s="68">
        <f t="shared" si="712"/>
        <v>0</v>
      </c>
      <c r="AE125" s="68">
        <f t="shared" ref="AE125" si="714">AE124*AE20%+AE124</f>
        <v>0</v>
      </c>
      <c r="AF125" s="68">
        <f t="shared" si="712"/>
        <v>0</v>
      </c>
      <c r="AG125" s="68">
        <f t="shared" si="712"/>
        <v>0</v>
      </c>
      <c r="AH125" s="68">
        <f t="shared" si="712"/>
        <v>0</v>
      </c>
      <c r="AI125" s="68">
        <f t="shared" si="712"/>
        <v>0</v>
      </c>
      <c r="AJ125" s="68">
        <f t="shared" si="712"/>
        <v>0</v>
      </c>
      <c r="AK125" s="68">
        <f t="shared" ref="AK125:AN125" si="715">AK124*AK20%+AK124</f>
        <v>0</v>
      </c>
      <c r="AL125" s="68">
        <f t="shared" si="715"/>
        <v>0</v>
      </c>
      <c r="AM125" s="68">
        <f t="shared" si="715"/>
        <v>0</v>
      </c>
      <c r="AN125" s="68">
        <f t="shared" si="715"/>
        <v>0</v>
      </c>
      <c r="AO125" s="68">
        <f t="shared" ref="AO125:AY125" si="716">AO124*AO20%+AO124</f>
        <v>0</v>
      </c>
      <c r="AP125" s="68">
        <f t="shared" si="716"/>
        <v>0</v>
      </c>
      <c r="AQ125" s="68">
        <f t="shared" si="716"/>
        <v>0</v>
      </c>
      <c r="AR125" s="68">
        <f t="shared" si="716"/>
        <v>0</v>
      </c>
      <c r="AS125" s="68">
        <f t="shared" si="716"/>
        <v>0</v>
      </c>
      <c r="AT125" s="68">
        <f t="shared" si="716"/>
        <v>0</v>
      </c>
      <c r="AU125" s="68">
        <f t="shared" si="716"/>
        <v>0</v>
      </c>
      <c r="AV125" s="68">
        <f t="shared" si="716"/>
        <v>0</v>
      </c>
      <c r="AW125" s="68">
        <f t="shared" si="716"/>
        <v>0</v>
      </c>
      <c r="AX125" s="68">
        <f t="shared" si="716"/>
        <v>0</v>
      </c>
      <c r="AY125" s="68">
        <f t="shared" si="716"/>
        <v>0</v>
      </c>
      <c r="BB125" s="68">
        <f t="shared" ref="BB125:BL125" si="717">BB124*BB20%+BB124</f>
        <v>0</v>
      </c>
      <c r="BC125" s="68">
        <f t="shared" ref="BC125" si="718">BC124*BC20%+BC124</f>
        <v>0</v>
      </c>
      <c r="BD125" s="68">
        <f t="shared" si="717"/>
        <v>0</v>
      </c>
      <c r="BE125" s="68">
        <f t="shared" si="717"/>
        <v>0</v>
      </c>
      <c r="BF125" s="68">
        <f t="shared" si="717"/>
        <v>0</v>
      </c>
      <c r="BG125" s="68">
        <f t="shared" si="717"/>
        <v>0</v>
      </c>
      <c r="BH125" s="68">
        <f t="shared" si="717"/>
        <v>0</v>
      </c>
      <c r="BI125" s="68">
        <f t="shared" si="717"/>
        <v>0</v>
      </c>
      <c r="BJ125" s="68">
        <f t="shared" si="717"/>
        <v>0</v>
      </c>
      <c r="BK125" s="68">
        <f t="shared" si="717"/>
        <v>0</v>
      </c>
      <c r="BL125" s="68">
        <f t="shared" si="717"/>
        <v>0</v>
      </c>
      <c r="BO125" s="68">
        <f t="shared" ref="BO125:BX125" si="719">BO124*BO20%+BO124</f>
        <v>0</v>
      </c>
      <c r="BP125" s="68">
        <f t="shared" si="719"/>
        <v>0</v>
      </c>
      <c r="BQ125" s="68">
        <f t="shared" si="719"/>
        <v>0</v>
      </c>
      <c r="BR125" s="68">
        <f t="shared" si="719"/>
        <v>0</v>
      </c>
      <c r="BS125" s="68">
        <f t="shared" si="719"/>
        <v>0</v>
      </c>
      <c r="BT125" s="68">
        <f t="shared" si="719"/>
        <v>0</v>
      </c>
      <c r="BU125" s="68">
        <f t="shared" si="719"/>
        <v>0</v>
      </c>
      <c r="BV125" s="68">
        <f t="shared" si="719"/>
        <v>0</v>
      </c>
      <c r="BW125" s="68">
        <f t="shared" si="719"/>
        <v>0</v>
      </c>
      <c r="BX125" s="68">
        <f t="shared" si="719"/>
        <v>0</v>
      </c>
      <c r="CK125" s="68">
        <f t="shared" ref="CK125:CU125" si="720">CK124*CK20%+CK124</f>
        <v>0</v>
      </c>
      <c r="CL125" s="68">
        <f t="shared" si="720"/>
        <v>0</v>
      </c>
      <c r="CM125" s="68">
        <f t="shared" si="720"/>
        <v>0</v>
      </c>
      <c r="CN125" s="68">
        <f t="shared" si="720"/>
        <v>0</v>
      </c>
      <c r="CO125" s="68">
        <f t="shared" si="720"/>
        <v>0</v>
      </c>
      <c r="CP125" s="68">
        <f t="shared" si="720"/>
        <v>0</v>
      </c>
      <c r="CQ125" s="68">
        <f t="shared" si="720"/>
        <v>0</v>
      </c>
      <c r="CR125" s="68">
        <f t="shared" si="720"/>
        <v>0</v>
      </c>
      <c r="CS125" s="68">
        <f t="shared" si="720"/>
        <v>0</v>
      </c>
      <c r="CT125" s="68">
        <f t="shared" si="720"/>
        <v>0</v>
      </c>
      <c r="CU125" s="68">
        <f t="shared" si="720"/>
        <v>0</v>
      </c>
      <c r="CX125" s="68">
        <f>CX124*CX20%+CX124</f>
        <v>0</v>
      </c>
      <c r="CY125" s="68">
        <f>CY124*CY20%+CY124</f>
        <v>0</v>
      </c>
      <c r="CZ125" s="68">
        <f>CZ124*CZ20%+CZ124</f>
        <v>0</v>
      </c>
      <c r="DA125" s="68">
        <f>DA124*DA20%+DA124</f>
        <v>0</v>
      </c>
      <c r="DB125" s="68">
        <f>DB124*DB20%+DB124</f>
        <v>0</v>
      </c>
    </row>
    <row r="126" spans="2:108" ht="13" hidden="1" customHeight="1"/>
    <row r="127" spans="2:108" ht="13" hidden="1" customHeight="1">
      <c r="B127" s="63" t="s">
        <v>773</v>
      </c>
      <c r="C127" s="1769">
        <f t="shared" ref="C127:E127" si="721">IF(AND(C24&gt;0,C7="Pædagog"),8018*C22*C24/12*C15,0)</f>
        <v>0</v>
      </c>
      <c r="D127" s="1769">
        <f t="shared" si="721"/>
        <v>0</v>
      </c>
      <c r="E127" s="1769">
        <f t="shared" si="721"/>
        <v>0</v>
      </c>
      <c r="F127" s="1769">
        <f t="shared" ref="F127" si="722">IF(AND(F24&gt;0,F7="Pædagog"),8018*F22*F24/12*F15,0)</f>
        <v>0</v>
      </c>
      <c r="G127" s="1769">
        <f t="shared" ref="G127:U127" si="723">IF(AND(G24&gt;0,G7="Pædagog"),8018*G22*G24/12*G15,0)</f>
        <v>0</v>
      </c>
      <c r="H127" s="1769">
        <f t="shared" si="723"/>
        <v>0</v>
      </c>
      <c r="I127" s="1769">
        <f t="shared" ref="I127" si="724">IF(AND(I24&gt;0,I7="Pædagog"),8018*I22*I24/12*I15,0)</f>
        <v>0</v>
      </c>
      <c r="J127" s="1769">
        <f t="shared" si="723"/>
        <v>0</v>
      </c>
      <c r="K127" s="1769">
        <f t="shared" si="723"/>
        <v>0</v>
      </c>
      <c r="L127" s="1769">
        <f t="shared" si="723"/>
        <v>0</v>
      </c>
      <c r="M127" s="1769">
        <f t="shared" si="723"/>
        <v>0</v>
      </c>
      <c r="N127" s="1769">
        <f t="shared" si="723"/>
        <v>0</v>
      </c>
      <c r="O127" s="1769">
        <f t="shared" si="723"/>
        <v>0</v>
      </c>
      <c r="P127" s="1769">
        <f t="shared" si="723"/>
        <v>0</v>
      </c>
      <c r="Q127" s="1769">
        <f t="shared" si="723"/>
        <v>0</v>
      </c>
      <c r="R127" s="1769">
        <f t="shared" si="723"/>
        <v>0</v>
      </c>
      <c r="S127" s="1769">
        <f t="shared" si="723"/>
        <v>0</v>
      </c>
      <c r="T127" s="1769">
        <f t="shared" si="723"/>
        <v>0</v>
      </c>
      <c r="U127" s="1769">
        <f t="shared" si="723"/>
        <v>0</v>
      </c>
      <c r="X127" s="1769">
        <f>IF(AND(X24&gt;0,X7="Pædagog"),8018*X22*X24/12*X15,0)</f>
        <v>0</v>
      </c>
      <c r="Y127" s="1769">
        <f>IF(AND(Y24&gt;0,Y7="Pædagog"),8018*Y22*Y24/12*Y15,0)</f>
        <v>0</v>
      </c>
      <c r="Z127" s="1769">
        <f t="shared" ref="Z127:AJ127" si="725">IF(AND(Z24&gt;0,Z7="Pædagog"),8018*Z22*Z24/12*Z15,0)</f>
        <v>0</v>
      </c>
      <c r="AA127" s="1769">
        <f t="shared" si="725"/>
        <v>0</v>
      </c>
      <c r="AB127" s="1769">
        <f t="shared" si="725"/>
        <v>0</v>
      </c>
      <c r="AC127" s="1769">
        <f t="shared" si="725"/>
        <v>0</v>
      </c>
      <c r="AD127" s="1769">
        <f t="shared" si="725"/>
        <v>0</v>
      </c>
      <c r="AE127" s="1769">
        <f t="shared" ref="AE127" si="726">IF(AND(AE24&gt;0,AE7="Pædagog"),8018*AE22*AE24/12*AE15,0)</f>
        <v>0</v>
      </c>
      <c r="AF127" s="1769">
        <f t="shared" si="725"/>
        <v>0</v>
      </c>
      <c r="AG127" s="1769">
        <f t="shared" si="725"/>
        <v>0</v>
      </c>
      <c r="AH127" s="1769">
        <f t="shared" si="725"/>
        <v>0</v>
      </c>
      <c r="AI127" s="1769">
        <f t="shared" si="725"/>
        <v>0</v>
      </c>
      <c r="AJ127" s="1769">
        <f t="shared" si="725"/>
        <v>0</v>
      </c>
      <c r="AK127" s="1769">
        <f t="shared" ref="AK127:AN127" si="727">IF(AND(AK24&gt;0,AK7="Pædagog"),8018*AK22*AK24/12*AK15,0)</f>
        <v>0</v>
      </c>
      <c r="AL127" s="1769">
        <f t="shared" si="727"/>
        <v>0</v>
      </c>
      <c r="AM127" s="1769">
        <f t="shared" si="727"/>
        <v>0</v>
      </c>
      <c r="AN127" s="1769">
        <f t="shared" si="727"/>
        <v>0</v>
      </c>
      <c r="AO127" s="1769">
        <f t="shared" ref="AO127:AY127" si="728">IF(AND(AO24&gt;0,AO7="Pædagog"),8018*AO22*AO24/12*AO15,0)</f>
        <v>0</v>
      </c>
      <c r="AP127" s="1769">
        <f t="shared" si="728"/>
        <v>0</v>
      </c>
      <c r="AQ127" s="1769">
        <f t="shared" si="728"/>
        <v>0</v>
      </c>
      <c r="AR127" s="2340">
        <f t="shared" si="728"/>
        <v>0</v>
      </c>
      <c r="AS127" s="2340">
        <f t="shared" si="728"/>
        <v>0</v>
      </c>
      <c r="AT127" s="2340">
        <f t="shared" si="728"/>
        <v>0</v>
      </c>
      <c r="AU127" s="2340">
        <f t="shared" si="728"/>
        <v>0</v>
      </c>
      <c r="AV127" s="2340">
        <f t="shared" si="728"/>
        <v>0</v>
      </c>
      <c r="AW127" s="2340">
        <f t="shared" si="728"/>
        <v>0</v>
      </c>
      <c r="AX127" s="2340">
        <f t="shared" si="728"/>
        <v>0</v>
      </c>
      <c r="AY127" s="2340">
        <f t="shared" si="728"/>
        <v>0</v>
      </c>
      <c r="BB127" s="1769">
        <f t="shared" ref="BB127:BL127" si="729">IF(AND(BB24&gt;0,BB7="Pædagog"),8018*BB22*BB24/12*BB15,0)</f>
        <v>0</v>
      </c>
      <c r="BC127" s="1769">
        <f t="shared" ref="BC127" si="730">IF(AND(BC24&gt;0,BC7="Pædagog"),8018*BC22*BC24/12*BC15,0)</f>
        <v>0</v>
      </c>
      <c r="BD127" s="1769">
        <f t="shared" si="729"/>
        <v>0</v>
      </c>
      <c r="BE127" s="1769">
        <f t="shared" si="729"/>
        <v>0</v>
      </c>
      <c r="BF127" s="1769">
        <f t="shared" si="729"/>
        <v>0</v>
      </c>
      <c r="BG127" s="1769">
        <f t="shared" si="729"/>
        <v>0</v>
      </c>
      <c r="BH127" s="1769">
        <f t="shared" si="729"/>
        <v>0</v>
      </c>
      <c r="BI127" s="1769">
        <f t="shared" si="729"/>
        <v>0</v>
      </c>
      <c r="BJ127" s="1769">
        <f t="shared" si="729"/>
        <v>0</v>
      </c>
      <c r="BK127" s="1769">
        <f t="shared" si="729"/>
        <v>0</v>
      </c>
      <c r="BL127" s="1769">
        <f t="shared" si="729"/>
        <v>0</v>
      </c>
      <c r="BO127" s="1769">
        <f t="shared" ref="BO127:BX127" si="731">IF(AND(BO24&gt;0,BO7="Pædagog"),8018*BO22*BO24/12*BO15,0)</f>
        <v>0</v>
      </c>
      <c r="BP127" s="1769">
        <f t="shared" si="731"/>
        <v>0</v>
      </c>
      <c r="BQ127" s="1769">
        <f t="shared" si="731"/>
        <v>0</v>
      </c>
      <c r="BR127" s="1769">
        <f t="shared" si="731"/>
        <v>0</v>
      </c>
      <c r="BS127" s="1769">
        <f t="shared" si="731"/>
        <v>0</v>
      </c>
      <c r="BT127" s="1769">
        <f t="shared" si="731"/>
        <v>0</v>
      </c>
      <c r="BU127" s="1769">
        <f t="shared" si="731"/>
        <v>0</v>
      </c>
      <c r="BV127" s="1769">
        <f t="shared" si="731"/>
        <v>0</v>
      </c>
      <c r="BW127" s="1769">
        <f t="shared" si="731"/>
        <v>0</v>
      </c>
      <c r="BX127" s="1769">
        <f t="shared" si="731"/>
        <v>0</v>
      </c>
    </row>
    <row r="128" spans="2:108" ht="13" hidden="1" customHeight="1"/>
    <row r="129" spans="1:108" ht="13" hidden="1" customHeight="1">
      <c r="B129" s="63" t="s">
        <v>774</v>
      </c>
      <c r="C129" s="519">
        <f t="shared" ref="C129:D129" si="732">IF(C15&gt;0,C127/12*C15,0)</f>
        <v>0</v>
      </c>
      <c r="D129" s="519">
        <f t="shared" si="732"/>
        <v>0</v>
      </c>
      <c r="E129" s="519">
        <f t="shared" ref="E129:G129" si="733">IF(E15&gt;0,E127,0)</f>
        <v>0</v>
      </c>
      <c r="F129" s="519">
        <f t="shared" ref="F129" si="734">IF(F15&gt;0,F127,0)</f>
        <v>0</v>
      </c>
      <c r="G129" s="519">
        <f t="shared" si="733"/>
        <v>0</v>
      </c>
      <c r="H129" s="519">
        <f>IF(H15&gt;0,H127,0)</f>
        <v>0</v>
      </c>
      <c r="I129" s="519">
        <f>IF(I15&gt;0,I127,0)</f>
        <v>0</v>
      </c>
      <c r="J129" s="519">
        <f t="shared" ref="J129:T129" si="735">IF(J15&gt;0,J127,0)</f>
        <v>0</v>
      </c>
      <c r="K129" s="519">
        <f t="shared" si="735"/>
        <v>0</v>
      </c>
      <c r="L129" s="519">
        <f t="shared" si="735"/>
        <v>0</v>
      </c>
      <c r="M129" s="519">
        <f>IF(M15&gt;0,M127,0)</f>
        <v>0</v>
      </c>
      <c r="N129" s="519">
        <f t="shared" si="735"/>
        <v>0</v>
      </c>
      <c r="O129" s="519">
        <f>IF(O15&gt;0,O127,0)</f>
        <v>0</v>
      </c>
      <c r="P129" s="519">
        <f t="shared" si="735"/>
        <v>0</v>
      </c>
      <c r="Q129" s="519">
        <f t="shared" si="735"/>
        <v>0</v>
      </c>
      <c r="R129" s="519">
        <f>IF(R15&gt;0,R127,0)</f>
        <v>0</v>
      </c>
      <c r="S129" s="519">
        <f t="shared" si="735"/>
        <v>0</v>
      </c>
      <c r="T129" s="519">
        <f t="shared" si="735"/>
        <v>0</v>
      </c>
      <c r="U129" s="519">
        <f>IF(U15&gt;0,U127,0)</f>
        <v>0</v>
      </c>
      <c r="X129" s="519">
        <f>IF(X15&gt;0,X127,0)</f>
        <v>0</v>
      </c>
      <c r="Y129" s="519">
        <f>IF(Y15&gt;0,Y127,0)</f>
        <v>0</v>
      </c>
      <c r="Z129" s="519">
        <f t="shared" ref="Z129:AJ129" si="736">IF(Z15&gt;0,Z127,0)</f>
        <v>0</v>
      </c>
      <c r="AA129" s="519">
        <f t="shared" si="736"/>
        <v>0</v>
      </c>
      <c r="AB129" s="519">
        <f t="shared" si="736"/>
        <v>0</v>
      </c>
      <c r="AC129" s="519">
        <f t="shared" si="736"/>
        <v>0</v>
      </c>
      <c r="AD129" s="519">
        <f t="shared" si="736"/>
        <v>0</v>
      </c>
      <c r="AE129" s="519">
        <f t="shared" ref="AE129" si="737">IF(AE15&gt;0,AE127,0)</f>
        <v>0</v>
      </c>
      <c r="AF129" s="519">
        <f t="shared" si="736"/>
        <v>0</v>
      </c>
      <c r="AG129" s="519">
        <f t="shared" si="736"/>
        <v>0</v>
      </c>
      <c r="AH129" s="519">
        <f t="shared" si="736"/>
        <v>0</v>
      </c>
      <c r="AI129" s="519">
        <f t="shared" si="736"/>
        <v>0</v>
      </c>
      <c r="AJ129" s="519">
        <f t="shared" si="736"/>
        <v>0</v>
      </c>
      <c r="AK129" s="519">
        <f t="shared" ref="AK129:AN129" si="738">IF(AK15&gt;0,AK127,0)</f>
        <v>0</v>
      </c>
      <c r="AL129" s="519">
        <f t="shared" si="738"/>
        <v>0</v>
      </c>
      <c r="AM129" s="519">
        <f t="shared" si="738"/>
        <v>0</v>
      </c>
      <c r="AN129" s="519">
        <f t="shared" si="738"/>
        <v>0</v>
      </c>
      <c r="AO129" s="519">
        <f t="shared" ref="AO129:AY129" si="739">IF(AO15&gt;0,AO127,0)</f>
        <v>0</v>
      </c>
      <c r="AP129" s="519">
        <f t="shared" si="739"/>
        <v>0</v>
      </c>
      <c r="AQ129" s="519">
        <f t="shared" si="739"/>
        <v>0</v>
      </c>
      <c r="AR129" s="519">
        <f t="shared" si="739"/>
        <v>0</v>
      </c>
      <c r="AS129" s="519">
        <f t="shared" si="739"/>
        <v>0</v>
      </c>
      <c r="AT129" s="519">
        <f t="shared" si="739"/>
        <v>0</v>
      </c>
      <c r="AU129" s="519">
        <f t="shared" si="739"/>
        <v>0</v>
      </c>
      <c r="AV129" s="519">
        <f t="shared" si="739"/>
        <v>0</v>
      </c>
      <c r="AW129" s="519">
        <f t="shared" si="739"/>
        <v>0</v>
      </c>
      <c r="AX129" s="519">
        <f t="shared" si="739"/>
        <v>0</v>
      </c>
      <c r="AY129" s="519">
        <f t="shared" si="739"/>
        <v>0</v>
      </c>
      <c r="BB129" s="519">
        <f t="shared" ref="BB129:BL129" si="740">IF(BB15&gt;0,BB127,0)</f>
        <v>0</v>
      </c>
      <c r="BC129" s="519">
        <f t="shared" ref="BC129" si="741">IF(BC15&gt;0,BC127,0)</f>
        <v>0</v>
      </c>
      <c r="BD129" s="519">
        <f t="shared" si="740"/>
        <v>0</v>
      </c>
      <c r="BE129" s="519">
        <f t="shared" si="740"/>
        <v>0</v>
      </c>
      <c r="BF129" s="519">
        <f t="shared" si="740"/>
        <v>0</v>
      </c>
      <c r="BG129" s="519">
        <f t="shared" si="740"/>
        <v>0</v>
      </c>
      <c r="BH129" s="519">
        <f t="shared" si="740"/>
        <v>0</v>
      </c>
      <c r="BI129" s="519">
        <f t="shared" si="740"/>
        <v>0</v>
      </c>
      <c r="BJ129" s="519">
        <f t="shared" si="740"/>
        <v>0</v>
      </c>
      <c r="BK129" s="519">
        <f t="shared" si="740"/>
        <v>0</v>
      </c>
      <c r="BL129" s="519">
        <f t="shared" si="740"/>
        <v>0</v>
      </c>
      <c r="BO129" s="519">
        <f t="shared" ref="BO129:BX129" si="742">IF(BO15&gt;0,BO127,0)</f>
        <v>0</v>
      </c>
      <c r="BP129" s="519">
        <f t="shared" si="742"/>
        <v>0</v>
      </c>
      <c r="BQ129" s="519">
        <f t="shared" si="742"/>
        <v>0</v>
      </c>
      <c r="BR129" s="519">
        <f t="shared" si="742"/>
        <v>0</v>
      </c>
      <c r="BS129" s="519">
        <f t="shared" si="742"/>
        <v>0</v>
      </c>
      <c r="BT129" s="519">
        <f t="shared" si="742"/>
        <v>0</v>
      </c>
      <c r="BU129" s="519">
        <f t="shared" si="742"/>
        <v>0</v>
      </c>
      <c r="BV129" s="519">
        <f t="shared" si="742"/>
        <v>0</v>
      </c>
      <c r="BW129" s="519">
        <f t="shared" si="742"/>
        <v>0</v>
      </c>
      <c r="BX129" s="519">
        <f t="shared" si="742"/>
        <v>0</v>
      </c>
    </row>
    <row r="130" spans="1:108" ht="13" hidden="1" customHeight="1">
      <c r="B130" s="63" t="s">
        <v>775</v>
      </c>
      <c r="C130" s="68">
        <f t="shared" ref="C130" si="743">C129+(C129*C20%)</f>
        <v>0</v>
      </c>
      <c r="D130" s="68">
        <f t="shared" ref="D130" si="744">D129+(D129*D20%)</f>
        <v>0</v>
      </c>
      <c r="E130" s="68">
        <f t="shared" ref="E130:F130" si="745">E129+(E129*E20%)</f>
        <v>0</v>
      </c>
      <c r="F130" s="68">
        <f t="shared" si="745"/>
        <v>0</v>
      </c>
      <c r="G130" s="68">
        <f t="shared" ref="G130" si="746">G129+(G129*G20%)</f>
        <v>0</v>
      </c>
      <c r="H130" s="68">
        <f t="shared" ref="H130:I130" si="747">H129+(H129*H20%)</f>
        <v>0</v>
      </c>
      <c r="I130" s="68">
        <f t="shared" si="747"/>
        <v>0</v>
      </c>
      <c r="J130" s="68">
        <f t="shared" ref="J130" si="748">J129+(J129*J20%)</f>
        <v>0</v>
      </c>
      <c r="K130" s="68">
        <f t="shared" ref="K130" si="749">K129+(K129*K20%)</f>
        <v>0</v>
      </c>
      <c r="L130" s="68">
        <f t="shared" ref="L130" si="750">L129+(L129*L20%)</f>
        <v>0</v>
      </c>
      <c r="M130" s="68">
        <f t="shared" ref="M130" si="751">M129+(M129*M20%)</f>
        <v>0</v>
      </c>
      <c r="N130" s="68">
        <f t="shared" ref="N130" si="752">N129+(N129*N20%)</f>
        <v>0</v>
      </c>
      <c r="O130" s="68">
        <f t="shared" ref="O130" si="753">O129+(O129*O20%)</f>
        <v>0</v>
      </c>
      <c r="P130" s="68">
        <f t="shared" ref="P130" si="754">P129+(P129*P20%)</f>
        <v>0</v>
      </c>
      <c r="Q130" s="68">
        <f t="shared" ref="Q130" si="755">Q129+(Q129*Q20%)</f>
        <v>0</v>
      </c>
      <c r="R130" s="68">
        <f t="shared" ref="R130" si="756">R129+(R129*R20%)</f>
        <v>0</v>
      </c>
      <c r="S130" s="68">
        <f t="shared" ref="S130" si="757">S129+(S129*S20%)</f>
        <v>0</v>
      </c>
      <c r="T130" s="68">
        <f t="shared" ref="T130" si="758">T129+(T129*T20%)</f>
        <v>0</v>
      </c>
      <c r="U130" s="68">
        <f t="shared" ref="U130" si="759">U129+(U129*U20%)</f>
        <v>0</v>
      </c>
      <c r="X130" s="68">
        <f t="shared" ref="X130:Y130" si="760">X129+(X129*X20%)</f>
        <v>0</v>
      </c>
      <c r="Y130" s="68">
        <f t="shared" si="760"/>
        <v>0</v>
      </c>
      <c r="Z130" s="68">
        <f t="shared" ref="Z130" si="761">Z129+(Z129*Z20%)</f>
        <v>0</v>
      </c>
      <c r="AA130" s="68">
        <f t="shared" ref="AA130" si="762">AA129+(AA129*AA20%)</f>
        <v>0</v>
      </c>
      <c r="AB130" s="68">
        <f t="shared" ref="AB130" si="763">AB129+(AB129*AB20%)</f>
        <v>0</v>
      </c>
      <c r="AC130" s="68">
        <f t="shared" ref="AC130" si="764">AC129+(AC129*AC20%)</f>
        <v>0</v>
      </c>
      <c r="AD130" s="68">
        <f t="shared" ref="AD130:AE130" si="765">AD129+(AD129*AD20%)</f>
        <v>0</v>
      </c>
      <c r="AE130" s="68">
        <f t="shared" si="765"/>
        <v>0</v>
      </c>
      <c r="AF130" s="68">
        <f t="shared" ref="AF130" si="766">AF129+(AF129*AF20%)</f>
        <v>0</v>
      </c>
      <c r="AG130" s="68">
        <f t="shared" ref="AG130" si="767">AG129+(AG129*AG20%)</f>
        <v>0</v>
      </c>
      <c r="AH130" s="68">
        <f t="shared" ref="AH130" si="768">AH129+(AH129*AH20%)</f>
        <v>0</v>
      </c>
      <c r="AI130" s="68">
        <f t="shared" ref="AI130" si="769">AI129+(AI129*AI20%)</f>
        <v>0</v>
      </c>
      <c r="AJ130" s="68">
        <f t="shared" ref="AJ130:AM130" si="770">AJ129+(AJ129*AJ20%)</f>
        <v>0</v>
      </c>
      <c r="AK130" s="68">
        <f t="shared" si="770"/>
        <v>0</v>
      </c>
      <c r="AL130" s="68">
        <f t="shared" si="770"/>
        <v>0</v>
      </c>
      <c r="AM130" s="68">
        <f t="shared" si="770"/>
        <v>0</v>
      </c>
      <c r="AN130" s="68">
        <f t="shared" ref="AN130:AY130" si="771">AN129+(AN129*AN20%)</f>
        <v>0</v>
      </c>
      <c r="AO130" s="68">
        <f t="shared" si="771"/>
        <v>0</v>
      </c>
      <c r="AP130" s="68">
        <f t="shared" si="771"/>
        <v>0</v>
      </c>
      <c r="AQ130" s="68">
        <f t="shared" si="771"/>
        <v>0</v>
      </c>
      <c r="AR130" s="68">
        <f t="shared" si="771"/>
        <v>0</v>
      </c>
      <c r="AS130" s="68">
        <f t="shared" si="771"/>
        <v>0</v>
      </c>
      <c r="AT130" s="68">
        <f t="shared" si="771"/>
        <v>0</v>
      </c>
      <c r="AU130" s="68">
        <f t="shared" si="771"/>
        <v>0</v>
      </c>
      <c r="AV130" s="68">
        <f t="shared" si="771"/>
        <v>0</v>
      </c>
      <c r="AW130" s="68">
        <f t="shared" si="771"/>
        <v>0</v>
      </c>
      <c r="AX130" s="68">
        <f t="shared" si="771"/>
        <v>0</v>
      </c>
      <c r="AY130" s="68">
        <f t="shared" si="771"/>
        <v>0</v>
      </c>
      <c r="BB130" s="68">
        <f t="shared" ref="BB130:BC130" si="772">BB129+(BB129*BB20%)</f>
        <v>0</v>
      </c>
      <c r="BC130" s="68">
        <f t="shared" si="772"/>
        <v>0</v>
      </c>
      <c r="BD130" s="68">
        <f t="shared" ref="BD130" si="773">BD129+(BD129*BD20%)</f>
        <v>0</v>
      </c>
      <c r="BE130" s="68">
        <f t="shared" ref="BE130" si="774">BE129+(BE129*BE20%)</f>
        <v>0</v>
      </c>
      <c r="BF130" s="68">
        <f t="shared" ref="BF130" si="775">BF129+(BF129*BF20%)</f>
        <v>0</v>
      </c>
      <c r="BG130" s="68">
        <f t="shared" ref="BG130" si="776">BG129+(BG129*BG20%)</f>
        <v>0</v>
      </c>
      <c r="BH130" s="68">
        <f t="shared" ref="BH130" si="777">BH129+(BH129*BH20%)</f>
        <v>0</v>
      </c>
      <c r="BI130" s="68">
        <f t="shared" ref="BI130" si="778">BI129+(BI129*BI20%)</f>
        <v>0</v>
      </c>
      <c r="BJ130" s="68">
        <f t="shared" ref="BJ130" si="779">BJ129+(BJ129*BJ20%)</f>
        <v>0</v>
      </c>
      <c r="BK130" s="68">
        <f t="shared" ref="BK130" si="780">BK129+(BK129*BK20%)</f>
        <v>0</v>
      </c>
      <c r="BL130" s="68">
        <f t="shared" ref="BL130" si="781">BL129+(BL129*BL20%)</f>
        <v>0</v>
      </c>
      <c r="BO130" s="68">
        <f t="shared" ref="BO130" si="782">BO129+(BO129*BO20%)</f>
        <v>0</v>
      </c>
      <c r="BP130" s="68">
        <f t="shared" ref="BP130" si="783">BP129+(BP129*BP20%)</f>
        <v>0</v>
      </c>
      <c r="BQ130" s="68">
        <f t="shared" ref="BQ130" si="784">BQ129+(BQ129*BQ20%)</f>
        <v>0</v>
      </c>
      <c r="BR130" s="68">
        <f t="shared" ref="BR130" si="785">BR129+(BR129*BR20%)</f>
        <v>0</v>
      </c>
      <c r="BS130" s="68">
        <f t="shared" ref="BS130" si="786">BS129+(BS129*BS20%)</f>
        <v>0</v>
      </c>
      <c r="BT130" s="68">
        <f t="shared" ref="BT130" si="787">BT129+(BT129*BT20%)</f>
        <v>0</v>
      </c>
      <c r="BU130" s="68">
        <f t="shared" ref="BU130" si="788">BU129+(BU129*BU20%)</f>
        <v>0</v>
      </c>
      <c r="BV130" s="68">
        <f t="shared" ref="BV130" si="789">BV129+(BV129*BV20%)</f>
        <v>0</v>
      </c>
      <c r="BW130" s="68">
        <f t="shared" ref="BW130" si="790">BW129+(BW129*BW20%)</f>
        <v>0</v>
      </c>
      <c r="BX130" s="68">
        <f t="shared" ref="BX130" si="791">BX129+(BX129*BX20%)</f>
        <v>0</v>
      </c>
    </row>
    <row r="131" spans="1:108" ht="13" hidden="1" customHeight="1"/>
    <row r="132" spans="1:108" ht="13" hidden="1" customHeight="1"/>
    <row r="133" spans="1:108" s="2348" customFormat="1" ht="13" hidden="1" customHeight="1">
      <c r="A133" s="2347"/>
      <c r="C133" s="2349"/>
      <c r="D133" s="2349"/>
      <c r="E133" s="2349"/>
      <c r="F133" s="2349"/>
      <c r="G133" s="2349"/>
      <c r="H133" s="2349"/>
      <c r="I133" s="2349"/>
      <c r="J133" s="2349"/>
      <c r="K133" s="2349"/>
      <c r="L133" s="2349"/>
      <c r="M133" s="2349"/>
      <c r="N133" s="2349"/>
      <c r="O133" s="2349"/>
      <c r="P133" s="2349"/>
      <c r="Q133" s="2349"/>
      <c r="R133" s="2349"/>
      <c r="S133" s="2349"/>
      <c r="T133" s="2349"/>
      <c r="U133" s="2349"/>
      <c r="V133" s="2349"/>
      <c r="W133" s="2349"/>
      <c r="X133" s="2349">
        <f>IF(X54&gt;0,X14*X24*0.85/12,0)</f>
        <v>0</v>
      </c>
      <c r="Y133" s="2349">
        <f>IF(Y54&gt;0,Y14*Y24*0.85/12,0)</f>
        <v>0</v>
      </c>
      <c r="Z133" s="2349">
        <f>IF(Z54&gt;0,Z14*Z24*0.85/Z14,0)</f>
        <v>0</v>
      </c>
      <c r="AA133" s="2349">
        <f t="shared" ref="AA133:AD133" si="792">IF(AA54&gt;0,AA14*AA24/12,0)</f>
        <v>0</v>
      </c>
      <c r="AB133" s="2349">
        <f t="shared" si="792"/>
        <v>0</v>
      </c>
      <c r="AC133" s="2349">
        <f t="shared" si="792"/>
        <v>0</v>
      </c>
      <c r="AD133" s="2349">
        <f t="shared" si="792"/>
        <v>0</v>
      </c>
      <c r="AE133" s="2349">
        <f t="shared" ref="AE133" si="793">IF(AE54&gt;0,AE14*AE24/12,0)</f>
        <v>0</v>
      </c>
      <c r="AF133" s="2349">
        <f>IF(AF54&gt;0,AF14*AF24/12,0)</f>
        <v>0</v>
      </c>
      <c r="AG133" s="2349">
        <f t="shared" ref="AG133:AQ133" si="794">IF(AG54&gt;0,AG14*AG24/12,0)</f>
        <v>0</v>
      </c>
      <c r="AH133" s="2349">
        <f t="shared" si="794"/>
        <v>0</v>
      </c>
      <c r="AI133" s="2349">
        <f t="shared" si="794"/>
        <v>0</v>
      </c>
      <c r="AJ133" s="2349">
        <f t="shared" si="794"/>
        <v>0</v>
      </c>
      <c r="AK133" s="2349">
        <f t="shared" si="794"/>
        <v>0</v>
      </c>
      <c r="AL133" s="2349">
        <f t="shared" si="794"/>
        <v>0</v>
      </c>
      <c r="AM133" s="2349">
        <f t="shared" si="794"/>
        <v>0</v>
      </c>
      <c r="AN133" s="2349">
        <f t="shared" si="794"/>
        <v>0</v>
      </c>
      <c r="AO133" s="2349">
        <f t="shared" si="794"/>
        <v>0</v>
      </c>
      <c r="AP133" s="2349">
        <f t="shared" si="794"/>
        <v>0</v>
      </c>
      <c r="AQ133" s="2349">
        <f t="shared" si="794"/>
        <v>0</v>
      </c>
      <c r="AR133" s="2349">
        <f>IF(AR54&gt;0,AR14*AR24/12*0.43,0)</f>
        <v>0</v>
      </c>
      <c r="AS133" s="2349">
        <f t="shared" ref="AS133:AU133" si="795">IF(AS54&gt;0,AS14*AS24/12*0.43,0)</f>
        <v>0</v>
      </c>
      <c r="AT133" s="2349">
        <f t="shared" si="795"/>
        <v>0</v>
      </c>
      <c r="AU133" s="2349">
        <f t="shared" si="795"/>
        <v>0</v>
      </c>
      <c r="AV133" s="2349">
        <f>IF(AV54&gt;0,AV14*AV24/12*0.24,0)</f>
        <v>0</v>
      </c>
      <c r="AW133" s="2349">
        <f t="shared" ref="AW133:AY133" si="796">IF(AW54&gt;0,AW14*AW24/12*0.24,0)</f>
        <v>0</v>
      </c>
      <c r="AX133" s="2349">
        <f t="shared" si="796"/>
        <v>0</v>
      </c>
      <c r="AY133" s="2349">
        <f t="shared" si="796"/>
        <v>0</v>
      </c>
      <c r="AZ133" s="2349">
        <f>IF(AZ54&gt;0,(AZ10*AZ14)/1924,0)</f>
        <v>0</v>
      </c>
      <c r="BA133" s="2349">
        <f>IF(BA54&gt;0,(BA10*BA14)/1924,0)</f>
        <v>0</v>
      </c>
      <c r="BB133" s="2349"/>
      <c r="BC133" s="2349"/>
      <c r="BD133" s="2349"/>
      <c r="BE133" s="2349"/>
      <c r="BF133" s="2349"/>
      <c r="BG133" s="2349"/>
      <c r="BH133" s="2349"/>
      <c r="BI133" s="2349"/>
      <c r="BJ133" s="2349"/>
      <c r="BK133" s="2349"/>
      <c r="BL133" s="2349"/>
      <c r="BM133" s="2349"/>
      <c r="BN133" s="2349"/>
      <c r="BO133" s="2349"/>
      <c r="BP133" s="2349"/>
      <c r="BQ133" s="2349"/>
      <c r="BR133" s="2349"/>
      <c r="BS133" s="2349"/>
      <c r="BT133" s="2349"/>
      <c r="BU133" s="2349"/>
      <c r="BV133" s="2349"/>
      <c r="BW133" s="2349"/>
      <c r="BX133" s="2349"/>
      <c r="BY133" s="2349"/>
      <c r="BZ133" s="2349"/>
      <c r="CA133" s="2349"/>
      <c r="CB133" s="2349"/>
      <c r="CC133" s="2349"/>
      <c r="CD133" s="2349"/>
      <c r="CE133" s="2349"/>
      <c r="CF133" s="2349"/>
      <c r="CG133" s="2349"/>
      <c r="CH133" s="2349"/>
      <c r="CI133" s="2349"/>
      <c r="CJ133" s="2349"/>
      <c r="CK133" s="2349"/>
      <c r="CL133" s="2349"/>
      <c r="CM133" s="2349"/>
      <c r="CN133" s="2349"/>
      <c r="CO133" s="2349"/>
      <c r="CP133" s="2349"/>
      <c r="CQ133" s="2349"/>
      <c r="CR133" s="2349"/>
      <c r="CS133" s="2349"/>
      <c r="CT133" s="2349"/>
      <c r="CU133" s="2349"/>
      <c r="CV133" s="2349"/>
      <c r="CW133" s="2349"/>
      <c r="CX133" s="2349"/>
      <c r="CY133" s="2349"/>
      <c r="CZ133" s="2349"/>
      <c r="DA133" s="2349"/>
      <c r="DB133" s="2349"/>
      <c r="DC133" s="2349"/>
      <c r="DD133" s="2349"/>
    </row>
    <row r="134" spans="1:108" ht="13" hidden="1" customHeight="1"/>
    <row r="135" spans="1:108" ht="13" hidden="1" customHeight="1"/>
    <row r="136" spans="1:108" ht="13" hidden="1" customHeight="1"/>
    <row r="137" spans="1:108" ht="13" hidden="1" customHeight="1"/>
    <row r="138" spans="1:108" ht="13" hidden="1" customHeight="1"/>
    <row r="139" spans="1:108" ht="13" hidden="1" customHeight="1"/>
    <row r="140" spans="1:108" ht="13" hidden="1" customHeight="1"/>
    <row r="141" spans="1:108" ht="13" hidden="1" customHeight="1"/>
    <row r="142" spans="1:108" ht="13" hidden="1" customHeight="1"/>
    <row r="143" spans="1:108" ht="13" hidden="1" customHeight="1"/>
    <row r="144" spans="1:108" ht="13" hidden="1" customHeight="1"/>
    <row r="145" ht="13" hidden="1" customHeight="1"/>
    <row r="146" ht="13" hidden="1" customHeight="1"/>
    <row r="147" ht="13" hidden="1" customHeight="1"/>
    <row r="148" ht="13" hidden="1" customHeight="1"/>
    <row r="149" ht="13" hidden="1" customHeight="1"/>
    <row r="150" ht="13" hidden="1" customHeight="1"/>
    <row r="151" ht="13" hidden="1" customHeight="1"/>
    <row r="152" ht="13" hidden="1" customHeight="1"/>
    <row r="153" ht="13" hidden="1" customHeight="1"/>
    <row r="154" ht="13" hidden="1" customHeight="1"/>
    <row r="155" ht="13" hidden="1" customHeight="1"/>
    <row r="156" ht="13" hidden="1" customHeight="1"/>
    <row r="157" ht="13" hidden="1" customHeight="1"/>
    <row r="158" ht="13" hidden="1" customHeight="1"/>
    <row r="159" ht="13" hidden="1" customHeight="1"/>
    <row r="160" ht="13" hidden="1" customHeight="1"/>
    <row r="161" ht="13" hidden="1" customHeight="1"/>
    <row r="162" ht="13" hidden="1" customHeight="1"/>
    <row r="163" ht="13" hidden="1" customHeight="1"/>
    <row r="164" ht="13" hidden="1" customHeight="1"/>
    <row r="165" ht="13" hidden="1" customHeight="1"/>
    <row r="166" ht="13" hidden="1" customHeight="1"/>
    <row r="167" ht="13" hidden="1" customHeight="1"/>
    <row r="168" ht="13" hidden="1" customHeight="1"/>
    <row r="169" ht="13" hidden="1" customHeight="1"/>
    <row r="170" ht="13" hidden="1" customHeight="1"/>
    <row r="171" ht="13" hidden="1" customHeight="1"/>
    <row r="172" ht="13" hidden="1" customHeight="1"/>
    <row r="173" ht="13" hidden="1" customHeight="1"/>
    <row r="174" ht="13" hidden="1" customHeight="1"/>
    <row r="175" ht="13" hidden="1" customHeight="1"/>
    <row r="176" ht="13" hidden="1" customHeight="1"/>
    <row r="177" ht="13" hidden="1" customHeight="1"/>
    <row r="178" ht="13" hidden="1" customHeight="1"/>
    <row r="179" ht="13" hidden="1" customHeight="1"/>
    <row r="180" ht="13" hidden="1" customHeight="1"/>
    <row r="181" ht="13" hidden="1" customHeight="1"/>
    <row r="182" ht="13" hidden="1" customHeight="1"/>
    <row r="183" ht="13" hidden="1" customHeight="1"/>
    <row r="184" ht="13" hidden="1" customHeight="1"/>
    <row r="185" ht="13" hidden="1" customHeight="1"/>
    <row r="186" ht="13" hidden="1" customHeight="1"/>
    <row r="187" ht="13" hidden="1" customHeight="1"/>
    <row r="188" ht="13" hidden="1" customHeight="1"/>
    <row r="189" ht="13" hidden="1" customHeight="1"/>
    <row r="190" ht="13" hidden="1" customHeight="1"/>
    <row r="191" ht="13" hidden="1" customHeight="1"/>
    <row r="192" ht="13" hidden="1" customHeight="1"/>
    <row r="193" ht="13" hidden="1" customHeight="1"/>
    <row r="194" ht="13" hidden="1" customHeight="1"/>
    <row r="195" ht="13" hidden="1" customHeight="1"/>
    <row r="196" ht="13" hidden="1" customHeight="1"/>
    <row r="197" ht="13" hidden="1" customHeight="1"/>
    <row r="198" ht="13" hidden="1" customHeight="1"/>
    <row r="199" ht="13" hidden="1" customHeight="1"/>
    <row r="200" ht="13" hidden="1" customHeight="1"/>
    <row r="201" ht="13" hidden="1" customHeight="1"/>
    <row r="202" ht="13" hidden="1" customHeight="1"/>
    <row r="203" ht="13" hidden="1" customHeight="1"/>
    <row r="204" ht="13" hidden="1" customHeight="1"/>
    <row r="205" ht="13" hidden="1" customHeight="1"/>
    <row r="206" ht="13" hidden="1" customHeight="1"/>
    <row r="207" ht="13" hidden="1" customHeight="1"/>
    <row r="208" ht="13" hidden="1" customHeight="1"/>
    <row r="209" ht="13" hidden="1" customHeight="1"/>
    <row r="210" ht="13" hidden="1" customHeight="1"/>
    <row r="211" ht="13" hidden="1" customHeight="1"/>
    <row r="212" hidden="1"/>
  </sheetData>
  <sheetProtection sheet="1" formatCells="0" formatColumns="0" formatRows="0" insertColumns="0"/>
  <mergeCells count="100">
    <mergeCell ref="A17:B17"/>
    <mergeCell ref="A25:B25"/>
    <mergeCell ref="A44:B44"/>
    <mergeCell ref="A33:B33"/>
    <mergeCell ref="A34:B34"/>
    <mergeCell ref="A35:B35"/>
    <mergeCell ref="A39:B39"/>
    <mergeCell ref="A40:B40"/>
    <mergeCell ref="A37:B37"/>
    <mergeCell ref="A26:B26"/>
    <mergeCell ref="A36:B36"/>
    <mergeCell ref="A22:B22"/>
    <mergeCell ref="A23:B23"/>
    <mergeCell ref="A8:B8"/>
    <mergeCell ref="A9:B9"/>
    <mergeCell ref="A10:B10"/>
    <mergeCell ref="A11:B11"/>
    <mergeCell ref="A7:B7"/>
    <mergeCell ref="A48:B48"/>
    <mergeCell ref="A43:B43"/>
    <mergeCell ref="A82:A83"/>
    <mergeCell ref="A84:B84"/>
    <mergeCell ref="A49:B49"/>
    <mergeCell ref="A45:B45"/>
    <mergeCell ref="A85:B85"/>
    <mergeCell ref="A73:B73"/>
    <mergeCell ref="A46:B46"/>
    <mergeCell ref="A54:B54"/>
    <mergeCell ref="A53:B53"/>
    <mergeCell ref="A78:A79"/>
    <mergeCell ref="A51:B51"/>
    <mergeCell ref="A50:B50"/>
    <mergeCell ref="A80:A81"/>
    <mergeCell ref="A55:B55"/>
    <mergeCell ref="A56:B56"/>
    <mergeCell ref="A57:B57"/>
    <mergeCell ref="A72:DD72"/>
    <mergeCell ref="A47:B47"/>
    <mergeCell ref="A60:B60"/>
    <mergeCell ref="A52:B52"/>
    <mergeCell ref="DF73:DG73"/>
    <mergeCell ref="V5:W5"/>
    <mergeCell ref="AZ5:BA5"/>
    <mergeCell ref="CI5:CJ5"/>
    <mergeCell ref="CA5:CH5"/>
    <mergeCell ref="BB5:BL5"/>
    <mergeCell ref="BM5:BN5"/>
    <mergeCell ref="BB56:BH56"/>
    <mergeCell ref="BB57:BH57"/>
    <mergeCell ref="BO56:BT56"/>
    <mergeCell ref="BO57:BT57"/>
    <mergeCell ref="AV5:AY5"/>
    <mergeCell ref="AR5:AU5"/>
    <mergeCell ref="X5:AQ5"/>
    <mergeCell ref="C2:DD2"/>
    <mergeCell ref="CX3:DD3"/>
    <mergeCell ref="CA3:CJ3"/>
    <mergeCell ref="CK3:CW3"/>
    <mergeCell ref="CV5:CW5"/>
    <mergeCell ref="CK5:CU5"/>
    <mergeCell ref="DC5:DD5"/>
    <mergeCell ref="CX5:DB5"/>
    <mergeCell ref="C4:W4"/>
    <mergeCell ref="X4:BA4"/>
    <mergeCell ref="BB4:BN4"/>
    <mergeCell ref="CA4:CJ4"/>
    <mergeCell ref="CK4:CW4"/>
    <mergeCell ref="CX4:DD4"/>
    <mergeCell ref="BO4:BZ4"/>
    <mergeCell ref="C3:BZ3"/>
    <mergeCell ref="EB15:EC15"/>
    <mergeCell ref="BO5:BX5"/>
    <mergeCell ref="BY5:BZ5"/>
    <mergeCell ref="A30:B30"/>
    <mergeCell ref="A18:B18"/>
    <mergeCell ref="A19:B19"/>
    <mergeCell ref="C5:U5"/>
    <mergeCell ref="A3:B5"/>
    <mergeCell ref="A15:B15"/>
    <mergeCell ref="A27:B27"/>
    <mergeCell ref="A28:B28"/>
    <mergeCell ref="A13:B13"/>
    <mergeCell ref="A14:B14"/>
    <mergeCell ref="A16:B16"/>
    <mergeCell ref="A20:B20"/>
    <mergeCell ref="A6:B6"/>
    <mergeCell ref="DY14:DZ14"/>
    <mergeCell ref="DM21:DN21"/>
    <mergeCell ref="DP15:DQ15"/>
    <mergeCell ref="DS14:DT14"/>
    <mergeCell ref="DV14:DW14"/>
    <mergeCell ref="DJ21:DK21"/>
    <mergeCell ref="A31:B31"/>
    <mergeCell ref="A32:B32"/>
    <mergeCell ref="A24:B24"/>
    <mergeCell ref="A42:B42"/>
    <mergeCell ref="A21:B21"/>
    <mergeCell ref="A38:B38"/>
    <mergeCell ref="A41:B41"/>
    <mergeCell ref="A29:B29"/>
  </mergeCells>
  <phoneticPr fontId="55" type="noConversion"/>
  <conditionalFormatting sqref="C25:U25">
    <cfRule type="expression" dxfId="56" priority="8">
      <formula>OR(C17="Ja",)</formula>
    </cfRule>
  </conditionalFormatting>
  <conditionalFormatting sqref="V73">
    <cfRule type="expression" dxfId="55" priority="58">
      <formula>OR($V$54=0)</formula>
    </cfRule>
  </conditionalFormatting>
  <conditionalFormatting sqref="V80">
    <cfRule type="expression" dxfId="54" priority="326">
      <formula>OR($V$68=0)</formula>
    </cfRule>
  </conditionalFormatting>
  <conditionalFormatting sqref="V82">
    <cfRule type="expression" dxfId="53" priority="302">
      <formula>OR($V$69=0)</formula>
    </cfRule>
  </conditionalFormatting>
  <conditionalFormatting sqref="W73">
    <cfRule type="expression" dxfId="52" priority="56">
      <formula>OR($W$54=0)</formula>
    </cfRule>
  </conditionalFormatting>
  <conditionalFormatting sqref="W74:W78">
    <cfRule type="expression" dxfId="51" priority="340">
      <formula>OR($W$68=0)</formula>
    </cfRule>
  </conditionalFormatting>
  <conditionalFormatting sqref="W80">
    <cfRule type="expression" dxfId="50" priority="325">
      <formula>OR($W$68=0)</formula>
    </cfRule>
  </conditionalFormatting>
  <conditionalFormatting sqref="W82">
    <cfRule type="expression" dxfId="49" priority="301">
      <formula>OR($W$69=0)</formula>
    </cfRule>
  </conditionalFormatting>
  <conditionalFormatting sqref="X25:AY25">
    <cfRule type="expression" dxfId="48" priority="1">
      <formula>OR(X17="Ja",)</formula>
    </cfRule>
  </conditionalFormatting>
  <conditionalFormatting sqref="AZ73">
    <cfRule type="expression" dxfId="47" priority="55">
      <formula>OR($AZ$54=0)</formula>
    </cfRule>
  </conditionalFormatting>
  <conditionalFormatting sqref="AZ74:AZ79">
    <cfRule type="expression" dxfId="46" priority="14">
      <formula>OR($K$68=0)</formula>
    </cfRule>
  </conditionalFormatting>
  <conditionalFormatting sqref="AZ80">
    <cfRule type="expression" dxfId="45" priority="291">
      <formula>OR($AZ$68=0)</formula>
    </cfRule>
  </conditionalFormatting>
  <conditionalFormatting sqref="AZ82">
    <cfRule type="expression" dxfId="44" priority="246">
      <formula>OR($K$69=0)</formula>
    </cfRule>
  </conditionalFormatting>
  <conditionalFormatting sqref="BA73">
    <cfRule type="expression" dxfId="43" priority="54">
      <formula>OR($BA$54=0)</formula>
    </cfRule>
  </conditionalFormatting>
  <conditionalFormatting sqref="BA74:BA78">
    <cfRule type="expression" dxfId="42" priority="290">
      <formula>OR(#REF!=0)</formula>
    </cfRule>
  </conditionalFormatting>
  <conditionalFormatting sqref="BA79">
    <cfRule type="expression" dxfId="41" priority="13">
      <formula>OR(#REF!=0)</formula>
    </cfRule>
  </conditionalFormatting>
  <conditionalFormatting sqref="BA80">
    <cfRule type="expression" dxfId="40" priority="281">
      <formula>OR(#REF!=0)</formula>
    </cfRule>
  </conditionalFormatting>
  <conditionalFormatting sqref="BA82">
    <cfRule type="expression" dxfId="39" priority="241">
      <formula>OR(#REF!=0)</formula>
    </cfRule>
  </conditionalFormatting>
  <conditionalFormatting sqref="BB25:BL25">
    <cfRule type="expression" dxfId="38" priority="6">
      <formula>OR(BB17="Ja",)</formula>
    </cfRule>
  </conditionalFormatting>
  <conditionalFormatting sqref="BM73">
    <cfRule type="expression" dxfId="37" priority="53">
      <formula>OR($BM$54=0)</formula>
    </cfRule>
  </conditionalFormatting>
  <conditionalFormatting sqref="BM74:BM78">
    <cfRule type="expression" dxfId="36" priority="269">
      <formula>OR($W$68=0)</formula>
    </cfRule>
  </conditionalFormatting>
  <conditionalFormatting sqref="BM80">
    <cfRule type="expression" dxfId="35" priority="254">
      <formula>OR($W$68=0)</formula>
    </cfRule>
  </conditionalFormatting>
  <conditionalFormatting sqref="BM82">
    <cfRule type="expression" dxfId="34" priority="230">
      <formula>OR($W$69=0)</formula>
    </cfRule>
  </conditionalFormatting>
  <conditionalFormatting sqref="BN73 BZ73">
    <cfRule type="expression" dxfId="33" priority="52">
      <formula>OR($BN$54=0)</formula>
    </cfRule>
  </conditionalFormatting>
  <conditionalFormatting sqref="BN74:BN78 BZ74:BZ78 BZ80">
    <cfRule type="expression" dxfId="32" priority="268">
      <formula>OR($X$68=0)</formula>
    </cfRule>
  </conditionalFormatting>
  <conditionalFormatting sqref="BN80">
    <cfRule type="expression" dxfId="31" priority="253">
      <formula>OR($X$68=0)</formula>
    </cfRule>
  </conditionalFormatting>
  <conditionalFormatting sqref="BN82 BZ82">
    <cfRule type="expression" dxfId="30" priority="229">
      <formula>OR($X$69=0)</formula>
    </cfRule>
  </conditionalFormatting>
  <conditionalFormatting sqref="BO25:BX25">
    <cfRule type="expression" dxfId="29" priority="5">
      <formula>OR(BO17="Ja",)</formula>
    </cfRule>
  </conditionalFormatting>
  <conditionalFormatting sqref="BY73">
    <cfRule type="expression" dxfId="28" priority="9">
      <formula>OR($BM$54=0)</formula>
    </cfRule>
  </conditionalFormatting>
  <conditionalFormatting sqref="BY74:BY78">
    <cfRule type="expression" dxfId="27" priority="12">
      <formula>OR($W$68=0)</formula>
    </cfRule>
  </conditionalFormatting>
  <conditionalFormatting sqref="BY80">
    <cfRule type="expression" dxfId="26" priority="11">
      <formula>OR($W$68=0)</formula>
    </cfRule>
  </conditionalFormatting>
  <conditionalFormatting sqref="BY82">
    <cfRule type="expression" dxfId="25" priority="10">
      <formula>OR($W$69=0)</formula>
    </cfRule>
  </conditionalFormatting>
  <conditionalFormatting sqref="CA25:CH25">
    <cfRule type="expression" dxfId="24" priority="4">
      <formula>OR(CA17="Ja",)</formula>
    </cfRule>
  </conditionalFormatting>
  <conditionalFormatting sqref="CI73">
    <cfRule type="expression" dxfId="23" priority="51">
      <formula>OR($CI$54=0)</formula>
    </cfRule>
  </conditionalFormatting>
  <conditionalFormatting sqref="CI80">
    <cfRule type="expression" dxfId="22" priority="248">
      <formula>OR($AD$69=0)</formula>
    </cfRule>
  </conditionalFormatting>
  <conditionalFormatting sqref="CI82">
    <cfRule type="expression" dxfId="21" priority="224">
      <formula>OR($AD$69=0)</formula>
    </cfRule>
  </conditionalFormatting>
  <conditionalFormatting sqref="CJ73">
    <cfRule type="expression" dxfId="20" priority="50">
      <formula>OR($CJ$54=0)</formula>
    </cfRule>
  </conditionalFormatting>
  <conditionalFormatting sqref="CK25:CU25">
    <cfRule type="expression" dxfId="19" priority="3">
      <formula>OR(CK17="Ja",)</formula>
    </cfRule>
  </conditionalFormatting>
  <conditionalFormatting sqref="CV73">
    <cfRule type="expression" dxfId="18" priority="49">
      <formula>OR($CV$54=0)</formula>
    </cfRule>
  </conditionalFormatting>
  <conditionalFormatting sqref="CV74:CV78">
    <cfRule type="expression" dxfId="17" priority="217">
      <formula>OR($R$68=0)</formula>
    </cfRule>
  </conditionalFormatting>
  <conditionalFormatting sqref="CV80">
    <cfRule type="expression" dxfId="16" priority="202">
      <formula>OR($R$68=0)</formula>
    </cfRule>
  </conditionalFormatting>
  <conditionalFormatting sqref="CV82">
    <cfRule type="expression" dxfId="15" priority="185">
      <formula>OR($R$69=0)</formula>
    </cfRule>
  </conditionalFormatting>
  <conditionalFormatting sqref="CW73">
    <cfRule type="expression" dxfId="14" priority="48">
      <formula>OR($CW$54=0)</formula>
    </cfRule>
  </conditionalFormatting>
  <conditionalFormatting sqref="CW74:CW78">
    <cfRule type="expression" dxfId="13" priority="216">
      <formula>OR($S$68=0)</formula>
    </cfRule>
  </conditionalFormatting>
  <conditionalFormatting sqref="CW80">
    <cfRule type="expression" dxfId="12" priority="201">
      <formula>OR($S$68=0)</formula>
    </cfRule>
  </conditionalFormatting>
  <conditionalFormatting sqref="CW82">
    <cfRule type="expression" dxfId="11" priority="184">
      <formula>OR($S$69=0)</formula>
    </cfRule>
  </conditionalFormatting>
  <conditionalFormatting sqref="CX25:DB25">
    <cfRule type="expression" dxfId="10" priority="2">
      <formula>OR(CX17="Ja",)</formula>
    </cfRule>
  </conditionalFormatting>
  <conditionalFormatting sqref="DC73">
    <cfRule type="expression" dxfId="9" priority="47">
      <formula>OR($DC$54=0)</formula>
    </cfRule>
  </conditionalFormatting>
  <conditionalFormatting sqref="DC74:DC78">
    <cfRule type="expression" dxfId="8" priority="210">
      <formula>OR($Z$68=0)</formula>
    </cfRule>
  </conditionalFormatting>
  <conditionalFormatting sqref="DC80">
    <cfRule type="expression" dxfId="7" priority="195">
      <formula>OR($Z$68=0)</formula>
    </cfRule>
  </conditionalFormatting>
  <conditionalFormatting sqref="DC82">
    <cfRule type="expression" dxfId="6" priority="178">
      <formula>OR($Z$69=0)</formula>
    </cfRule>
  </conditionalFormatting>
  <conditionalFormatting sqref="DD73">
    <cfRule type="expression" dxfId="5" priority="46">
      <formula>OR($DD$54=0)</formula>
    </cfRule>
  </conditionalFormatting>
  <conditionalFormatting sqref="DD74:DD78">
    <cfRule type="expression" dxfId="4" priority="209">
      <formula>OR($AA$68=0)</formula>
    </cfRule>
  </conditionalFormatting>
  <conditionalFormatting sqref="DD80">
    <cfRule type="expression" dxfId="3" priority="194">
      <formula>OR($AA$68=0)</formula>
    </cfRule>
  </conditionalFormatting>
  <conditionalFormatting sqref="DD82">
    <cfRule type="expression" dxfId="2" priority="177">
      <formula>OR($AA$69=0)</formula>
    </cfRule>
  </conditionalFormatting>
  <dataValidations count="11">
    <dataValidation allowBlank="1" showInputMessage="1" showErrorMessage="1" promptTitle="OBS" prompt="Timenlønnen oplyses i 12 kr." sqref="DC9:DD9 CV9:CW9" xr:uid="{00000000-0002-0000-0800-000007000000}"/>
    <dataValidation allowBlank="1" showInputMessage="1" showErrorMessage="1" promptTitle="OBS" prompt="Er den ansatte under flexrefusion, skrives her refusionssatsen. Dette bruges til korrekt udregning af feriepengeforpligtigelse." sqref="C83:C85 BN83:DD85 V84:Y85 AZ84:BM85 C73:DD73 C81:DD81 D83:BM83" xr:uid="{00000000-0002-0000-0800-000008000000}"/>
    <dataValidation type="decimal" allowBlank="1" showInputMessage="1" showErrorMessage="1" sqref="C24:DD25" xr:uid="{00000000-0002-0000-0800-000003000000}">
      <formula1>0</formula1>
      <formula2>42/37</formula2>
    </dataValidation>
    <dataValidation type="decimal" allowBlank="1" showInputMessage="1" showErrorMessage="1" sqref="C61:DD67 C69:DD69" xr:uid="{00000000-0002-0000-0800-000004000000}">
      <formula1>-500000</formula1>
      <formula2>-1</formula2>
    </dataValidation>
    <dataValidation type="list" allowBlank="1" showInputMessage="1" showErrorMessage="1" sqref="C16:AQ16 AZ16:DD16" xr:uid="{00000000-0002-0000-0800-000005000000}">
      <formula1>$DG$13:$DG$14</formula1>
    </dataValidation>
    <dataValidation type="decimal" allowBlank="1" showInputMessage="1" showErrorMessage="1" sqref="C11:DD11" xr:uid="{6134E07A-83D4-D74C-BE08-197491679898}">
      <formula1>0</formula1>
      <formula2>3</formula2>
    </dataValidation>
    <dataValidation type="decimal" allowBlank="1" showInputMessage="1" showErrorMessage="1" sqref="C12:DD12" xr:uid="{6159F0D9-C729-ED46-8EAC-B5DD96907E60}">
      <formula1>0</formula1>
      <formula2>4</formula2>
    </dataValidation>
    <dataValidation type="decimal" allowBlank="1" showInputMessage="1" showErrorMessage="1" sqref="C13:DD13" xr:uid="{EE79BB33-1A97-0E4B-8F48-2C8598925BFA}">
      <formula1>0</formula1>
      <formula2>5</formula2>
    </dataValidation>
    <dataValidation type="decimal" allowBlank="1" showInputMessage="1" showErrorMessage="1" sqref="C20:AQ20 AZ20:DD20" xr:uid="{6081CA1A-58D7-3142-8AF8-820A839B0086}">
      <formula1>0</formula1>
      <formula2>30</formula2>
    </dataValidation>
    <dataValidation type="list" allowBlank="1" showInputMessage="1" showErrorMessage="1" sqref="BO7:BX7 BB7:BL7 C7:U7 X7:AQ7" xr:uid="{38494E86-0ABB-184D-85F7-B5FBC736CD55}">
      <formula1>$DE$7:$DE$10</formula1>
    </dataValidation>
    <dataValidation type="list" allowBlank="1" showInputMessage="1" showErrorMessage="1" sqref="AR16:AY16" xr:uid="{5BA57636-0254-9A45-9F7B-7A0D3359F452}">
      <formula1>$DL$13:$DL$14</formula1>
    </dataValidation>
  </dataValidations>
  <pageMargins left="0.35433070866141736" right="0.35433070866141736" top="0.59055118110236227" bottom="0.59055118110236227" header="0.31496062992125984" footer="0.31496062992125984"/>
  <pageSetup paperSize="9" scale="10" orientation="portrait" r:id="rId1"/>
  <headerFooter alignWithMargins="0">
    <oddHeader>&amp;C&amp;"Helvetica,Fed"&amp;14Lønberegning Pædagoger, sekretær, pedel mv</oddHeader>
    <oddFooter>&amp;L&amp;G&amp;R
&amp;D
&amp;A</oddFooter>
  </headerFooter>
  <rowBreaks count="1" manualBreakCount="1">
    <brk id="57" max="16383" man="1"/>
  </rowBreaks>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A000000}">
          <x14:formula1>
            <xm:f>Grundlon!$A$17:$A$62</xm:f>
          </x14:formula1>
          <xm:sqref>CA8:CH8 C8:D8 CX8:DB8 CK8:CU8 X8:Z8</xm:sqref>
        </x14:dataValidation>
        <x14:dataValidation type="list" allowBlank="1" showInputMessage="1" showErrorMessage="1" xr:uid="{9C688A53-A8D2-7940-9783-C986AEAABA21}">
          <x14:formula1>
            <xm:f>Grundlon!$A$19:$A$62</xm:f>
          </x14:formula1>
          <xm:sqref>BB8:BL8 BO8:BX8 E8:U8 AA8:AQ8</xm:sqref>
        </x14:dataValidation>
        <x14:dataValidation type="list" allowBlank="1" showInputMessage="1" showErrorMessage="1" xr:uid="{00000000-0002-0000-0900-00000B000000}">
          <x14:formula1>
            <xm:f>Grundlon!$B$90:$B$91</xm:f>
          </x14:formula1>
          <xm:sqref>I18:U19 CX18:DB19 CK18:CU19 BO18:BX19 CA18:CH19 C17:H19 BB18:BL19 AZ21:DD21 AZ17:DD17 I17:AQ17 C21:AQ21 X18:AQ19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tabColor rgb="FFFFFF00"/>
  </sheetPr>
  <dimension ref="A1:I133"/>
  <sheetViews>
    <sheetView zoomScale="150" zoomScaleNormal="150" workbookViewId="0">
      <selection activeCell="E116" sqref="E116:E125"/>
    </sheetView>
  </sheetViews>
  <sheetFormatPr baseColWidth="10" defaultColWidth="10.83203125" defaultRowHeight="14"/>
  <cols>
    <col min="1" max="1" width="4" style="27" customWidth="1"/>
    <col min="2" max="2" width="9.5" style="464" customWidth="1"/>
    <col min="3" max="3" width="50.83203125" style="9" customWidth="1"/>
    <col min="4" max="5" width="13.1640625" style="9" customWidth="1"/>
    <col min="6" max="6" width="34.5" style="9" customWidth="1"/>
    <col min="7" max="7" width="7" style="9" customWidth="1"/>
    <col min="8" max="9" width="9.5" style="9" customWidth="1"/>
    <col min="10" max="16384" width="10.83203125" style="9"/>
  </cols>
  <sheetData>
    <row r="1" spans="1:6" s="102" customFormat="1" ht="25.5" customHeight="1" thickBot="1">
      <c r="A1" s="933"/>
      <c r="B1" s="934"/>
      <c r="C1" s="935"/>
      <c r="D1" s="935"/>
      <c r="E1" s="935"/>
      <c r="F1" s="9"/>
    </row>
    <row r="2" spans="1:6" ht="82" customHeight="1" thickBot="1">
      <c r="A2" s="2968" t="s">
        <v>776</v>
      </c>
      <c r="B2" s="2969"/>
      <c r="C2" s="2969"/>
      <c r="D2" s="1862" t="s">
        <v>777</v>
      </c>
      <c r="E2" s="936" t="s">
        <v>778</v>
      </c>
      <c r="F2" s="937" t="str">
        <f>"Ændringer i budgetår "&amp;E3+1&amp;" i forhold til "&amp;E3&amp;". Hvis ekstra udgifter påfør udgiften som et positivt tal. Hvis en lavere udgift, påfør den lavere udgift med et negativt tal. Tallene skal ses i forhold til Budgetåret "&amp;E3&amp;"."</f>
        <v>Ændringer i budgetår 2026 i forhold til 2025. Hvis ekstra udgifter påfør udgiften som et positivt tal. Hvis en lavere udgift, påfør den lavere udgift med et negativt tal. Tallene skal ses i forhold til Budgetåret 2025.</v>
      </c>
    </row>
    <row r="3" spans="1:6" ht="17" thickBot="1">
      <c r="A3" s="1863" t="s">
        <v>779</v>
      </c>
      <c r="B3" s="1864" t="s">
        <v>780</v>
      </c>
      <c r="C3" s="1865" t="s">
        <v>781</v>
      </c>
      <c r="D3" s="1866">
        <f>budgetår-1</f>
        <v>2024</v>
      </c>
      <c r="E3" s="1867">
        <f>budgetår</f>
        <v>2025</v>
      </c>
      <c r="F3" s="938" t="str">
        <f>"Ændringer til "&amp;$E$3+1&amp;""</f>
        <v>Ændringer til 2026</v>
      </c>
    </row>
    <row r="4" spans="1:6" ht="16">
      <c r="A4" s="643">
        <v>1</v>
      </c>
      <c r="B4" s="484"/>
      <c r="C4" s="413" t="s">
        <v>782</v>
      </c>
      <c r="D4" s="437"/>
      <c r="E4" s="432"/>
      <c r="F4" s="1868"/>
    </row>
    <row r="5" spans="1:6" ht="16">
      <c r="A5" s="644">
        <f>A4+1</f>
        <v>2</v>
      </c>
      <c r="B5" s="482"/>
      <c r="C5" s="402" t="s">
        <v>783</v>
      </c>
      <c r="D5" s="432"/>
      <c r="E5" s="432"/>
      <c r="F5" s="1869"/>
    </row>
    <row r="6" spans="1:6" ht="16">
      <c r="A6" s="644">
        <f t="shared" ref="A6:A85" si="0">A5+1</f>
        <v>3</v>
      </c>
      <c r="B6" s="482"/>
      <c r="C6" s="402" t="s">
        <v>784</v>
      </c>
      <c r="D6" s="432"/>
      <c r="E6" s="432"/>
      <c r="F6" s="1869"/>
    </row>
    <row r="7" spans="1:6" ht="16">
      <c r="A7" s="644">
        <f t="shared" si="0"/>
        <v>4</v>
      </c>
      <c r="B7" s="482"/>
      <c r="C7" s="402" t="s">
        <v>785</v>
      </c>
      <c r="D7" s="432"/>
      <c r="E7" s="432"/>
      <c r="F7" s="1869"/>
    </row>
    <row r="8" spans="1:6" ht="16">
      <c r="A8" s="644">
        <f t="shared" si="0"/>
        <v>5</v>
      </c>
      <c r="B8" s="482"/>
      <c r="C8" s="402" t="s">
        <v>786</v>
      </c>
      <c r="D8" s="432"/>
      <c r="E8" s="432"/>
      <c r="F8" s="1869"/>
    </row>
    <row r="9" spans="1:6" ht="16">
      <c r="A9" s="644">
        <f t="shared" si="0"/>
        <v>6</v>
      </c>
      <c r="B9" s="482"/>
      <c r="C9" s="402" t="s">
        <v>787</v>
      </c>
      <c r="D9" s="432"/>
      <c r="E9" s="432"/>
      <c r="F9" s="1869"/>
    </row>
    <row r="10" spans="1:6" ht="16">
      <c r="A10" s="644">
        <f t="shared" si="0"/>
        <v>7</v>
      </c>
      <c r="B10" s="482"/>
      <c r="C10" s="402" t="s">
        <v>788</v>
      </c>
      <c r="D10" s="432"/>
      <c r="E10" s="432"/>
      <c r="F10" s="1869"/>
    </row>
    <row r="11" spans="1:6" ht="16">
      <c r="A11" s="644">
        <f t="shared" si="0"/>
        <v>8</v>
      </c>
      <c r="B11" s="482"/>
      <c r="C11" s="402" t="s">
        <v>789</v>
      </c>
      <c r="D11" s="432"/>
      <c r="E11" s="432"/>
      <c r="F11" s="1870"/>
    </row>
    <row r="12" spans="1:6" ht="16">
      <c r="A12" s="644">
        <f t="shared" si="0"/>
        <v>9</v>
      </c>
      <c r="B12" s="483"/>
      <c r="C12" s="415" t="s">
        <v>790</v>
      </c>
      <c r="D12" s="432"/>
      <c r="E12" s="432"/>
      <c r="F12" s="1869"/>
    </row>
    <row r="13" spans="1:6" ht="16">
      <c r="A13" s="644">
        <f t="shared" si="0"/>
        <v>10</v>
      </c>
      <c r="B13" s="482"/>
      <c r="C13" s="434" t="s">
        <v>791</v>
      </c>
      <c r="D13" s="432"/>
      <c r="E13" s="432"/>
      <c r="F13" s="1869"/>
    </row>
    <row r="14" spans="1:6" ht="16">
      <c r="A14" s="644">
        <f t="shared" si="0"/>
        <v>11</v>
      </c>
      <c r="B14" s="482"/>
      <c r="C14" s="434" t="s">
        <v>792</v>
      </c>
      <c r="D14" s="432"/>
      <c r="E14" s="432"/>
      <c r="F14" s="1869"/>
    </row>
    <row r="15" spans="1:6" ht="16">
      <c r="A15" s="644">
        <f t="shared" si="0"/>
        <v>12</v>
      </c>
      <c r="B15" s="482"/>
      <c r="C15" s="434" t="s">
        <v>793</v>
      </c>
      <c r="D15" s="432"/>
      <c r="E15" s="432"/>
      <c r="F15" s="1869"/>
    </row>
    <row r="16" spans="1:6" ht="16">
      <c r="A16" s="644">
        <f t="shared" si="0"/>
        <v>13</v>
      </c>
      <c r="B16" s="482"/>
      <c r="C16" s="434" t="s">
        <v>794</v>
      </c>
      <c r="D16" s="432"/>
      <c r="E16" s="432"/>
      <c r="F16" s="1869"/>
    </row>
    <row r="17" spans="1:9" ht="16">
      <c r="A17" s="644"/>
      <c r="B17" s="482"/>
      <c r="C17" s="434" t="s">
        <v>795</v>
      </c>
      <c r="D17" s="432"/>
      <c r="E17" s="432"/>
      <c r="F17" s="1869"/>
    </row>
    <row r="18" spans="1:9" ht="16">
      <c r="A18" s="644">
        <f>A16+1</f>
        <v>14</v>
      </c>
      <c r="B18" s="482"/>
      <c r="C18" s="434" t="s">
        <v>796</v>
      </c>
      <c r="D18" s="432"/>
      <c r="E18" s="432"/>
      <c r="F18" s="1869"/>
    </row>
    <row r="19" spans="1:9" ht="16">
      <c r="A19" s="414">
        <f t="shared" si="0"/>
        <v>15</v>
      </c>
      <c r="B19" s="483"/>
      <c r="C19" s="435" t="s">
        <v>797</v>
      </c>
      <c r="D19" s="432"/>
      <c r="E19" s="432"/>
      <c r="F19" s="1869"/>
    </row>
    <row r="20" spans="1:9" ht="17" thickBot="1">
      <c r="A20" s="1871"/>
      <c r="B20" s="1872"/>
      <c r="C20" s="1873" t="s">
        <v>798</v>
      </c>
      <c r="D20" s="1874">
        <f>SUM(D4:D19)</f>
        <v>0</v>
      </c>
      <c r="E20" s="1875">
        <f>SUM(E4:E19)</f>
        <v>0</v>
      </c>
      <c r="F20" s="1875">
        <f>SUM(F4:F19)</f>
        <v>0</v>
      </c>
    </row>
    <row r="21" spans="1:9" ht="17" thickBot="1">
      <c r="A21" s="1876" t="s">
        <v>779</v>
      </c>
      <c r="B21" s="1877" t="str">
        <f>B3</f>
        <v>Kto.nr</v>
      </c>
      <c r="C21" s="1878" t="s">
        <v>799</v>
      </c>
      <c r="D21" s="1879">
        <f>budgetår-1</f>
        <v>2024</v>
      </c>
      <c r="E21" s="1880">
        <f>budgetår</f>
        <v>2025</v>
      </c>
      <c r="F21" s="938" t="str">
        <f>"Ændringer til "&amp;$E$3+1&amp;""</f>
        <v>Ændringer til 2026</v>
      </c>
    </row>
    <row r="22" spans="1:9" ht="16">
      <c r="A22" s="863">
        <v>1</v>
      </c>
      <c r="B22" s="1881"/>
      <c r="C22" s="436" t="s">
        <v>800</v>
      </c>
      <c r="D22" s="437"/>
      <c r="E22" s="1882"/>
      <c r="F22" s="1883"/>
    </row>
    <row r="23" spans="1:9" ht="16">
      <c r="A23" s="863">
        <f>A22+1</f>
        <v>2</v>
      </c>
      <c r="B23" s="487"/>
      <c r="C23" s="434" t="s">
        <v>801</v>
      </c>
      <c r="D23" s="432"/>
      <c r="E23" s="433"/>
      <c r="F23" s="1883"/>
    </row>
    <row r="24" spans="1:9" ht="16">
      <c r="A24" s="863">
        <f>A23+1</f>
        <v>3</v>
      </c>
      <c r="B24" s="487"/>
      <c r="C24" s="434" t="s">
        <v>802</v>
      </c>
      <c r="D24" s="432"/>
      <c r="E24" s="402"/>
      <c r="F24" s="1883"/>
    </row>
    <row r="25" spans="1:9" ht="16">
      <c r="A25" s="863">
        <f>A24+1</f>
        <v>4</v>
      </c>
      <c r="B25" s="488"/>
      <c r="C25" s="438"/>
      <c r="D25" s="432"/>
      <c r="E25" s="636"/>
      <c r="F25" s="1883"/>
    </row>
    <row r="26" spans="1:9" ht="17" thickBot="1">
      <c r="A26" s="1884"/>
      <c r="B26" s="1885"/>
      <c r="C26" s="1886" t="s">
        <v>803</v>
      </c>
      <c r="D26" s="1887">
        <f>SUM(D22:D25)</f>
        <v>0</v>
      </c>
      <c r="E26" s="1888">
        <f>SUM(E22:E25)</f>
        <v>0</v>
      </c>
      <c r="F26" s="1888">
        <f>SUM(F22:F25)</f>
        <v>0</v>
      </c>
    </row>
    <row r="27" spans="1:9" ht="16">
      <c r="A27" s="1889" t="s">
        <v>779</v>
      </c>
      <c r="B27" s="1877" t="str">
        <f>B21</f>
        <v>Kto.nr</v>
      </c>
      <c r="C27" s="1878" t="s">
        <v>804</v>
      </c>
      <c r="D27" s="1879">
        <f>budgetår-1</f>
        <v>2024</v>
      </c>
      <c r="E27" s="1880">
        <f>budgetår</f>
        <v>2025</v>
      </c>
      <c r="F27" s="1890" t="str">
        <f>"Ændringer til "&amp;$E$3+1&amp;""</f>
        <v>Ændringer til 2026</v>
      </c>
    </row>
    <row r="28" spans="1:9" ht="16">
      <c r="A28" s="643">
        <v>1</v>
      </c>
      <c r="B28" s="1881"/>
      <c r="C28" s="436" t="s">
        <v>805</v>
      </c>
      <c r="D28" s="437"/>
      <c r="E28" s="1882"/>
      <c r="F28" s="1883"/>
    </row>
    <row r="29" spans="1:9" ht="16">
      <c r="A29" s="645">
        <v>2</v>
      </c>
      <c r="B29" s="487"/>
      <c r="C29" s="439" t="s">
        <v>806</v>
      </c>
      <c r="D29" s="437"/>
      <c r="E29" s="433"/>
      <c r="F29" s="1883"/>
    </row>
    <row r="30" spans="1:9" ht="16">
      <c r="A30" s="645">
        <v>3</v>
      </c>
      <c r="B30" s="487"/>
      <c r="C30" s="439"/>
      <c r="D30" s="437"/>
      <c r="E30" s="642"/>
      <c r="F30" s="1883"/>
    </row>
    <row r="31" spans="1:9" ht="16">
      <c r="A31" s="414">
        <v>4</v>
      </c>
      <c r="B31" s="488"/>
      <c r="C31" s="440"/>
      <c r="D31" s="432"/>
      <c r="E31" s="636"/>
      <c r="F31" s="1883"/>
      <c r="I31" s="28"/>
    </row>
    <row r="32" spans="1:9" ht="17" thickBot="1">
      <c r="A32" s="1884"/>
      <c r="B32" s="1885"/>
      <c r="C32" s="1886" t="s">
        <v>807</v>
      </c>
      <c r="D32" s="1887">
        <f>SUM(D28:D31)</f>
        <v>0</v>
      </c>
      <c r="E32" s="1888">
        <f>SUM(E28:E31)</f>
        <v>0</v>
      </c>
      <c r="F32" s="1888">
        <f>SUM(F28:F31)</f>
        <v>0</v>
      </c>
    </row>
    <row r="33" spans="1:6" ht="16">
      <c r="A33" s="1889" t="s">
        <v>779</v>
      </c>
      <c r="B33" s="1877" t="str">
        <f>B21</f>
        <v>Kto.nr</v>
      </c>
      <c r="C33" s="1878" t="s">
        <v>808</v>
      </c>
      <c r="D33" s="1879">
        <f>budgetår-1</f>
        <v>2024</v>
      </c>
      <c r="E33" s="1880">
        <f>budgetår</f>
        <v>2025</v>
      </c>
      <c r="F33" s="1890" t="str">
        <f>"Ændringer til "&amp;$E$3+1&amp;""</f>
        <v>Ændringer til 2026</v>
      </c>
    </row>
    <row r="34" spans="1:6" ht="16">
      <c r="A34" s="643">
        <v>1</v>
      </c>
      <c r="B34" s="484"/>
      <c r="C34" s="436" t="s">
        <v>809</v>
      </c>
      <c r="D34" s="437"/>
      <c r="E34" s="1882"/>
      <c r="F34" s="1891"/>
    </row>
    <row r="35" spans="1:6" ht="16">
      <c r="A35" s="644">
        <f t="shared" si="0"/>
        <v>2</v>
      </c>
      <c r="B35" s="482"/>
      <c r="C35" s="434" t="s">
        <v>810</v>
      </c>
      <c r="D35" s="432"/>
      <c r="E35" s="402"/>
      <c r="F35" s="1891"/>
    </row>
    <row r="36" spans="1:6" ht="16">
      <c r="A36" s="644">
        <f t="shared" si="0"/>
        <v>3</v>
      </c>
      <c r="B36" s="482"/>
      <c r="C36" s="441" t="s">
        <v>811</v>
      </c>
      <c r="D36" s="432"/>
      <c r="E36" s="402"/>
      <c r="F36" s="1883"/>
    </row>
    <row r="37" spans="1:6" ht="16">
      <c r="A37" s="644">
        <v>4</v>
      </c>
      <c r="B37" s="484"/>
      <c r="C37" s="436"/>
      <c r="D37" s="432"/>
      <c r="E37" s="413"/>
      <c r="F37" s="1883"/>
    </row>
    <row r="38" spans="1:6" ht="16">
      <c r="A38" s="414">
        <v>5</v>
      </c>
      <c r="B38" s="483"/>
      <c r="C38" s="442" t="s">
        <v>812</v>
      </c>
      <c r="D38" s="432"/>
      <c r="E38" s="636"/>
      <c r="F38" s="1883"/>
    </row>
    <row r="39" spans="1:6" ht="17" thickBot="1">
      <c r="A39" s="1884"/>
      <c r="B39" s="1885"/>
      <c r="C39" s="1886" t="s">
        <v>813</v>
      </c>
      <c r="D39" s="1887">
        <f>SUM(D34:D38)</f>
        <v>0</v>
      </c>
      <c r="E39" s="1888">
        <f>SUM(E34:E38)</f>
        <v>0</v>
      </c>
      <c r="F39" s="1888">
        <f>SUM(F34:F38)</f>
        <v>0</v>
      </c>
    </row>
    <row r="40" spans="1:6" ht="16">
      <c r="A40" s="1889" t="s">
        <v>779</v>
      </c>
      <c r="B40" s="1877" t="str">
        <f>B27</f>
        <v>Kto.nr</v>
      </c>
      <c r="C40" s="1878" t="s">
        <v>814</v>
      </c>
      <c r="D40" s="1879">
        <f>budgetår-1</f>
        <v>2024</v>
      </c>
      <c r="E40" s="1880">
        <f>budgetår</f>
        <v>2025</v>
      </c>
      <c r="F40" s="1890" t="str">
        <f>"Ændringer til "&amp;$E$3+1&amp;""</f>
        <v>Ændringer til 2026</v>
      </c>
    </row>
    <row r="41" spans="1:6" ht="16">
      <c r="A41" s="643">
        <v>1</v>
      </c>
      <c r="B41" s="484"/>
      <c r="C41" s="436" t="s">
        <v>809</v>
      </c>
      <c r="D41" s="437"/>
      <c r="E41" s="1882"/>
      <c r="F41" s="1891"/>
    </row>
    <row r="42" spans="1:6" ht="16">
      <c r="A42" s="644">
        <f t="shared" si="0"/>
        <v>2</v>
      </c>
      <c r="B42" s="483"/>
      <c r="C42" s="415" t="s">
        <v>815</v>
      </c>
      <c r="D42" s="432"/>
      <c r="E42" s="402"/>
      <c r="F42" s="1891"/>
    </row>
    <row r="43" spans="1:6" ht="16">
      <c r="A43" s="644">
        <f t="shared" si="0"/>
        <v>3</v>
      </c>
      <c r="B43" s="482"/>
      <c r="C43" s="434" t="s">
        <v>443</v>
      </c>
      <c r="D43" s="432"/>
      <c r="E43" s="402"/>
      <c r="F43" s="1891"/>
    </row>
    <row r="44" spans="1:6" ht="16">
      <c r="A44" s="644">
        <f t="shared" si="0"/>
        <v>4</v>
      </c>
      <c r="B44" s="482"/>
      <c r="C44" s="434"/>
      <c r="D44" s="432"/>
      <c r="E44" s="402"/>
      <c r="F44" s="1891"/>
    </row>
    <row r="45" spans="1:6" ht="16">
      <c r="A45" s="644">
        <f t="shared" si="0"/>
        <v>5</v>
      </c>
      <c r="B45" s="482"/>
      <c r="C45" s="434"/>
      <c r="D45" s="432"/>
      <c r="E45" s="402"/>
      <c r="F45" s="1891"/>
    </row>
    <row r="46" spans="1:6" ht="16">
      <c r="A46" s="644">
        <f t="shared" si="0"/>
        <v>6</v>
      </c>
      <c r="B46" s="482"/>
      <c r="C46" s="434"/>
      <c r="D46" s="432"/>
      <c r="E46" s="402"/>
      <c r="F46" s="1891"/>
    </row>
    <row r="47" spans="1:6" ht="16">
      <c r="A47" s="644">
        <f t="shared" si="0"/>
        <v>7</v>
      </c>
      <c r="B47" s="482"/>
      <c r="C47" s="434"/>
      <c r="D47" s="432"/>
      <c r="E47" s="402"/>
      <c r="F47" s="1891"/>
    </row>
    <row r="48" spans="1:6" ht="16">
      <c r="A48" s="644">
        <v>9</v>
      </c>
      <c r="B48" s="482"/>
      <c r="C48" s="443" t="s">
        <v>816</v>
      </c>
      <c r="D48" s="432"/>
      <c r="E48" s="402"/>
      <c r="F48" s="1891"/>
    </row>
    <row r="49" spans="1:6" ht="34">
      <c r="A49" s="644">
        <f t="shared" si="0"/>
        <v>10</v>
      </c>
      <c r="B49" s="482"/>
      <c r="C49" s="792" t="s">
        <v>817</v>
      </c>
      <c r="D49" s="432"/>
      <c r="E49" s="402"/>
      <c r="F49" s="1883"/>
    </row>
    <row r="50" spans="1:6" ht="34">
      <c r="A50" s="644">
        <v>11</v>
      </c>
      <c r="B50" s="484"/>
      <c r="C50" s="791" t="s">
        <v>818</v>
      </c>
      <c r="D50" s="432"/>
      <c r="E50" s="413"/>
      <c r="F50" s="1883"/>
    </row>
    <row r="51" spans="1:6" ht="16">
      <c r="A51" s="414">
        <f t="shared" si="0"/>
        <v>12</v>
      </c>
      <c r="B51" s="483"/>
      <c r="C51" s="442" t="s">
        <v>819</v>
      </c>
      <c r="D51" s="432"/>
      <c r="E51" s="636"/>
      <c r="F51" s="1883"/>
    </row>
    <row r="52" spans="1:6" ht="17" thickBot="1">
      <c r="A52" s="1884"/>
      <c r="B52" s="1885"/>
      <c r="C52" s="1886" t="s">
        <v>820</v>
      </c>
      <c r="D52" s="1887">
        <f>SUM(D41:D51)</f>
        <v>0</v>
      </c>
      <c r="E52" s="1888">
        <f>SUM(E41:E51)</f>
        <v>0</v>
      </c>
      <c r="F52" s="1888">
        <f>SUM(F41:F51)</f>
        <v>0</v>
      </c>
    </row>
    <row r="53" spans="1:6" ht="16">
      <c r="A53" s="1889" t="s">
        <v>779</v>
      </c>
      <c r="B53" s="1877" t="str">
        <f>B40</f>
        <v>Kto.nr</v>
      </c>
      <c r="C53" s="1878" t="s">
        <v>821</v>
      </c>
      <c r="D53" s="1879">
        <f>budgetår-1</f>
        <v>2024</v>
      </c>
      <c r="E53" s="1880">
        <f>budgetår</f>
        <v>2025</v>
      </c>
      <c r="F53" s="1890" t="str">
        <f>"Ændringer til "&amp;$E$3+1&amp;""</f>
        <v>Ændringer til 2026</v>
      </c>
    </row>
    <row r="54" spans="1:6" ht="16">
      <c r="A54" s="643">
        <v>1</v>
      </c>
      <c r="B54" s="484"/>
      <c r="C54" s="436" t="s">
        <v>822</v>
      </c>
      <c r="D54" s="437"/>
      <c r="E54" s="1882"/>
      <c r="F54" s="1891"/>
    </row>
    <row r="55" spans="1:6" ht="16">
      <c r="A55" s="644">
        <f t="shared" si="0"/>
        <v>2</v>
      </c>
      <c r="B55" s="482"/>
      <c r="C55" s="434" t="s">
        <v>823</v>
      </c>
      <c r="D55" s="432"/>
      <c r="E55" s="433"/>
      <c r="F55" s="1891"/>
    </row>
    <row r="56" spans="1:6" ht="16">
      <c r="A56" s="644">
        <f t="shared" si="0"/>
        <v>3</v>
      </c>
      <c r="B56" s="482"/>
      <c r="C56" s="434" t="s">
        <v>824</v>
      </c>
      <c r="D56" s="432"/>
      <c r="E56" s="402"/>
      <c r="F56" s="1883"/>
    </row>
    <row r="57" spans="1:6" ht="16">
      <c r="A57" s="644">
        <f t="shared" si="0"/>
        <v>4</v>
      </c>
      <c r="B57" s="482"/>
      <c r="C57" s="443" t="s">
        <v>825</v>
      </c>
      <c r="D57" s="432"/>
      <c r="E57" s="402"/>
      <c r="F57" s="1883"/>
    </row>
    <row r="58" spans="1:6" ht="16">
      <c r="A58" s="414">
        <v>5</v>
      </c>
      <c r="B58" s="483"/>
      <c r="C58" s="442" t="s">
        <v>826</v>
      </c>
      <c r="D58" s="432"/>
      <c r="E58" s="636"/>
      <c r="F58" s="1883"/>
    </row>
    <row r="59" spans="1:6" ht="17" thickBot="1">
      <c r="A59" s="1884"/>
      <c r="B59" s="1885"/>
      <c r="C59" s="1886" t="s">
        <v>827</v>
      </c>
      <c r="D59" s="1887">
        <f>SUM(D54:D58)</f>
        <v>0</v>
      </c>
      <c r="E59" s="1888">
        <f>SUM(E54:E58)</f>
        <v>0</v>
      </c>
      <c r="F59" s="1888">
        <f>SUM(F54:F58)</f>
        <v>0</v>
      </c>
    </row>
    <row r="60" spans="1:6" ht="16">
      <c r="A60" s="1876" t="s">
        <v>779</v>
      </c>
      <c r="B60" s="1877" t="str">
        <f>B53</f>
        <v>Kto.nr</v>
      </c>
      <c r="C60" s="1878" t="s">
        <v>828</v>
      </c>
      <c r="D60" s="1879">
        <f>budgetår-1</f>
        <v>2024</v>
      </c>
      <c r="E60" s="1880">
        <f>budgetår</f>
        <v>2025</v>
      </c>
      <c r="F60" s="1890" t="str">
        <f>"Ændringer til "&amp;$E$3+1&amp;""</f>
        <v>Ændringer til 2026</v>
      </c>
    </row>
    <row r="61" spans="1:6" ht="16">
      <c r="A61" s="643">
        <v>1</v>
      </c>
      <c r="B61" s="484"/>
      <c r="C61" s="436" t="s">
        <v>829</v>
      </c>
      <c r="D61" s="437"/>
      <c r="E61" s="1892"/>
      <c r="F61" s="1883"/>
    </row>
    <row r="62" spans="1:6" ht="16">
      <c r="A62" s="414">
        <f t="shared" si="0"/>
        <v>2</v>
      </c>
      <c r="B62" s="483"/>
      <c r="C62" s="434"/>
      <c r="D62" s="432"/>
      <c r="E62" s="636"/>
      <c r="F62" s="1883"/>
    </row>
    <row r="63" spans="1:6" ht="17" thickBot="1">
      <c r="A63" s="1884"/>
      <c r="B63" s="1885"/>
      <c r="C63" s="1886" t="s">
        <v>830</v>
      </c>
      <c r="D63" s="1887">
        <f>SUM(D61:D62)</f>
        <v>0</v>
      </c>
      <c r="E63" s="1888">
        <f>SUM(E61:E62)</f>
        <v>0</v>
      </c>
      <c r="F63" s="1888">
        <f>SUM(F61:F62)</f>
        <v>0</v>
      </c>
    </row>
    <row r="64" spans="1:6" ht="16">
      <c r="A64" s="1893" t="s">
        <v>779</v>
      </c>
      <c r="B64" s="1894" t="str">
        <f>B60</f>
        <v>Kto.nr</v>
      </c>
      <c r="C64" s="1895" t="s">
        <v>831</v>
      </c>
      <c r="D64" s="1879">
        <f>budgetår-1</f>
        <v>2024</v>
      </c>
      <c r="E64" s="1880">
        <f>budgetår</f>
        <v>2025</v>
      </c>
      <c r="F64" s="1890" t="str">
        <f>"Ændringer til "&amp;$E$3+1&amp;""</f>
        <v>Ændringer til 2026</v>
      </c>
    </row>
    <row r="65" spans="1:9" ht="16">
      <c r="A65" s="1896">
        <v>1</v>
      </c>
      <c r="B65" s="1897"/>
      <c r="C65" s="1898" t="s">
        <v>832</v>
      </c>
      <c r="D65" s="432"/>
      <c r="E65" s="402"/>
      <c r="F65" s="1883"/>
    </row>
    <row r="66" spans="1:9" ht="16">
      <c r="A66" s="644">
        <f t="shared" ref="A66:A71" si="1">A65+1</f>
        <v>2</v>
      </c>
      <c r="B66" s="482"/>
      <c r="C66" s="443" t="s">
        <v>833</v>
      </c>
      <c r="D66" s="432"/>
      <c r="E66" s="402"/>
      <c r="F66" s="1883"/>
    </row>
    <row r="67" spans="1:9" ht="16">
      <c r="A67" s="644">
        <f t="shared" si="1"/>
        <v>3</v>
      </c>
      <c r="B67" s="482"/>
      <c r="C67" s="443" t="s">
        <v>834</v>
      </c>
      <c r="D67" s="432"/>
      <c r="E67" s="402"/>
      <c r="F67" s="1883"/>
    </row>
    <row r="68" spans="1:9" ht="16">
      <c r="A68" s="644">
        <f t="shared" si="1"/>
        <v>4</v>
      </c>
      <c r="B68" s="482"/>
      <c r="C68" s="434" t="s">
        <v>835</v>
      </c>
      <c r="D68" s="432"/>
      <c r="E68" s="402"/>
      <c r="F68" s="1883"/>
    </row>
    <row r="69" spans="1:9" ht="16">
      <c r="A69" s="644">
        <f t="shared" si="1"/>
        <v>5</v>
      </c>
      <c r="B69" s="482"/>
      <c r="C69" s="434"/>
      <c r="D69" s="432"/>
      <c r="E69" s="402"/>
      <c r="F69" s="1883"/>
    </row>
    <row r="70" spans="1:9" ht="16">
      <c r="A70" s="644">
        <f t="shared" si="1"/>
        <v>6</v>
      </c>
      <c r="B70" s="482"/>
      <c r="C70" s="434"/>
      <c r="D70" s="432"/>
      <c r="E70" s="402"/>
      <c r="F70" s="1883"/>
    </row>
    <row r="71" spans="1:9" ht="16">
      <c r="A71" s="644">
        <f t="shared" si="1"/>
        <v>7</v>
      </c>
      <c r="B71" s="483"/>
      <c r="C71" s="438"/>
      <c r="D71" s="432"/>
      <c r="E71" s="636"/>
      <c r="F71" s="1883"/>
    </row>
    <row r="72" spans="1:9" ht="17" thickBot="1">
      <c r="A72" s="1899"/>
      <c r="B72" s="1885"/>
      <c r="C72" s="1900" t="s">
        <v>836</v>
      </c>
      <c r="D72" s="1901">
        <f>SUM(D65:D71)</f>
        <v>0</v>
      </c>
      <c r="E72" s="1902">
        <f>SUM(E65:E71)</f>
        <v>0</v>
      </c>
      <c r="F72" s="1902">
        <f>SUM(F65:F71)</f>
        <v>0</v>
      </c>
    </row>
    <row r="73" spans="1:9" ht="16">
      <c r="A73" s="1903" t="s">
        <v>779</v>
      </c>
      <c r="B73" s="1904" t="str">
        <f>B64</f>
        <v>Kto.nr</v>
      </c>
      <c r="C73" s="1905" t="s">
        <v>837</v>
      </c>
      <c r="D73" s="1906">
        <f>budgetår-1</f>
        <v>2024</v>
      </c>
      <c r="E73" s="1907">
        <f>budgetår</f>
        <v>2025</v>
      </c>
      <c r="F73" s="1890" t="str">
        <f>"Ændringer til "&amp;$E$3+1&amp;""</f>
        <v>Ændringer til 2026</v>
      </c>
    </row>
    <row r="74" spans="1:9" ht="16">
      <c r="A74" s="444">
        <v>1</v>
      </c>
      <c r="B74" s="489"/>
      <c r="C74" s="445" t="s">
        <v>838</v>
      </c>
      <c r="D74" s="446"/>
      <c r="E74" s="447"/>
      <c r="F74" s="1870"/>
    </row>
    <row r="75" spans="1:9" ht="16">
      <c r="A75" s="643">
        <v>2</v>
      </c>
      <c r="B75" s="484"/>
      <c r="C75" s="412" t="s">
        <v>839</v>
      </c>
      <c r="D75" s="413"/>
      <c r="E75" s="413"/>
      <c r="F75" s="1870"/>
    </row>
    <row r="76" spans="1:9" ht="16">
      <c r="A76" s="644">
        <v>3</v>
      </c>
      <c r="B76" s="482"/>
      <c r="C76" s="402" t="s">
        <v>831</v>
      </c>
      <c r="D76" s="385"/>
      <c r="E76" s="413"/>
      <c r="F76" s="1870"/>
    </row>
    <row r="77" spans="1:9" ht="16">
      <c r="A77" s="644">
        <v>4</v>
      </c>
      <c r="B77" s="482"/>
      <c r="C77" s="402"/>
      <c r="D77" s="385"/>
      <c r="E77" s="402"/>
      <c r="F77" s="1870"/>
    </row>
    <row r="78" spans="1:9" ht="16">
      <c r="A78" s="414">
        <v>5</v>
      </c>
      <c r="B78" s="483"/>
      <c r="C78" s="415"/>
      <c r="D78" s="416"/>
      <c r="E78" s="415"/>
      <c r="F78" s="1870"/>
      <c r="H78" s="2789"/>
      <c r="I78" s="2789"/>
    </row>
    <row r="79" spans="1:9" ht="17" thickBot="1">
      <c r="A79" s="1908"/>
      <c r="B79" s="1909"/>
      <c r="C79" s="1910" t="s">
        <v>840</v>
      </c>
      <c r="D79" s="1911">
        <f>SUM(D74:D78)</f>
        <v>0</v>
      </c>
      <c r="E79" s="1911">
        <f>SUM(E74:E78)</f>
        <v>0</v>
      </c>
      <c r="F79" s="1911">
        <f>SUM(F74:F78)</f>
        <v>0</v>
      </c>
      <c r="H79" s="27"/>
    </row>
    <row r="80" spans="1:9" ht="16">
      <c r="A80" s="1889" t="s">
        <v>779</v>
      </c>
      <c r="B80" s="1877" t="str">
        <f>B73</f>
        <v>Kto.nr</v>
      </c>
      <c r="C80" s="1912" t="s">
        <v>841</v>
      </c>
      <c r="D80" s="1879">
        <f>budgetår-1</f>
        <v>2024</v>
      </c>
      <c r="E80" s="1880">
        <f>budgetår</f>
        <v>2025</v>
      </c>
      <c r="F80" s="1890" t="str">
        <f>"Ændringer til "&amp;$E$3+1&amp;""</f>
        <v>Ændringer til 2026</v>
      </c>
    </row>
    <row r="81" spans="1:6" ht="16">
      <c r="A81" s="643">
        <v>1</v>
      </c>
      <c r="B81" s="484"/>
      <c r="C81" s="1892" t="s">
        <v>842</v>
      </c>
      <c r="D81" s="437"/>
      <c r="E81" s="1882"/>
      <c r="F81" s="1891"/>
    </row>
    <row r="82" spans="1:6" ht="16">
      <c r="A82" s="644">
        <f t="shared" si="0"/>
        <v>2</v>
      </c>
      <c r="B82" s="482"/>
      <c r="C82" s="434" t="s">
        <v>843</v>
      </c>
      <c r="D82" s="432"/>
      <c r="E82" s="433"/>
      <c r="F82" s="1891"/>
    </row>
    <row r="83" spans="1:6" ht="15" customHeight="1">
      <c r="A83" s="644">
        <f t="shared" si="0"/>
        <v>3</v>
      </c>
      <c r="B83" s="482"/>
      <c r="C83" s="448" t="s">
        <v>844</v>
      </c>
      <c r="D83" s="432"/>
      <c r="E83" s="433"/>
      <c r="F83" s="1891"/>
    </row>
    <row r="84" spans="1:6" ht="16">
      <c r="A84" s="644">
        <f t="shared" si="0"/>
        <v>4</v>
      </c>
      <c r="B84" s="487"/>
      <c r="C84" s="646" t="s">
        <v>845</v>
      </c>
      <c r="D84" s="432"/>
      <c r="E84" s="449"/>
      <c r="F84" s="1891"/>
    </row>
    <row r="85" spans="1:6" ht="16">
      <c r="A85" s="644">
        <f t="shared" si="0"/>
        <v>5</v>
      </c>
      <c r="B85" s="483"/>
      <c r="C85" s="438"/>
      <c r="D85" s="432"/>
      <c r="E85" s="641"/>
      <c r="F85" s="1870"/>
    </row>
    <row r="86" spans="1:6" ht="17" thickBot="1">
      <c r="A86" s="1899"/>
      <c r="B86" s="1885"/>
      <c r="C86" s="1900" t="s">
        <v>846</v>
      </c>
      <c r="D86" s="1913">
        <f>SUM(D81:D85)</f>
        <v>0</v>
      </c>
      <c r="E86" s="686">
        <f>SUM(E81:E85)</f>
        <v>0</v>
      </c>
      <c r="F86" s="686">
        <f>SUM(F81:F85)</f>
        <v>0</v>
      </c>
    </row>
    <row r="87" spans="1:6" ht="16">
      <c r="A87" s="1876" t="s">
        <v>779</v>
      </c>
      <c r="B87" s="1877" t="str">
        <f>B80</f>
        <v>Kto.nr</v>
      </c>
      <c r="C87" s="1878" t="s">
        <v>847</v>
      </c>
      <c r="D87" s="1914">
        <f>budgetår-1</f>
        <v>2024</v>
      </c>
      <c r="E87" s="1880">
        <f>budgetår</f>
        <v>2025</v>
      </c>
      <c r="F87" s="1890" t="str">
        <f>"Ændringer til "&amp;$E$3+1&amp;""</f>
        <v>Ændringer til 2026</v>
      </c>
    </row>
    <row r="88" spans="1:6" ht="16">
      <c r="A88" s="1896">
        <v>1</v>
      </c>
      <c r="B88" s="1897"/>
      <c r="C88" s="1892" t="s">
        <v>848</v>
      </c>
      <c r="D88" s="1915"/>
      <c r="E88" s="1916"/>
      <c r="F88" s="1891"/>
    </row>
    <row r="89" spans="1:6" ht="16">
      <c r="A89" s="644">
        <f>A88+1</f>
        <v>2</v>
      </c>
      <c r="B89" s="482"/>
      <c r="C89" s="434"/>
      <c r="D89" s="450"/>
      <c r="E89" s="638"/>
      <c r="F89" s="1883"/>
    </row>
    <row r="90" spans="1:6" ht="16">
      <c r="A90" s="644">
        <f>A89+1</f>
        <v>3</v>
      </c>
      <c r="B90" s="482"/>
      <c r="C90" s="434"/>
      <c r="D90" s="451"/>
      <c r="E90" s="639"/>
      <c r="F90" s="1891"/>
    </row>
    <row r="91" spans="1:6" ht="34">
      <c r="A91" s="647">
        <f>A90+1</f>
        <v>4</v>
      </c>
      <c r="B91" s="490"/>
      <c r="C91" s="452" t="s">
        <v>849</v>
      </c>
      <c r="D91" s="453"/>
      <c r="E91" s="640"/>
      <c r="F91" s="1883"/>
    </row>
    <row r="92" spans="1:6" ht="17" thickBot="1">
      <c r="A92" s="1884"/>
      <c r="B92" s="1885"/>
      <c r="C92" s="1886" t="s">
        <v>850</v>
      </c>
      <c r="D92" s="1887">
        <f>SUM(D88:D91)</f>
        <v>0</v>
      </c>
      <c r="E92" s="1888">
        <f>SUM(E88:E91)</f>
        <v>0</v>
      </c>
      <c r="F92" s="1888">
        <f>SUM(F88:F91)</f>
        <v>0</v>
      </c>
    </row>
    <row r="93" spans="1:6" ht="16">
      <c r="A93" s="1917" t="s">
        <v>779</v>
      </c>
      <c r="B93" s="1918" t="str">
        <f>B87</f>
        <v>Kto.nr</v>
      </c>
      <c r="C93" s="1919" t="s">
        <v>851</v>
      </c>
      <c r="D93" s="1920">
        <f>budgetår-1</f>
        <v>2024</v>
      </c>
      <c r="E93" s="1921">
        <f>budgetår</f>
        <v>2025</v>
      </c>
      <c r="F93" s="1890" t="str">
        <f>"Ændringer til "&amp;$E$3+1&amp;""</f>
        <v>Ændringer til 2026</v>
      </c>
    </row>
    <row r="94" spans="1:6" ht="16">
      <c r="A94" s="644">
        <v>1</v>
      </c>
      <c r="B94" s="482"/>
      <c r="C94" s="402" t="s">
        <v>852</v>
      </c>
      <c r="D94" s="432"/>
      <c r="E94" s="1882"/>
      <c r="F94" s="1869"/>
    </row>
    <row r="95" spans="1:6" ht="16">
      <c r="A95" s="644">
        <f>A94+1</f>
        <v>2</v>
      </c>
      <c r="B95" s="482"/>
      <c r="C95" s="402" t="s">
        <v>853</v>
      </c>
      <c r="D95" s="432"/>
      <c r="E95" s="433"/>
      <c r="F95" s="1869"/>
    </row>
    <row r="96" spans="1:6" ht="16">
      <c r="A96" s="644">
        <f t="shared" ref="A96:A108" si="2">A95+1</f>
        <v>3</v>
      </c>
      <c r="B96" s="482"/>
      <c r="C96" s="402" t="s">
        <v>854</v>
      </c>
      <c r="D96" s="432"/>
      <c r="E96" s="433"/>
      <c r="F96" s="1869"/>
    </row>
    <row r="97" spans="1:6" ht="16">
      <c r="A97" s="644">
        <f t="shared" si="2"/>
        <v>4</v>
      </c>
      <c r="B97" s="482"/>
      <c r="C97" s="402"/>
      <c r="D97" s="432"/>
      <c r="E97" s="433"/>
      <c r="F97" s="1869"/>
    </row>
    <row r="98" spans="1:6" ht="16">
      <c r="A98" s="644">
        <f t="shared" si="2"/>
        <v>5</v>
      </c>
      <c r="B98" s="482"/>
      <c r="C98" s="402"/>
      <c r="D98" s="432"/>
      <c r="E98" s="433"/>
      <c r="F98" s="1869"/>
    </row>
    <row r="99" spans="1:6" ht="16">
      <c r="A99" s="644">
        <f t="shared" si="2"/>
        <v>6</v>
      </c>
      <c r="B99" s="482"/>
      <c r="C99" s="402"/>
      <c r="D99" s="432"/>
      <c r="E99" s="433"/>
      <c r="F99" s="1869"/>
    </row>
    <row r="100" spans="1:6" ht="16">
      <c r="A100" s="644">
        <f t="shared" si="2"/>
        <v>7</v>
      </c>
      <c r="B100" s="482"/>
      <c r="C100" s="402"/>
      <c r="D100" s="432"/>
      <c r="E100" s="433"/>
      <c r="F100" s="1869"/>
    </row>
    <row r="101" spans="1:6" ht="16">
      <c r="A101" s="644">
        <f t="shared" si="2"/>
        <v>8</v>
      </c>
      <c r="B101" s="482"/>
      <c r="C101" s="402"/>
      <c r="D101" s="432"/>
      <c r="E101" s="433"/>
      <c r="F101" s="1870"/>
    </row>
    <row r="102" spans="1:6" ht="16">
      <c r="A102" s="644">
        <f t="shared" si="2"/>
        <v>9</v>
      </c>
      <c r="B102" s="483"/>
      <c r="C102" s="415"/>
      <c r="D102" s="432"/>
      <c r="E102" s="433"/>
      <c r="F102" s="1869"/>
    </row>
    <row r="103" spans="1:6" ht="16">
      <c r="A103" s="644">
        <f t="shared" si="2"/>
        <v>10</v>
      </c>
      <c r="B103" s="482"/>
      <c r="C103" s="434"/>
      <c r="D103" s="432"/>
      <c r="E103" s="402"/>
      <c r="F103" s="1869"/>
    </row>
    <row r="104" spans="1:6" ht="16">
      <c r="A104" s="644">
        <f t="shared" si="2"/>
        <v>11</v>
      </c>
      <c r="B104" s="482"/>
      <c r="C104" s="434"/>
      <c r="D104" s="432"/>
      <c r="E104" s="402"/>
      <c r="F104" s="1869"/>
    </row>
    <row r="105" spans="1:6" ht="16">
      <c r="A105" s="644">
        <f t="shared" si="2"/>
        <v>12</v>
      </c>
      <c r="B105" s="482"/>
      <c r="C105" s="434"/>
      <c r="D105" s="432"/>
      <c r="E105" s="402"/>
      <c r="F105" s="1869"/>
    </row>
    <row r="106" spans="1:6" ht="16">
      <c r="A106" s="644">
        <f t="shared" si="2"/>
        <v>13</v>
      </c>
      <c r="B106" s="482"/>
      <c r="C106" s="434"/>
      <c r="D106" s="432"/>
      <c r="E106" s="402"/>
      <c r="F106" s="1869"/>
    </row>
    <row r="107" spans="1:6" ht="16">
      <c r="A107" s="644">
        <f t="shared" si="2"/>
        <v>14</v>
      </c>
      <c r="B107" s="482"/>
      <c r="C107" s="434"/>
      <c r="D107" s="432"/>
      <c r="E107" s="402"/>
      <c r="F107" s="1869"/>
    </row>
    <row r="108" spans="1:6" ht="16">
      <c r="A108" s="414">
        <f t="shared" si="2"/>
        <v>15</v>
      </c>
      <c r="B108" s="483"/>
      <c r="C108" s="435"/>
      <c r="D108" s="432"/>
      <c r="E108" s="636"/>
      <c r="F108" s="1869"/>
    </row>
    <row r="109" spans="1:6" ht="17" thickBot="1">
      <c r="A109" s="1871"/>
      <c r="B109" s="1872"/>
      <c r="C109" s="1873" t="s">
        <v>855</v>
      </c>
      <c r="D109" s="1874">
        <f>SUM(D94:D108)</f>
        <v>0</v>
      </c>
      <c r="E109" s="1875">
        <f>SUM(E94:E108)</f>
        <v>0</v>
      </c>
      <c r="F109" s="1875">
        <f>SUM(F94:F108)</f>
        <v>0</v>
      </c>
    </row>
    <row r="110" spans="1:6" ht="17" thickBot="1">
      <c r="A110" s="1876" t="s">
        <v>779</v>
      </c>
      <c r="B110" s="1877" t="str">
        <f>B93</f>
        <v>Kto.nr</v>
      </c>
      <c r="C110" s="1922" t="s">
        <v>856</v>
      </c>
      <c r="D110" s="1879">
        <f>budgetår-1</f>
        <v>2024</v>
      </c>
      <c r="E110" s="1880">
        <f>budgetår</f>
        <v>2025</v>
      </c>
      <c r="F110" s="938" t="str">
        <f>"Ændringer til "&amp;$E$3+1&amp;""</f>
        <v>Ændringer til 2026</v>
      </c>
    </row>
    <row r="111" spans="1:6" ht="17" thickBot="1">
      <c r="A111" s="648">
        <v>1</v>
      </c>
      <c r="B111" s="700"/>
      <c r="C111" s="649" t="str">
        <f>"Tilsynsførende med et elevtal på "&amp;elevtal_1</f>
        <v>Tilsynsførende med et elevtal på 0</v>
      </c>
      <c r="D111" s="1923">
        <f>IF(Forside!D31=0,0,IF(Forside!D31&lt;55,Tilsyn1,IF(AND(54&lt;Forside!D31,Forside!D31&lt;110),Tilsyn2,IF(AND(109&lt;Forside!D31,Forside!D31&lt;220),Tilsyn3,IF(219&lt;Forside!D31,Tilsyn4)))))</f>
        <v>0</v>
      </c>
      <c r="E111" s="1924">
        <f>IF(elevtal_1=0,0,IF(elevtal_1&lt;55,Tilsyn1,IF(AND(54&lt;elevtal_1,elevtal_1&lt;110),Tilsyn2,IF(AND(109&lt;elevtal_1,elevtal_1&lt;220),Tilsyn3,IF(219&lt;elevtal_1,Tilsyn4)))))</f>
        <v>0</v>
      </c>
      <c r="F111" s="687"/>
    </row>
    <row r="112" spans="1:6" ht="16">
      <c r="A112" s="1884"/>
      <c r="B112" s="1872"/>
      <c r="C112" s="1925" t="s">
        <v>857</v>
      </c>
      <c r="D112" s="454">
        <f>SUM(D111)</f>
        <v>0</v>
      </c>
      <c r="E112" s="455">
        <f>SUM(E111)</f>
        <v>0</v>
      </c>
      <c r="F112" s="455">
        <f>SUM(F111)</f>
        <v>0</v>
      </c>
    </row>
    <row r="113" spans="1:6" ht="17" thickBot="1">
      <c r="A113" s="1926"/>
      <c r="B113" s="939"/>
      <c r="C113" s="940" t="str">
        <f>"Underv.udg. i alt til hovedskema lin. 39 "</f>
        <v xml:space="preserve">Underv.udg. i alt til hovedskema lin. 39 </v>
      </c>
      <c r="D113" s="941">
        <f>D20+D26+D39+D52+D59+D63+D72+D92+D109+D111+D86+D79+D32</f>
        <v>0</v>
      </c>
      <c r="E113" s="942">
        <f>E112+E109+E92+E86+E79+E72+E63+E59+E52+E39+E32+E26+E20</f>
        <v>0</v>
      </c>
      <c r="F113" s="942">
        <f>F112+F109+F92+F86+F79+F72+F63+F59+F52+F39+F32+F26+F20</f>
        <v>0</v>
      </c>
    </row>
    <row r="114" spans="1:6" ht="17" thickBot="1">
      <c r="A114" s="2966"/>
      <c r="B114" s="2966"/>
      <c r="C114" s="2966"/>
      <c r="D114" s="2966"/>
      <c r="E114" s="2967"/>
      <c r="F114" s="401"/>
    </row>
    <row r="115" spans="1:6" ht="17" thickBot="1">
      <c r="A115" s="1927" t="s">
        <v>779</v>
      </c>
      <c r="B115" s="1928" t="str">
        <f>B3</f>
        <v>Kto.nr</v>
      </c>
      <c r="C115" s="1929" t="s">
        <v>858</v>
      </c>
      <c r="D115" s="1930">
        <f>budgetår-1</f>
        <v>2024</v>
      </c>
      <c r="E115" s="1931">
        <f>budgetår</f>
        <v>2025</v>
      </c>
      <c r="F115" s="938" t="str">
        <f>"Ændringer til "&amp;$E$3+1&amp;""</f>
        <v>Ændringer til 2026</v>
      </c>
    </row>
    <row r="116" spans="1:6" ht="16">
      <c r="A116" s="863">
        <v>1</v>
      </c>
      <c r="B116" s="1932"/>
      <c r="C116" s="456" t="s">
        <v>859</v>
      </c>
      <c r="D116" s="457"/>
      <c r="E116" s="684"/>
      <c r="F116" s="1933"/>
    </row>
    <row r="117" spans="1:6" ht="16">
      <c r="A117" s="863">
        <f>A116+1</f>
        <v>2</v>
      </c>
      <c r="B117" s="491"/>
      <c r="C117" s="458" t="s">
        <v>860</v>
      </c>
      <c r="D117" s="459"/>
      <c r="E117" s="460"/>
      <c r="F117" s="1870"/>
    </row>
    <row r="118" spans="1:6" ht="16">
      <c r="A118" s="863">
        <v>3</v>
      </c>
      <c r="B118" s="491"/>
      <c r="C118" s="458" t="s">
        <v>861</v>
      </c>
      <c r="D118" s="459"/>
      <c r="E118" s="461"/>
      <c r="F118" s="1870"/>
    </row>
    <row r="119" spans="1:6" ht="16">
      <c r="A119" s="863">
        <f>A118+1</f>
        <v>4</v>
      </c>
      <c r="B119" s="491"/>
      <c r="C119" s="458" t="s">
        <v>828</v>
      </c>
      <c r="D119" s="459"/>
      <c r="E119" s="460"/>
      <c r="F119" s="1870"/>
    </row>
    <row r="120" spans="1:6" ht="16">
      <c r="A120" s="863">
        <f>A119+1</f>
        <v>5</v>
      </c>
      <c r="B120" s="491"/>
      <c r="C120" s="458" t="s">
        <v>832</v>
      </c>
      <c r="D120" s="459"/>
      <c r="E120" s="460"/>
      <c r="F120" s="1870"/>
    </row>
    <row r="121" spans="1:6" ht="16">
      <c r="A121" s="863">
        <v>6</v>
      </c>
      <c r="B121" s="491"/>
      <c r="C121" s="458" t="s">
        <v>833</v>
      </c>
      <c r="D121" s="459"/>
      <c r="E121" s="461"/>
      <c r="F121" s="1870"/>
    </row>
    <row r="122" spans="1:6" ht="16">
      <c r="A122" s="863">
        <v>7</v>
      </c>
      <c r="B122" s="491"/>
      <c r="C122" s="458" t="s">
        <v>834</v>
      </c>
      <c r="D122" s="459"/>
      <c r="E122" s="460"/>
      <c r="F122" s="1870"/>
    </row>
    <row r="123" spans="1:6" ht="16">
      <c r="A123" s="863">
        <f>A122+1</f>
        <v>8</v>
      </c>
      <c r="B123" s="491"/>
      <c r="C123" s="458" t="s">
        <v>862</v>
      </c>
      <c r="D123" s="459"/>
      <c r="E123" s="460"/>
      <c r="F123" s="1870"/>
    </row>
    <row r="124" spans="1:6" ht="16">
      <c r="A124" s="863">
        <f>A123+1</f>
        <v>9</v>
      </c>
      <c r="B124" s="491"/>
      <c r="C124" s="458" t="s">
        <v>851</v>
      </c>
      <c r="D124" s="459"/>
      <c r="E124" s="460"/>
      <c r="F124" s="1870"/>
    </row>
    <row r="125" spans="1:6" ht="16">
      <c r="A125" s="863">
        <f>A124+1</f>
        <v>10</v>
      </c>
      <c r="B125" s="491"/>
      <c r="C125" s="458"/>
      <c r="D125" s="459"/>
      <c r="E125" s="685"/>
      <c r="F125" s="1870"/>
    </row>
    <row r="126" spans="1:6" ht="16">
      <c r="A126" s="863">
        <f>A125+1</f>
        <v>11</v>
      </c>
      <c r="B126" s="491"/>
      <c r="C126" s="458"/>
      <c r="D126" s="459"/>
      <c r="E126" s="685"/>
      <c r="F126" s="1870"/>
    </row>
    <row r="127" spans="1:6" ht="16">
      <c r="A127" s="863">
        <f>A126+1</f>
        <v>12</v>
      </c>
      <c r="B127" s="491"/>
      <c r="C127" s="458"/>
      <c r="D127" s="459"/>
      <c r="E127" s="685"/>
      <c r="F127" s="1870"/>
    </row>
    <row r="128" spans="1:6" ht="17" thickBot="1">
      <c r="A128" s="943">
        <v>13</v>
      </c>
      <c r="B128" s="492"/>
      <c r="C128" s="462" t="s">
        <v>863</v>
      </c>
      <c r="D128" s="459"/>
      <c r="E128" s="685"/>
      <c r="F128" s="1934"/>
    </row>
    <row r="129" spans="1:6" ht="17" thickBot="1">
      <c r="A129" s="1935" t="str">
        <f>"SFO udgifter i alt til hovedskema lin. 40 "</f>
        <v xml:space="preserve">SFO udgifter i alt til hovedskema lin. 40 </v>
      </c>
      <c r="B129" s="944"/>
      <c r="C129" s="945"/>
      <c r="D129" s="637">
        <f>SUM(D116:D128)</f>
        <v>0</v>
      </c>
      <c r="E129" s="946">
        <f>SUM(E116:E128)</f>
        <v>0</v>
      </c>
      <c r="F129" s="946">
        <f>SUM(F116:F128)</f>
        <v>0</v>
      </c>
    </row>
    <row r="130" spans="1:6" ht="16">
      <c r="A130" s="407"/>
      <c r="B130" s="650" t="str">
        <f>"Ændringer undervisningsudgifter "&amp;E3+1&amp;" i forhold til "&amp;E3&amp;" i alt:"</f>
        <v>Ændringer undervisningsudgifter 2026 i forhold til 2025 i alt:</v>
      </c>
      <c r="C130" s="651"/>
      <c r="D130" s="651"/>
      <c r="E130" s="651"/>
      <c r="F130" s="652">
        <f>SUM(F4:F19)+SUM(F22:F25)+SUM(F28:F31)+SUM(F34:F38)+SUM(F41:F51)+SUM(F54:F58)+SUM(F61:F62)+SUM(F65:F71)+SUM(F74:F78)+SUM(F81:F85)+SUM(F88:F91)+SUM(F94:F108)</f>
        <v>0</v>
      </c>
    </row>
    <row r="131" spans="1:6">
      <c r="A131" s="9"/>
      <c r="B131" s="653" t="str">
        <f>"Ændringer i udgifter til SFO "&amp;E3+1&amp;" i forhold til "&amp;E3&amp;" i alt:"</f>
        <v>Ændringer i udgifter til SFO 2026 i forhold til 2025 i alt:</v>
      </c>
      <c r="C131" s="654"/>
      <c r="D131" s="654"/>
      <c r="E131" s="654"/>
      <c r="F131" s="654">
        <f>SUM(F116:F128)</f>
        <v>0</v>
      </c>
    </row>
    <row r="132" spans="1:6">
      <c r="A132" s="2789"/>
      <c r="B132" s="2789"/>
      <c r="C132" s="2789"/>
      <c r="F132" s="29"/>
    </row>
    <row r="133" spans="1:6">
      <c r="A133" s="30"/>
      <c r="B133" s="30"/>
      <c r="C133" s="30"/>
    </row>
  </sheetData>
  <sheetProtection sheet="1" formatCells="0" formatColumns="0" formatRows="0" insertRows="0"/>
  <mergeCells count="4">
    <mergeCell ref="H78:I78"/>
    <mergeCell ref="A132:C132"/>
    <mergeCell ref="A114:E114"/>
    <mergeCell ref="A2:C2"/>
  </mergeCells>
  <phoneticPr fontId="55" type="noConversion"/>
  <dataValidations count="1">
    <dataValidation type="whole" allowBlank="1" showInputMessage="1" showErrorMessage="1" sqref="D38:E38 D48:E51 D57:E58 D91:E91" xr:uid="{00000000-0002-0000-0900-000000000000}">
      <formula1>-1000000</formula1>
      <formula2>0</formula2>
    </dataValidation>
  </dataValidations>
  <printOptions horizontalCentered="1"/>
  <pageMargins left="0.79" right="0.67" top="0.98" bottom="0.83" header="0.51" footer="0.51"/>
  <pageSetup paperSize="9" scale="64" fitToHeight="2" orientation="portrait" horizontalDpi="4294967292" verticalDpi="4294967292"/>
  <headerFooter alignWithMargins="0">
    <oddHeader>&amp;C&amp;"Arial,Fed"&amp;12Undervisnings- omkostninger</oddHeader>
    <oddFooter>&amp;L&amp;G&amp;R
&amp;D
&amp;A</oddFooter>
  </headerFooter>
  <rowBreaks count="1" manualBreakCount="1">
    <brk id="72" max="5" man="1"/>
  </rowBreaks>
  <drawing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47"/>
  <sheetViews>
    <sheetView workbookViewId="0">
      <selection activeCell="M35" sqref="M35:N35"/>
    </sheetView>
  </sheetViews>
  <sheetFormatPr baseColWidth="10" defaultColWidth="11.5" defaultRowHeight="13"/>
  <cols>
    <col min="2" max="2" width="15.5" customWidth="1"/>
    <col min="3" max="3" width="19.5" customWidth="1"/>
    <col min="4" max="4" width="25.5" customWidth="1"/>
    <col min="5" max="12" width="10.83203125" customWidth="1"/>
    <col min="13" max="13" width="15.83203125" customWidth="1"/>
    <col min="14" max="14" width="16.5" customWidth="1"/>
  </cols>
  <sheetData>
    <row r="1" spans="1:17" ht="36" customHeight="1" thickBot="1"/>
    <row r="2" spans="1:17" ht="13" customHeight="1">
      <c r="A2" s="2990" t="str">
        <f>"Heltidsskolefritidsordning budgetopstilling for "&amp;budgetår&amp;" samt "&amp;budgetår+1&amp;":"</f>
        <v>Heltidsskolefritidsordning budgetopstilling for 2025 samt 2026:</v>
      </c>
      <c r="B2" s="2991"/>
      <c r="C2" s="2991"/>
      <c r="D2" s="2991"/>
      <c r="E2" s="2991"/>
      <c r="F2" s="2991"/>
      <c r="G2" s="2991"/>
      <c r="H2" s="2991"/>
      <c r="I2" s="2991"/>
      <c r="J2" s="2991"/>
      <c r="K2" s="2991"/>
      <c r="L2" s="2991"/>
      <c r="M2" s="2991"/>
      <c r="N2" s="2992"/>
    </row>
    <row r="3" spans="1:17" ht="14" customHeight="1" thickBot="1">
      <c r="A3" s="2993"/>
      <c r="B3" s="2994"/>
      <c r="C3" s="2994"/>
      <c r="D3" s="2994"/>
      <c r="E3" s="2994"/>
      <c r="F3" s="2994"/>
      <c r="G3" s="2994"/>
      <c r="H3" s="2994"/>
      <c r="I3" s="2994"/>
      <c r="J3" s="2994"/>
      <c r="K3" s="2994"/>
      <c r="L3" s="2994"/>
      <c r="M3" s="2994"/>
      <c r="N3" s="2995"/>
    </row>
    <row r="4" spans="1:17" ht="35" customHeight="1" thickBot="1">
      <c r="A4" s="2996" t="s">
        <v>864</v>
      </c>
      <c r="B4" s="1936"/>
      <c r="C4" s="864" t="s">
        <v>865</v>
      </c>
      <c r="D4" s="1937" t="s">
        <v>866</v>
      </c>
      <c r="E4" s="3005" t="s">
        <v>867</v>
      </c>
      <c r="F4" s="3015"/>
      <c r="G4" s="3015"/>
      <c r="H4" s="3015"/>
      <c r="I4" s="3015"/>
      <c r="J4" s="3015"/>
      <c r="K4" s="3015"/>
      <c r="L4" s="3006"/>
      <c r="M4" s="3005" t="s">
        <v>868</v>
      </c>
      <c r="N4" s="3006"/>
      <c r="O4" s="529"/>
      <c r="P4" s="529"/>
      <c r="Q4" s="529"/>
    </row>
    <row r="5" spans="1:17" ht="43" thickBot="1">
      <c r="A5" s="2996"/>
      <c r="B5" s="865" t="s">
        <v>869</v>
      </c>
      <c r="C5" s="1938" t="s">
        <v>865</v>
      </c>
      <c r="D5" s="1938" t="s">
        <v>870</v>
      </c>
      <c r="E5" s="1939" t="s">
        <v>871</v>
      </c>
      <c r="F5" s="1940" t="s">
        <v>872</v>
      </c>
      <c r="G5" s="1940" t="s">
        <v>873</v>
      </c>
      <c r="H5" s="1940" t="s">
        <v>874</v>
      </c>
      <c r="I5" s="1940" t="s">
        <v>875</v>
      </c>
      <c r="J5" s="1940" t="s">
        <v>876</v>
      </c>
      <c r="K5" s="1941" t="s">
        <v>877</v>
      </c>
      <c r="L5" s="1941" t="s">
        <v>878</v>
      </c>
      <c r="M5" s="1942" t="s">
        <v>879</v>
      </c>
      <c r="N5" s="1943" t="s">
        <v>880</v>
      </c>
      <c r="O5" s="194"/>
      <c r="P5" s="194"/>
      <c r="Q5" s="529"/>
    </row>
    <row r="6" spans="1:17" ht="16">
      <c r="A6" s="1944"/>
      <c r="B6" s="536" t="s">
        <v>402</v>
      </c>
      <c r="C6" s="1945"/>
      <c r="D6" s="1946"/>
      <c r="E6" s="1947"/>
      <c r="F6" s="947"/>
      <c r="G6" s="947"/>
      <c r="H6" s="947"/>
      <c r="I6" s="947"/>
      <c r="J6" s="947"/>
      <c r="K6" s="947"/>
      <c r="L6" s="947"/>
      <c r="M6" s="1948">
        <f t="shared" ref="M6:M11" si="0">SUM(E6:L6)*C6-(L6*C6)</f>
        <v>0</v>
      </c>
      <c r="N6" s="1949" cm="1">
        <f t="array" ref="N6">SUM((E6:L6)*D6)-K6*D6</f>
        <v>0</v>
      </c>
      <c r="O6" s="324">
        <f>SUM(E6:J11)</f>
        <v>0</v>
      </c>
      <c r="P6" s="194"/>
      <c r="Q6" s="529"/>
    </row>
    <row r="7" spans="1:17" ht="16">
      <c r="A7" s="1950"/>
      <c r="B7" s="866" t="s">
        <v>403</v>
      </c>
      <c r="C7" s="1945"/>
      <c r="D7" s="1946"/>
      <c r="E7" s="1951"/>
      <c r="F7" s="1952"/>
      <c r="G7" s="1952"/>
      <c r="H7" s="1952"/>
      <c r="I7" s="1952"/>
      <c r="J7" s="1952"/>
      <c r="K7" s="1952"/>
      <c r="L7" s="1952"/>
      <c r="M7" s="1953">
        <f t="shared" si="0"/>
        <v>0</v>
      </c>
      <c r="N7" s="1954" cm="1">
        <f t="array" ref="N7">SUM((E7:L7)*D7)-(K7*D7)</f>
        <v>0</v>
      </c>
      <c r="O7" s="324"/>
      <c r="P7" s="194"/>
      <c r="Q7" s="529"/>
    </row>
    <row r="8" spans="1:17" ht="16">
      <c r="A8" s="1950"/>
      <c r="B8" s="866" t="s">
        <v>404</v>
      </c>
      <c r="C8" s="1955"/>
      <c r="D8" s="1956"/>
      <c r="E8" s="1951"/>
      <c r="F8" s="1952"/>
      <c r="G8" s="1952"/>
      <c r="H8" s="1952"/>
      <c r="I8" s="1952"/>
      <c r="J8" s="1952"/>
      <c r="K8" s="1952"/>
      <c r="L8" s="1952"/>
      <c r="M8" s="1953">
        <f t="shared" si="0"/>
        <v>0</v>
      </c>
      <c r="N8" s="1954" cm="1">
        <f t="array" ref="N8">SUM((E8:L8)*D8)-(K8*D8)</f>
        <v>0</v>
      </c>
      <c r="O8" s="324">
        <f>O6-O7</f>
        <v>0</v>
      </c>
      <c r="P8" s="194"/>
      <c r="Q8" s="529"/>
    </row>
    <row r="9" spans="1:17" ht="16">
      <c r="A9" s="1950"/>
      <c r="B9" s="866" t="s">
        <v>405</v>
      </c>
      <c r="C9" s="1945"/>
      <c r="D9" s="1946"/>
      <c r="E9" s="1951"/>
      <c r="F9" s="1952"/>
      <c r="G9" s="1952"/>
      <c r="H9" s="1952"/>
      <c r="I9" s="1952"/>
      <c r="J9" s="1952"/>
      <c r="K9" s="1952"/>
      <c r="L9" s="1952"/>
      <c r="M9" s="1953">
        <f t="shared" si="0"/>
        <v>0</v>
      </c>
      <c r="N9" s="1954" cm="1">
        <f t="array" ref="N9">SUM((E9:L9)*D9)-(K9*D9)</f>
        <v>0</v>
      </c>
      <c r="O9" s="194">
        <f>COUNTIF(E6:J6,"&gt;0")</f>
        <v>0</v>
      </c>
      <c r="P9" s="194">
        <f>COUNTIF(K6,"&gt;0")</f>
        <v>0</v>
      </c>
      <c r="Q9" s="529"/>
    </row>
    <row r="10" spans="1:17" ht="16">
      <c r="A10" s="1950"/>
      <c r="B10" s="867" t="s">
        <v>406</v>
      </c>
      <c r="C10" s="1955"/>
      <c r="D10" s="1956"/>
      <c r="E10" s="1951"/>
      <c r="F10" s="1952"/>
      <c r="G10" s="1952"/>
      <c r="H10" s="1952"/>
      <c r="I10" s="1952"/>
      <c r="J10" s="1952"/>
      <c r="K10" s="1952"/>
      <c r="L10" s="1952"/>
      <c r="M10" s="1953">
        <f t="shared" si="0"/>
        <v>0</v>
      </c>
      <c r="N10" s="1954" cm="1">
        <f t="array" ref="N10">SUM((E10:L10)*D10)-(K10*D10)</f>
        <v>0</v>
      </c>
      <c r="O10" s="194" t="e">
        <f>O8/O9</f>
        <v>#DIV/0!</v>
      </c>
      <c r="P10" s="194"/>
      <c r="Q10" s="529"/>
    </row>
    <row r="11" spans="1:17" ht="17" thickBot="1">
      <c r="A11" s="1957"/>
      <c r="B11" s="867" t="s">
        <v>407</v>
      </c>
      <c r="C11" s="1958"/>
      <c r="D11" s="1959"/>
      <c r="E11" s="1960"/>
      <c r="F11" s="1961"/>
      <c r="G11" s="1961"/>
      <c r="H11" s="1961"/>
      <c r="I11" s="1961"/>
      <c r="J11" s="1961"/>
      <c r="K11" s="1961"/>
      <c r="L11" s="1961"/>
      <c r="M11" s="1953">
        <f t="shared" si="0"/>
        <v>0</v>
      </c>
      <c r="N11" s="1954" cm="1">
        <f t="array" ref="N11">SUM((E11:L11)*D11)-(K11*D11)</f>
        <v>0</v>
      </c>
      <c r="O11" s="194"/>
      <c r="P11" s="194"/>
      <c r="Q11" s="529"/>
    </row>
    <row r="12" spans="1:17" ht="17" thickBot="1">
      <c r="A12" s="2997" t="str">
        <f>"Indtægter i alt til hovedskema. Lin. 20 og 27"</f>
        <v>Indtægter i alt til hovedskema. Lin. 20 og 27</v>
      </c>
      <c r="B12" s="2997"/>
      <c r="C12" s="2997"/>
      <c r="D12" s="2997"/>
      <c r="E12" s="2997"/>
      <c r="F12" s="2997"/>
      <c r="G12" s="2997"/>
      <c r="H12" s="2997"/>
      <c r="I12" s="2997"/>
      <c r="J12" s="2997"/>
      <c r="K12" s="2997"/>
      <c r="L12" s="2998"/>
      <c r="M12" s="538">
        <f>SUM(M6:M11)</f>
        <v>0</v>
      </c>
      <c r="N12" s="539">
        <f>SUM(N6:N11)</f>
        <v>0</v>
      </c>
      <c r="O12" s="194"/>
      <c r="P12" s="529"/>
      <c r="Q12" s="529"/>
    </row>
    <row r="13" spans="1:17" ht="13" customHeight="1">
      <c r="A13" s="2999" t="s">
        <v>881</v>
      </c>
      <c r="B13" s="3000"/>
      <c r="C13" s="3000"/>
      <c r="D13" s="3000"/>
      <c r="E13" s="3000"/>
      <c r="F13" s="3000"/>
      <c r="G13" s="3000"/>
      <c r="H13" s="3000"/>
      <c r="I13" s="3000"/>
      <c r="J13" s="3000"/>
      <c r="K13" s="3000"/>
      <c r="L13" s="3000"/>
      <c r="M13" s="3000"/>
      <c r="N13" s="3001"/>
      <c r="O13" s="194"/>
      <c r="P13" s="529"/>
      <c r="Q13" s="529"/>
    </row>
    <row r="14" spans="1:17" ht="14" customHeight="1" thickBot="1">
      <c r="A14" s="3002"/>
      <c r="B14" s="3003"/>
      <c r="C14" s="3003"/>
      <c r="D14" s="3003"/>
      <c r="E14" s="3003"/>
      <c r="F14" s="3003"/>
      <c r="G14" s="3003"/>
      <c r="H14" s="3003"/>
      <c r="I14" s="3003"/>
      <c r="J14" s="3003"/>
      <c r="K14" s="3003"/>
      <c r="L14" s="3003"/>
      <c r="M14" s="3003"/>
      <c r="N14" s="3004"/>
    </row>
    <row r="15" spans="1:17" ht="16">
      <c r="A15" s="1962"/>
      <c r="B15" s="1963" t="s">
        <v>859</v>
      </c>
      <c r="C15" s="531"/>
      <c r="D15" s="531"/>
      <c r="E15" s="531"/>
      <c r="F15" s="531"/>
      <c r="G15" s="531"/>
      <c r="H15" s="531"/>
      <c r="I15" s="531"/>
      <c r="J15" s="531"/>
      <c r="K15" s="531"/>
      <c r="L15" s="531"/>
      <c r="M15" s="3007"/>
      <c r="N15" s="3008"/>
    </row>
    <row r="16" spans="1:17" ht="16">
      <c r="A16" s="1950"/>
      <c r="B16" s="1964" t="s">
        <v>806</v>
      </c>
      <c r="C16" s="1965"/>
      <c r="D16" s="1965"/>
      <c r="E16" s="1965"/>
      <c r="F16" s="1965"/>
      <c r="G16" s="1965"/>
      <c r="H16" s="1965"/>
      <c r="I16" s="1965"/>
      <c r="J16" s="1965"/>
      <c r="K16" s="1965"/>
      <c r="L16" s="1965"/>
      <c r="M16" s="3009"/>
      <c r="N16" s="3010"/>
    </row>
    <row r="17" spans="1:14" ht="16">
      <c r="A17" s="1950"/>
      <c r="B17" s="1964"/>
      <c r="C17" s="1965"/>
      <c r="D17" s="1965"/>
      <c r="E17" s="1965"/>
      <c r="F17" s="1965"/>
      <c r="G17" s="1965"/>
      <c r="H17" s="1965"/>
      <c r="I17" s="1965"/>
      <c r="J17" s="1965"/>
      <c r="K17" s="1965"/>
      <c r="L17" s="1965"/>
      <c r="M17" s="3009"/>
      <c r="N17" s="3010"/>
    </row>
    <row r="18" spans="1:14" ht="16">
      <c r="A18" s="1950"/>
      <c r="B18" s="1964"/>
      <c r="C18" s="1965"/>
      <c r="D18" s="1965"/>
      <c r="E18" s="1965"/>
      <c r="F18" s="1965"/>
      <c r="G18" s="1965"/>
      <c r="H18" s="1965"/>
      <c r="I18" s="1965"/>
      <c r="J18" s="1965"/>
      <c r="K18" s="1965"/>
      <c r="L18" s="1965"/>
      <c r="M18" s="3009"/>
      <c r="N18" s="3010"/>
    </row>
    <row r="19" spans="1:14" ht="17" thickBot="1">
      <c r="A19" s="1957"/>
      <c r="B19" s="1964"/>
      <c r="C19" s="1965"/>
      <c r="D19" s="1965"/>
      <c r="E19" s="1965"/>
      <c r="F19" s="1965"/>
      <c r="G19" s="1965"/>
      <c r="H19" s="1965"/>
      <c r="I19" s="1965"/>
      <c r="J19" s="1965"/>
      <c r="K19" s="1965"/>
      <c r="L19" s="1965"/>
      <c r="M19" s="3011"/>
      <c r="N19" s="3012"/>
    </row>
    <row r="20" spans="1:14" ht="17" thickBot="1">
      <c r="A20" s="3016" t="s">
        <v>882</v>
      </c>
      <c r="B20" s="3016"/>
      <c r="C20" s="3016"/>
      <c r="D20" s="3016"/>
      <c r="E20" s="3016"/>
      <c r="F20" s="3016"/>
      <c r="G20" s="3016"/>
      <c r="H20" s="3016"/>
      <c r="I20" s="3016"/>
      <c r="J20" s="3016"/>
      <c r="K20" s="3016"/>
      <c r="L20" s="3016"/>
      <c r="M20" s="3013">
        <f>SUM(M15:N19)</f>
        <v>0</v>
      </c>
      <c r="N20" s="3014"/>
    </row>
    <row r="21" spans="1:14" ht="13" customHeight="1">
      <c r="A21" s="2999" t="s">
        <v>883</v>
      </c>
      <c r="B21" s="3000"/>
      <c r="C21" s="3000"/>
      <c r="D21" s="3000"/>
      <c r="E21" s="3000"/>
      <c r="F21" s="3000"/>
      <c r="G21" s="3000"/>
      <c r="H21" s="3000"/>
      <c r="I21" s="3000"/>
      <c r="J21" s="3000"/>
      <c r="K21" s="3000"/>
      <c r="L21" s="3000"/>
      <c r="M21" s="3000"/>
      <c r="N21" s="3001"/>
    </row>
    <row r="22" spans="1:14" ht="14" customHeight="1" thickBot="1">
      <c r="A22" s="3002"/>
      <c r="B22" s="3003"/>
      <c r="C22" s="3003"/>
      <c r="D22" s="3003"/>
      <c r="E22" s="3003"/>
      <c r="F22" s="3003"/>
      <c r="G22" s="3003"/>
      <c r="H22" s="3003"/>
      <c r="I22" s="3003"/>
      <c r="J22" s="3003"/>
      <c r="K22" s="3003"/>
      <c r="L22" s="3003"/>
      <c r="M22" s="3003"/>
      <c r="N22" s="3004"/>
    </row>
    <row r="23" spans="1:14" ht="16">
      <c r="A23" s="1962"/>
      <c r="B23" s="535" t="s">
        <v>884</v>
      </c>
      <c r="C23" s="535"/>
      <c r="D23" s="535"/>
      <c r="E23" s="535"/>
      <c r="F23" s="535"/>
      <c r="G23" s="535"/>
      <c r="H23" s="535"/>
      <c r="I23" s="535"/>
      <c r="J23" s="535"/>
      <c r="K23" s="535"/>
      <c r="L23" s="535"/>
      <c r="M23" s="3007"/>
      <c r="N23" s="3008"/>
    </row>
    <row r="24" spans="1:14" ht="16">
      <c r="A24" s="1950"/>
      <c r="B24" s="1965"/>
      <c r="C24" s="1965"/>
      <c r="D24" s="1965"/>
      <c r="E24" s="1965"/>
      <c r="F24" s="1965"/>
      <c r="G24" s="1965"/>
      <c r="H24" s="1965"/>
      <c r="I24" s="1965"/>
      <c r="J24" s="1965"/>
      <c r="K24" s="1965"/>
      <c r="L24" s="1965"/>
      <c r="M24" s="3009"/>
      <c r="N24" s="3010"/>
    </row>
    <row r="25" spans="1:14" ht="16">
      <c r="A25" s="1950"/>
      <c r="B25" s="1965"/>
      <c r="C25" s="1965"/>
      <c r="D25" s="1965"/>
      <c r="E25" s="1965"/>
      <c r="F25" s="1965"/>
      <c r="G25" s="1965"/>
      <c r="H25" s="1965"/>
      <c r="I25" s="1965"/>
      <c r="J25" s="1965"/>
      <c r="K25" s="1965"/>
      <c r="L25" s="1965"/>
      <c r="M25" s="3009"/>
      <c r="N25" s="3010"/>
    </row>
    <row r="26" spans="1:14" ht="16">
      <c r="A26" s="1950"/>
      <c r="B26" s="1965"/>
      <c r="C26" s="1965"/>
      <c r="D26" s="1965"/>
      <c r="E26" s="1965"/>
      <c r="F26" s="1965"/>
      <c r="G26" s="1965"/>
      <c r="H26" s="1965"/>
      <c r="I26" s="1965"/>
      <c r="J26" s="1965"/>
      <c r="K26" s="1965"/>
      <c r="L26" s="1965"/>
      <c r="M26" s="3009"/>
      <c r="N26" s="3010"/>
    </row>
    <row r="27" spans="1:14" ht="17" thickBot="1">
      <c r="A27" s="1957"/>
      <c r="B27" s="1965"/>
      <c r="C27" s="1965"/>
      <c r="D27" s="1965"/>
      <c r="E27" s="1965"/>
      <c r="F27" s="1965"/>
      <c r="G27" s="1965"/>
      <c r="H27" s="1965"/>
      <c r="I27" s="1965"/>
      <c r="J27" s="1965"/>
      <c r="K27" s="1965"/>
      <c r="L27" s="1965"/>
      <c r="M27" s="3009"/>
      <c r="N27" s="3010"/>
    </row>
    <row r="28" spans="1:14" ht="17" thickBot="1">
      <c r="A28" s="3030" t="s">
        <v>885</v>
      </c>
      <c r="B28" s="3030"/>
      <c r="C28" s="3030"/>
      <c r="D28" s="3030"/>
      <c r="E28" s="3030"/>
      <c r="F28" s="3030"/>
      <c r="G28" s="3030"/>
      <c r="H28" s="3030"/>
      <c r="I28" s="3030"/>
      <c r="J28" s="3030"/>
      <c r="K28" s="3030"/>
      <c r="L28" s="3031"/>
      <c r="M28" s="3033">
        <f>SUM(M23:M27)</f>
        <v>0</v>
      </c>
      <c r="N28" s="3034"/>
    </row>
    <row r="29" spans="1:14" ht="29" customHeight="1">
      <c r="A29" s="3032" t="s">
        <v>886</v>
      </c>
      <c r="B29" s="3032"/>
      <c r="C29" s="3032"/>
      <c r="D29" s="3032"/>
      <c r="E29" s="3032"/>
      <c r="F29" s="3032"/>
      <c r="G29" s="3032"/>
      <c r="H29" s="3032"/>
      <c r="I29" s="3032"/>
      <c r="J29" s="3032"/>
      <c r="K29" s="3032"/>
      <c r="L29" s="3032"/>
      <c r="M29" s="3029">
        <f>M28+M20+M12+N12</f>
        <v>0</v>
      </c>
      <c r="N29" s="3029"/>
    </row>
    <row r="30" spans="1:14" ht="17" thickBot="1">
      <c r="A30" s="3017"/>
      <c r="B30" s="3018"/>
      <c r="C30" s="3018"/>
      <c r="D30" s="3018"/>
      <c r="E30" s="3018"/>
      <c r="F30" s="3018"/>
      <c r="G30" s="3018"/>
      <c r="H30" s="3018"/>
      <c r="I30" s="3018"/>
      <c r="J30" s="3018"/>
      <c r="K30" s="3018"/>
      <c r="L30" s="3018"/>
      <c r="M30" s="3018"/>
      <c r="N30" s="3018"/>
    </row>
    <row r="31" spans="1:14" ht="26" customHeight="1" thickBot="1">
      <c r="A31" s="1966" t="s">
        <v>887</v>
      </c>
      <c r="B31" s="3025" t="s">
        <v>888</v>
      </c>
      <c r="C31" s="3026"/>
      <c r="D31" s="3026"/>
      <c r="E31" s="3026"/>
      <c r="F31" s="3026"/>
      <c r="G31" s="3026"/>
      <c r="H31" s="3026"/>
      <c r="I31" s="3026"/>
      <c r="J31" s="3019">
        <f>Daginstitution!E110</f>
        <v>2025</v>
      </c>
      <c r="K31" s="3020"/>
      <c r="L31" s="3021"/>
      <c r="M31" s="3041">
        <f>Daginstitution!F110</f>
        <v>2026</v>
      </c>
      <c r="N31" s="3042"/>
    </row>
    <row r="32" spans="1:14" ht="16">
      <c r="A32" s="1967"/>
      <c r="B32" s="3027" t="s">
        <v>889</v>
      </c>
      <c r="C32" s="3028"/>
      <c r="D32" s="3028"/>
      <c r="E32" s="3028"/>
      <c r="F32" s="3028"/>
      <c r="G32" s="3028"/>
      <c r="H32" s="3028"/>
      <c r="I32" s="3028"/>
      <c r="J32" s="3022">
        <f>'Lon pæd., TAP mm'!BN56+'Lon pæd., TAP mm'!BN84+SUM('Lon pæd., TAP mm'!BM81:BN81)</f>
        <v>0</v>
      </c>
      <c r="K32" s="3023"/>
      <c r="L32" s="3024"/>
      <c r="M32" s="3043">
        <f>'Lon pæd., TAP mm'!BN57+'Lon pæd., TAP mm'!BN85+SUM('Lon pæd., TAP mm'!BM83:BN83)</f>
        <v>0</v>
      </c>
      <c r="N32" s="3044"/>
    </row>
    <row r="33" spans="1:14" ht="16">
      <c r="A33" s="1968"/>
      <c r="B33" s="3035" t="s">
        <v>890</v>
      </c>
      <c r="C33" s="3036"/>
      <c r="D33" s="3036"/>
      <c r="E33" s="3036"/>
      <c r="F33" s="3036"/>
      <c r="G33" s="3036"/>
      <c r="H33" s="3036"/>
      <c r="I33" s="3036"/>
      <c r="J33" s="3049">
        <f>'Lon pæd., TAP mm'!BN70</f>
        <v>0</v>
      </c>
      <c r="K33" s="3050"/>
      <c r="L33" s="3051"/>
      <c r="M33" s="3045">
        <f>SUM('Lon pæd., TAP mm'!BB69:BN69)</f>
        <v>0</v>
      </c>
      <c r="N33" s="3046"/>
    </row>
    <row r="34" spans="1:14" ht="16">
      <c r="A34" s="1968"/>
      <c r="B34" s="3037" t="s">
        <v>891</v>
      </c>
      <c r="C34" s="3038"/>
      <c r="D34" s="3038"/>
      <c r="E34" s="3038"/>
      <c r="F34" s="3038"/>
      <c r="G34" s="3038"/>
      <c r="H34" s="3038"/>
      <c r="I34" s="3038"/>
      <c r="J34" s="3052">
        <f>'Lon pæd., TAP mm'!BN89</f>
        <v>0</v>
      </c>
      <c r="K34" s="3053"/>
      <c r="L34" s="3054"/>
      <c r="M34" s="3047">
        <f>'Lon pæd., TAP mm'!BN93</f>
        <v>0</v>
      </c>
      <c r="N34" s="3048"/>
    </row>
    <row r="35" spans="1:14" ht="16">
      <c r="A35" s="1968"/>
      <c r="B35" s="3039" t="s">
        <v>859</v>
      </c>
      <c r="C35" s="3040"/>
      <c r="D35" s="3040"/>
      <c r="E35" s="3040"/>
      <c r="F35" s="3040"/>
      <c r="G35" s="3040"/>
      <c r="H35" s="3040"/>
      <c r="I35" s="3040"/>
      <c r="J35" s="2974"/>
      <c r="K35" s="2975"/>
      <c r="L35" s="2976"/>
      <c r="M35" s="2974"/>
      <c r="N35" s="2976"/>
    </row>
    <row r="36" spans="1:14" ht="16">
      <c r="A36" s="1968"/>
      <c r="B36" s="3039" t="s">
        <v>892</v>
      </c>
      <c r="C36" s="3040"/>
      <c r="D36" s="3040"/>
      <c r="E36" s="3040"/>
      <c r="F36" s="3040"/>
      <c r="G36" s="3040"/>
      <c r="H36" s="3040"/>
      <c r="I36" s="3040"/>
      <c r="J36" s="2974"/>
      <c r="K36" s="2975"/>
      <c r="L36" s="2976"/>
      <c r="M36" s="2974"/>
      <c r="N36" s="2976"/>
    </row>
    <row r="37" spans="1:14" ht="16">
      <c r="A37" s="1968"/>
      <c r="B37" s="3039" t="s">
        <v>861</v>
      </c>
      <c r="C37" s="3040"/>
      <c r="D37" s="3040"/>
      <c r="E37" s="3040"/>
      <c r="F37" s="3040"/>
      <c r="G37" s="3040"/>
      <c r="H37" s="3040"/>
      <c r="I37" s="3040"/>
      <c r="J37" s="2974"/>
      <c r="K37" s="2975"/>
      <c r="L37" s="2976"/>
      <c r="M37" s="2974"/>
      <c r="N37" s="2976"/>
    </row>
    <row r="38" spans="1:14" ht="16">
      <c r="A38" s="1968"/>
      <c r="B38" s="3039" t="s">
        <v>828</v>
      </c>
      <c r="C38" s="3040"/>
      <c r="D38" s="3040"/>
      <c r="E38" s="3040"/>
      <c r="F38" s="3040"/>
      <c r="G38" s="3040"/>
      <c r="H38" s="3040"/>
      <c r="I38" s="3040"/>
      <c r="J38" s="2974"/>
      <c r="K38" s="2975"/>
      <c r="L38" s="2976"/>
      <c r="M38" s="2974"/>
      <c r="N38" s="2976"/>
    </row>
    <row r="39" spans="1:14" ht="16">
      <c r="A39" s="1968"/>
      <c r="B39" s="3039" t="s">
        <v>832</v>
      </c>
      <c r="C39" s="3040"/>
      <c r="D39" s="3040"/>
      <c r="E39" s="3040"/>
      <c r="F39" s="3040"/>
      <c r="G39" s="3040"/>
      <c r="H39" s="3040"/>
      <c r="I39" s="3040"/>
      <c r="J39" s="2974"/>
      <c r="K39" s="2975"/>
      <c r="L39" s="2976"/>
      <c r="M39" s="2974"/>
      <c r="N39" s="2976"/>
    </row>
    <row r="40" spans="1:14" ht="16">
      <c r="A40" s="1968"/>
      <c r="B40" s="3039" t="s">
        <v>893</v>
      </c>
      <c r="C40" s="3040"/>
      <c r="D40" s="3040"/>
      <c r="E40" s="3040"/>
      <c r="F40" s="3040"/>
      <c r="G40" s="3040"/>
      <c r="H40" s="3040"/>
      <c r="I40" s="3040"/>
      <c r="J40" s="2974"/>
      <c r="K40" s="2975"/>
      <c r="L40" s="2976"/>
      <c r="M40" s="2974"/>
      <c r="N40" s="2976"/>
    </row>
    <row r="41" spans="1:14" ht="16">
      <c r="A41" s="1968"/>
      <c r="B41" s="3039" t="s">
        <v>894</v>
      </c>
      <c r="C41" s="3040"/>
      <c r="D41" s="3040"/>
      <c r="E41" s="3040"/>
      <c r="F41" s="3040"/>
      <c r="G41" s="3040"/>
      <c r="H41" s="3040"/>
      <c r="I41" s="3040"/>
      <c r="J41" s="2974"/>
      <c r="K41" s="2975"/>
      <c r="L41" s="2976"/>
      <c r="M41" s="2974"/>
      <c r="N41" s="2976"/>
    </row>
    <row r="42" spans="1:14" ht="16">
      <c r="A42" s="1968"/>
      <c r="B42" s="3039" t="s">
        <v>895</v>
      </c>
      <c r="C42" s="3040"/>
      <c r="D42" s="3040"/>
      <c r="E42" s="3040"/>
      <c r="F42" s="3040"/>
      <c r="G42" s="3040"/>
      <c r="H42" s="3040"/>
      <c r="I42" s="3040"/>
      <c r="J42" s="2974"/>
      <c r="K42" s="2975"/>
      <c r="L42" s="2976"/>
      <c r="M42" s="2974"/>
      <c r="N42" s="2976"/>
    </row>
    <row r="43" spans="1:14" ht="16">
      <c r="A43" s="1968"/>
      <c r="B43" s="3039" t="s">
        <v>896</v>
      </c>
      <c r="C43" s="3040"/>
      <c r="D43" s="3040"/>
      <c r="E43" s="3040"/>
      <c r="F43" s="3040"/>
      <c r="G43" s="3040"/>
      <c r="H43" s="3040"/>
      <c r="I43" s="3040"/>
      <c r="J43" s="2974"/>
      <c r="K43" s="2975"/>
      <c r="L43" s="2976"/>
      <c r="M43" s="2974"/>
      <c r="N43" s="2976"/>
    </row>
    <row r="44" spans="1:14" ht="16">
      <c r="A44" s="1968"/>
      <c r="B44" s="3055" t="s">
        <v>897</v>
      </c>
      <c r="C44" s="3056"/>
      <c r="D44" s="3056"/>
      <c r="E44" s="3056"/>
      <c r="F44" s="3056"/>
      <c r="G44" s="3056"/>
      <c r="H44" s="3056"/>
      <c r="I44" s="3056"/>
      <c r="J44" s="2974"/>
      <c r="K44" s="2975"/>
      <c r="L44" s="2976"/>
      <c r="M44" s="2974"/>
      <c r="N44" s="2976"/>
    </row>
    <row r="45" spans="1:14" ht="17" thickBot="1">
      <c r="A45" s="1969"/>
      <c r="B45" s="2980"/>
      <c r="C45" s="2981"/>
      <c r="D45" s="2981"/>
      <c r="E45" s="2981"/>
      <c r="F45" s="2981"/>
      <c r="G45" s="2981"/>
      <c r="H45" s="2981"/>
      <c r="I45" s="2981"/>
      <c r="J45" s="2977"/>
      <c r="K45" s="2978"/>
      <c r="L45" s="2979"/>
      <c r="M45" s="2974"/>
      <c r="N45" s="2976"/>
    </row>
    <row r="46" spans="1:14" ht="17" thickBot="1">
      <c r="A46" s="2970" t="s">
        <v>898</v>
      </c>
      <c r="B46" s="2971"/>
      <c r="C46" s="2971"/>
      <c r="D46" s="2971"/>
      <c r="E46" s="2971"/>
      <c r="F46" s="2971"/>
      <c r="G46" s="2971"/>
      <c r="H46" s="2971"/>
      <c r="I46" s="2971"/>
      <c r="J46" s="2982">
        <f>SUM(J32:L45)</f>
        <v>0</v>
      </c>
      <c r="K46" s="2983"/>
      <c r="L46" s="2984"/>
      <c r="M46" s="2987">
        <f>SUM(M32:N45)</f>
        <v>0</v>
      </c>
      <c r="N46" s="2988"/>
    </row>
    <row r="47" spans="1:14" ht="21" thickBot="1">
      <c r="A47" s="2972" t="s">
        <v>899</v>
      </c>
      <c r="B47" s="2973"/>
      <c r="C47" s="2973"/>
      <c r="D47" s="2973"/>
      <c r="E47" s="2973"/>
      <c r="F47" s="2973"/>
      <c r="G47" s="2973"/>
      <c r="H47" s="2973"/>
      <c r="I47" s="2973"/>
      <c r="J47" s="2985">
        <f>M29-J46</f>
        <v>0</v>
      </c>
      <c r="K47" s="2989"/>
      <c r="L47" s="2986"/>
      <c r="M47" s="2985">
        <f>IF(M12&gt;0,'Skolepenge, pasningsordning.'!I99+'Skolepenge, pasningsordning.'!I114+'Skolepenge, pasningsordning.'!I117-'Heltids SFO'!M46,0)</f>
        <v>0</v>
      </c>
      <c r="N47" s="2986"/>
    </row>
  </sheetData>
  <sheetProtection sheet="1" objects="1" scenarios="1"/>
  <mergeCells count="75">
    <mergeCell ref="B41:I41"/>
    <mergeCell ref="B42:I42"/>
    <mergeCell ref="B43:I43"/>
    <mergeCell ref="B44:I44"/>
    <mergeCell ref="B36:I36"/>
    <mergeCell ref="B37:I37"/>
    <mergeCell ref="B38:I38"/>
    <mergeCell ref="B39:I39"/>
    <mergeCell ref="B40:I40"/>
    <mergeCell ref="B33:I33"/>
    <mergeCell ref="B34:I34"/>
    <mergeCell ref="B35:I35"/>
    <mergeCell ref="M35:N35"/>
    <mergeCell ref="M31:N31"/>
    <mergeCell ref="M32:N32"/>
    <mergeCell ref="M33:N33"/>
    <mergeCell ref="M34:N34"/>
    <mergeCell ref="J33:L33"/>
    <mergeCell ref="J34:L34"/>
    <mergeCell ref="J35:L35"/>
    <mergeCell ref="M29:N29"/>
    <mergeCell ref="A28:L28"/>
    <mergeCell ref="A29:L29"/>
    <mergeCell ref="M23:N23"/>
    <mergeCell ref="M24:N24"/>
    <mergeCell ref="M25:N25"/>
    <mergeCell ref="M26:N26"/>
    <mergeCell ref="M27:N27"/>
    <mergeCell ref="M28:N28"/>
    <mergeCell ref="A30:N30"/>
    <mergeCell ref="J31:L31"/>
    <mergeCell ref="J32:L32"/>
    <mergeCell ref="B31:I31"/>
    <mergeCell ref="B32:I32"/>
    <mergeCell ref="A2:N3"/>
    <mergeCell ref="A4:A5"/>
    <mergeCell ref="A12:L12"/>
    <mergeCell ref="A13:N14"/>
    <mergeCell ref="A21:N22"/>
    <mergeCell ref="M4:N4"/>
    <mergeCell ref="M15:N15"/>
    <mergeCell ref="M16:N16"/>
    <mergeCell ref="M17:N17"/>
    <mergeCell ref="M18:N18"/>
    <mergeCell ref="M19:N19"/>
    <mergeCell ref="M20:N20"/>
    <mergeCell ref="E4:L4"/>
    <mergeCell ref="A20:L20"/>
    <mergeCell ref="M36:N36"/>
    <mergeCell ref="M37:N37"/>
    <mergeCell ref="M38:N38"/>
    <mergeCell ref="M39:N39"/>
    <mergeCell ref="M40:N40"/>
    <mergeCell ref="J36:L36"/>
    <mergeCell ref="J37:L37"/>
    <mergeCell ref="J38:L38"/>
    <mergeCell ref="J39:L39"/>
    <mergeCell ref="J40:L40"/>
    <mergeCell ref="J41:L41"/>
    <mergeCell ref="J42:L42"/>
    <mergeCell ref="M47:N47"/>
    <mergeCell ref="M43:N43"/>
    <mergeCell ref="M44:N44"/>
    <mergeCell ref="M45:N45"/>
    <mergeCell ref="M46:N46"/>
    <mergeCell ref="J47:L47"/>
    <mergeCell ref="M42:N42"/>
    <mergeCell ref="M41:N41"/>
    <mergeCell ref="A46:I46"/>
    <mergeCell ref="A47:I47"/>
    <mergeCell ref="J43:L43"/>
    <mergeCell ref="J44:L44"/>
    <mergeCell ref="J45:L45"/>
    <mergeCell ref="B45:I45"/>
    <mergeCell ref="J46:L46"/>
  </mergeCells>
  <pageMargins left="0.7" right="0.7" top="0.75" bottom="0.75"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FFFF00"/>
  </sheetPr>
  <dimension ref="A1:AJ234"/>
  <sheetViews>
    <sheetView topLeftCell="A57" zoomScale="111" zoomScaleNormal="111" zoomScaleSheetLayoutView="100" workbookViewId="0">
      <selection activeCell="A82" sqref="A82"/>
    </sheetView>
  </sheetViews>
  <sheetFormatPr baseColWidth="10" defaultColWidth="10.83203125" defaultRowHeight="13"/>
  <cols>
    <col min="1" max="1" width="8.83203125" customWidth="1"/>
    <col min="2" max="2" width="20" customWidth="1"/>
    <col min="3" max="3" width="15.83203125" customWidth="1"/>
    <col min="4" max="4" width="15" customWidth="1"/>
    <col min="5" max="5" width="15.5" customWidth="1"/>
    <col min="6" max="6" width="6.5" customWidth="1"/>
    <col min="7" max="11" width="6.83203125" customWidth="1"/>
    <col min="12" max="13" width="10.5" customWidth="1"/>
    <col min="14" max="17" width="6.83203125" customWidth="1"/>
    <col min="18" max="18" width="7" customWidth="1"/>
    <col min="19" max="20" width="16" customWidth="1"/>
    <col min="21" max="21" width="16" style="358" hidden="1" customWidth="1"/>
    <col min="22" max="22" width="17.5" style="2374" hidden="1" customWidth="1"/>
    <col min="23" max="23" width="12.5" customWidth="1"/>
    <col min="24" max="24" width="16.1640625" customWidth="1"/>
    <col min="26" max="26" width="4.5" customWidth="1"/>
  </cols>
  <sheetData>
    <row r="1" spans="1:36" s="99" customFormat="1" ht="27" customHeight="1" thickBot="1">
      <c r="A1" s="948"/>
      <c r="B1" s="948"/>
      <c r="C1" s="948"/>
      <c r="D1" s="948"/>
      <c r="E1" s="948"/>
      <c r="F1" s="948"/>
      <c r="G1" s="948"/>
      <c r="H1" s="948"/>
      <c r="I1" s="948"/>
      <c r="J1" s="948"/>
      <c r="K1" s="948"/>
      <c r="L1" s="948"/>
      <c r="M1" s="948"/>
      <c r="N1" s="948"/>
      <c r="O1" s="948"/>
      <c r="P1" s="948"/>
      <c r="Q1" s="948"/>
      <c r="R1" s="948"/>
      <c r="S1" s="948"/>
      <c r="T1" s="948"/>
      <c r="U1" s="358"/>
      <c r="V1" s="2374"/>
      <c r="W1"/>
      <c r="X1"/>
      <c r="Y1"/>
      <c r="Z1"/>
      <c r="AA1"/>
      <c r="AB1"/>
      <c r="AC1"/>
      <c r="AD1"/>
      <c r="AE1"/>
      <c r="AF1"/>
      <c r="AG1"/>
      <c r="AH1"/>
      <c r="AI1"/>
      <c r="AJ1"/>
    </row>
    <row r="2" spans="1:36" ht="38" customHeight="1" thickBot="1">
      <c r="A2" s="3155" t="str">
        <f>"Børnehaveindtægter " &amp; budgetår</f>
        <v>Børnehaveindtægter 2025</v>
      </c>
      <c r="B2" s="3156"/>
      <c r="C2" s="3156"/>
      <c r="D2" s="3156"/>
      <c r="E2" s="3156"/>
      <c r="F2" s="3156"/>
      <c r="G2" s="3156"/>
      <c r="H2" s="3156"/>
      <c r="I2" s="3156"/>
      <c r="J2" s="3156"/>
      <c r="K2" s="3156"/>
      <c r="L2" s="3156"/>
      <c r="M2" s="3156"/>
      <c r="N2" s="3156"/>
      <c r="O2" s="3156"/>
      <c r="P2" s="3156"/>
      <c r="Q2" s="3156"/>
      <c r="R2" s="3156"/>
      <c r="S2" s="3156"/>
      <c r="T2" s="3157"/>
    </row>
    <row r="3" spans="1:36" s="5" customFormat="1" ht="34" customHeight="1">
      <c r="A3" s="3164" t="s">
        <v>900</v>
      </c>
      <c r="B3" s="3165"/>
      <c r="C3" s="3165"/>
      <c r="D3" s="3165"/>
      <c r="E3" s="1970"/>
      <c r="F3" s="3166" t="s">
        <v>901</v>
      </c>
      <c r="G3" s="3166"/>
      <c r="H3" s="3166"/>
      <c r="I3" s="3166"/>
      <c r="J3" s="3166"/>
      <c r="K3" s="3166"/>
      <c r="L3" s="3166"/>
      <c r="M3" s="3166"/>
      <c r="N3" s="3166"/>
      <c r="O3" s="3166"/>
      <c r="P3" s="3166"/>
      <c r="Q3" s="3166"/>
      <c r="R3" s="3166"/>
      <c r="S3" s="3166"/>
      <c r="T3" s="1971"/>
      <c r="U3" s="2367"/>
      <c r="V3" s="2375"/>
    </row>
    <row r="4" spans="1:36" s="5" customFormat="1" ht="34" customHeight="1" thickBot="1">
      <c r="A4" s="3167" t="s">
        <v>902</v>
      </c>
      <c r="B4" s="3168"/>
      <c r="C4" s="3168"/>
      <c r="D4" s="3168"/>
      <c r="E4" s="1972"/>
      <c r="F4" s="3169" t="s">
        <v>903</v>
      </c>
      <c r="G4" s="3169"/>
      <c r="H4" s="3169"/>
      <c r="I4" s="3169"/>
      <c r="J4" s="3169"/>
      <c r="K4" s="3169"/>
      <c r="L4" s="3169"/>
      <c r="M4" s="3169"/>
      <c r="N4" s="3169"/>
      <c r="O4" s="3169"/>
      <c r="P4" s="3169"/>
      <c r="Q4" s="3169"/>
      <c r="R4" s="3169"/>
      <c r="S4" s="3169"/>
      <c r="T4" s="1973"/>
      <c r="U4" s="2367"/>
      <c r="V4" s="2375"/>
    </row>
    <row r="5" spans="1:36" s="5" customFormat="1" ht="28" customHeight="1" thickBot="1">
      <c r="A5" s="3158" t="str">
        <f>"Børnehave indtægter januar til december " &amp; budgetår</f>
        <v>Børnehave indtægter januar til december 2025</v>
      </c>
      <c r="B5" s="3159"/>
      <c r="C5" s="3159"/>
      <c r="D5" s="3159"/>
      <c r="E5" s="3159"/>
      <c r="F5" s="3159"/>
      <c r="G5" s="3159"/>
      <c r="H5" s="3159"/>
      <c r="I5" s="3159"/>
      <c r="J5" s="3159"/>
      <c r="K5" s="3159"/>
      <c r="L5" s="3159"/>
      <c r="M5" s="3159"/>
      <c r="N5" s="3159"/>
      <c r="O5" s="3159"/>
      <c r="P5" s="3159"/>
      <c r="Q5" s="3159"/>
      <c r="R5" s="3159"/>
      <c r="S5" s="3159"/>
      <c r="T5" s="3160"/>
      <c r="U5" s="2367"/>
      <c r="V5" s="2375"/>
    </row>
    <row r="6" spans="1:36" s="21" customFormat="1" ht="25" customHeight="1" thickBot="1">
      <c r="A6" s="734"/>
      <c r="B6" s="1974" t="s">
        <v>865</v>
      </c>
      <c r="C6" s="3068" t="s">
        <v>866</v>
      </c>
      <c r="D6" s="3069"/>
      <c r="E6" s="3070"/>
      <c r="F6" s="3059" t="s">
        <v>904</v>
      </c>
      <c r="G6" s="3060"/>
      <c r="H6" s="3060"/>
      <c r="I6" s="3060"/>
      <c r="J6" s="3060"/>
      <c r="K6" s="3060"/>
      <c r="L6" s="3060"/>
      <c r="M6" s="3060"/>
      <c r="N6" s="3060"/>
      <c r="O6" s="3060"/>
      <c r="P6" s="3060"/>
      <c r="Q6" s="3060"/>
      <c r="R6" s="3061"/>
      <c r="S6" s="3059" t="s">
        <v>868</v>
      </c>
      <c r="T6" s="3061"/>
      <c r="U6" s="2368"/>
      <c r="V6" s="2376"/>
      <c r="W6" s="417"/>
      <c r="X6" s="417"/>
      <c r="Y6" s="417"/>
      <c r="Z6" s="417"/>
      <c r="AA6" s="417"/>
      <c r="AB6" s="417"/>
      <c r="AC6" s="417"/>
      <c r="AD6" s="417"/>
      <c r="AE6" s="417"/>
      <c r="AF6" s="417"/>
      <c r="AG6" s="417"/>
      <c r="AH6" s="417"/>
      <c r="AI6" s="853"/>
      <c r="AJ6" s="853"/>
    </row>
    <row r="7" spans="1:36" s="21" customFormat="1" ht="25" customHeight="1" thickBot="1">
      <c r="A7" s="734"/>
      <c r="B7" s="1975" t="s">
        <v>386</v>
      </c>
      <c r="C7" s="3057" t="s">
        <v>386</v>
      </c>
      <c r="D7" s="3057"/>
      <c r="E7" s="3057"/>
      <c r="F7" s="3062"/>
      <c r="G7" s="3063"/>
      <c r="H7" s="3063"/>
      <c r="I7" s="3063"/>
      <c r="J7" s="3063"/>
      <c r="K7" s="3063"/>
      <c r="L7" s="3063"/>
      <c r="M7" s="3063"/>
      <c r="N7" s="3063"/>
      <c r="O7" s="3063"/>
      <c r="P7" s="3063"/>
      <c r="Q7" s="3063"/>
      <c r="R7" s="3064"/>
      <c r="S7" s="3062"/>
      <c r="T7" s="3064"/>
      <c r="U7" s="2368"/>
      <c r="V7" s="2376"/>
      <c r="W7" s="417"/>
      <c r="X7" s="417"/>
      <c r="Y7" s="417"/>
      <c r="Z7" s="417"/>
      <c r="AA7" s="417"/>
      <c r="AB7" s="417"/>
      <c r="AC7" s="417"/>
      <c r="AD7" s="417"/>
      <c r="AE7" s="417"/>
      <c r="AF7" s="417"/>
      <c r="AG7" s="417"/>
      <c r="AH7" s="417"/>
      <c r="AI7" s="853"/>
      <c r="AJ7" s="853"/>
    </row>
    <row r="8" spans="1:36" s="21" customFormat="1" ht="25" customHeight="1" thickBot="1">
      <c r="A8" s="734"/>
      <c r="B8" s="1976"/>
      <c r="C8" s="3058"/>
      <c r="D8" s="3058"/>
      <c r="E8" s="3058"/>
      <c r="F8" s="3065"/>
      <c r="G8" s="3066"/>
      <c r="H8" s="3066"/>
      <c r="I8" s="3066"/>
      <c r="J8" s="3066"/>
      <c r="K8" s="3066"/>
      <c r="L8" s="3066"/>
      <c r="M8" s="3066"/>
      <c r="N8" s="3066"/>
      <c r="O8" s="3066"/>
      <c r="P8" s="3066"/>
      <c r="Q8" s="3066"/>
      <c r="R8" s="3067"/>
      <c r="S8" s="3065"/>
      <c r="T8" s="3067"/>
      <c r="U8" s="2368"/>
      <c r="V8" s="2376"/>
      <c r="W8" s="417"/>
      <c r="X8" s="417"/>
      <c r="Y8" s="417"/>
      <c r="Z8" s="417"/>
      <c r="AA8" s="417"/>
      <c r="AB8" s="417"/>
      <c r="AC8" s="417"/>
      <c r="AD8" s="417"/>
      <c r="AE8" s="417"/>
      <c r="AF8" s="417"/>
      <c r="AG8" s="417"/>
      <c r="AH8" s="417"/>
      <c r="AI8" s="853"/>
      <c r="AJ8" s="853"/>
    </row>
    <row r="9" spans="1:36" s="22" customFormat="1" ht="63" customHeight="1" thickBot="1">
      <c r="A9" s="1977" t="s">
        <v>869</v>
      </c>
      <c r="B9" s="532" t="s">
        <v>905</v>
      </c>
      <c r="C9" s="532" t="s">
        <v>906</v>
      </c>
      <c r="D9" s="1978" t="s">
        <v>907</v>
      </c>
      <c r="E9" s="1979" t="s">
        <v>908</v>
      </c>
      <c r="F9" s="949" t="s">
        <v>871</v>
      </c>
      <c r="G9" s="1980" t="s">
        <v>872</v>
      </c>
      <c r="H9" s="1980" t="s">
        <v>873</v>
      </c>
      <c r="I9" s="1980" t="s">
        <v>874</v>
      </c>
      <c r="J9" s="1980" t="s">
        <v>875</v>
      </c>
      <c r="K9" s="1980" t="s">
        <v>876</v>
      </c>
      <c r="L9" s="1980" t="s">
        <v>877</v>
      </c>
      <c r="M9" s="1980" t="s">
        <v>878</v>
      </c>
      <c r="N9" s="1980" t="s">
        <v>909</v>
      </c>
      <c r="O9" s="1980" t="s">
        <v>910</v>
      </c>
      <c r="P9" s="1980" t="s">
        <v>911</v>
      </c>
      <c r="Q9" s="1980" t="s">
        <v>912</v>
      </c>
      <c r="R9" s="1981" t="s">
        <v>913</v>
      </c>
      <c r="S9" s="1982" t="s">
        <v>879</v>
      </c>
      <c r="T9" s="1981" t="s">
        <v>880</v>
      </c>
      <c r="U9" s="2369"/>
      <c r="V9" s="2377"/>
      <c r="W9" s="418"/>
      <c r="X9" s="418"/>
      <c r="Y9" s="418"/>
      <c r="Z9" s="418"/>
      <c r="AA9" s="418"/>
      <c r="AB9" s="418"/>
      <c r="AC9" s="418"/>
      <c r="AD9" s="418"/>
      <c r="AE9" s="418"/>
      <c r="AF9" s="418"/>
      <c r="AG9" s="418"/>
      <c r="AH9" s="418"/>
      <c r="AI9" s="418"/>
    </row>
    <row r="10" spans="1:36" s="22" customFormat="1" ht="20" customHeight="1" thickBot="1">
      <c r="A10" s="3237" t="s">
        <v>1572</v>
      </c>
      <c r="B10" s="3238"/>
      <c r="C10" s="3238"/>
      <c r="D10" s="3238"/>
      <c r="E10" s="3238"/>
      <c r="F10" s="3238"/>
      <c r="G10" s="3238"/>
      <c r="H10" s="3238"/>
      <c r="I10" s="3238"/>
      <c r="J10" s="3238"/>
      <c r="K10" s="3238"/>
      <c r="L10" s="3238"/>
      <c r="M10" s="3238"/>
      <c r="N10" s="3238"/>
      <c r="O10" s="3238"/>
      <c r="P10" s="3238"/>
      <c r="Q10" s="3238"/>
      <c r="R10" s="3238"/>
      <c r="S10" s="3238"/>
      <c r="T10" s="3239"/>
      <c r="U10" s="2369"/>
      <c r="V10" s="2377"/>
      <c r="W10" s="418"/>
      <c r="X10" s="418"/>
      <c r="Y10" s="418"/>
      <c r="Z10" s="418"/>
      <c r="AA10" s="418"/>
      <c r="AB10" s="418"/>
      <c r="AC10" s="418"/>
      <c r="AD10" s="418"/>
      <c r="AE10" s="418"/>
      <c r="AF10" s="418"/>
      <c r="AG10" s="418"/>
      <c r="AH10" s="418"/>
      <c r="AI10" s="418"/>
    </row>
    <row r="11" spans="1:36" s="5" customFormat="1" ht="14" customHeight="1">
      <c r="A11" s="536" t="s">
        <v>402</v>
      </c>
      <c r="B11" s="1983"/>
      <c r="C11" s="1984"/>
      <c r="D11" s="1985"/>
      <c r="E11" s="1986"/>
      <c r="F11" s="1984"/>
      <c r="G11" s="1987"/>
      <c r="H11" s="1987"/>
      <c r="I11" s="1987"/>
      <c r="J11" s="1987"/>
      <c r="K11" s="1987"/>
      <c r="L11" s="1987"/>
      <c r="M11" s="1987"/>
      <c r="N11" s="1987"/>
      <c r="O11" s="1987"/>
      <c r="P11" s="1987"/>
      <c r="Q11" s="1987"/>
      <c r="R11" s="1988"/>
      <c r="S11" s="1989">
        <f t="shared" ref="S11:S18" si="0">SUM(F11:R11)*B11-(M11*B11)</f>
        <v>0</v>
      </c>
      <c r="T11" s="1990" cm="1">
        <f t="array" ref="T11">SUM(F11:R11)*SUM(C11:E11)-SUM(C11:E11*L11)</f>
        <v>0</v>
      </c>
      <c r="U11" s="540">
        <f>SUM(F11:R18)</f>
        <v>0</v>
      </c>
      <c r="V11" s="2378"/>
      <c r="W11" s="419"/>
      <c r="X11" s="419"/>
      <c r="Y11" s="419"/>
      <c r="Z11" s="419"/>
      <c r="AA11" s="419"/>
      <c r="AB11" s="419"/>
      <c r="AC11" s="419"/>
      <c r="AD11" s="419"/>
      <c r="AE11" s="419"/>
      <c r="AF11" s="419"/>
      <c r="AG11" s="419"/>
      <c r="AH11" s="419"/>
      <c r="AI11" s="419"/>
    </row>
    <row r="12" spans="1:36" s="5" customFormat="1" ht="14" customHeight="1">
      <c r="A12" s="866" t="s">
        <v>403</v>
      </c>
      <c r="B12" s="1991"/>
      <c r="C12" s="1947"/>
      <c r="D12" s="1985"/>
      <c r="E12" s="1986"/>
      <c r="F12" s="1984"/>
      <c r="G12" s="1987"/>
      <c r="H12" s="1987"/>
      <c r="I12" s="1987"/>
      <c r="J12" s="1987"/>
      <c r="K12" s="1987"/>
      <c r="L12" s="1987"/>
      <c r="M12" s="1987"/>
      <c r="N12" s="1987"/>
      <c r="O12" s="1987"/>
      <c r="P12" s="1987"/>
      <c r="Q12" s="1987"/>
      <c r="R12" s="1988"/>
      <c r="S12" s="1989">
        <f t="shared" si="0"/>
        <v>0</v>
      </c>
      <c r="T12" s="1990" cm="1">
        <f t="array" ref="T12">SUM(F12:R12)*SUM(C12:E12)-SUM(C12:E12*L12)</f>
        <v>0</v>
      </c>
      <c r="U12" s="540">
        <f>SUM(L11:L18)</f>
        <v>0</v>
      </c>
      <c r="V12" s="2378"/>
      <c r="W12" s="419"/>
      <c r="X12" s="419"/>
      <c r="Y12" s="419"/>
      <c r="Z12" s="419"/>
      <c r="AA12" s="419"/>
      <c r="AB12" s="419"/>
      <c r="AC12" s="419"/>
      <c r="AD12" s="419"/>
      <c r="AE12" s="419"/>
      <c r="AF12" s="419"/>
      <c r="AG12" s="419"/>
      <c r="AH12" s="419"/>
      <c r="AI12" s="419"/>
    </row>
    <row r="13" spans="1:36" s="5" customFormat="1" ht="14" customHeight="1">
      <c r="A13" s="866" t="s">
        <v>404</v>
      </c>
      <c r="B13" s="1991"/>
      <c r="C13" s="1947"/>
      <c r="D13" s="1985"/>
      <c r="E13" s="1986"/>
      <c r="F13" s="1984"/>
      <c r="G13" s="1987"/>
      <c r="H13" s="1987"/>
      <c r="I13" s="1987"/>
      <c r="J13" s="1987"/>
      <c r="K13" s="1987"/>
      <c r="L13" s="1987"/>
      <c r="M13" s="1987"/>
      <c r="N13" s="1987"/>
      <c r="O13" s="1987"/>
      <c r="P13" s="1987"/>
      <c r="Q13" s="1987"/>
      <c r="R13" s="1988"/>
      <c r="S13" s="1989">
        <f t="shared" si="0"/>
        <v>0</v>
      </c>
      <c r="T13" s="1990" cm="1">
        <f t="array" ref="T13">SUM(F13:R13)*SUM(C13:E13)-SUM(C13:E13*L13)</f>
        <v>0</v>
      </c>
      <c r="U13" s="540">
        <f>U11-U12</f>
        <v>0</v>
      </c>
      <c r="V13" s="2378"/>
      <c r="W13" s="419"/>
      <c r="X13" s="419"/>
      <c r="Y13" s="419"/>
      <c r="Z13" s="419"/>
      <c r="AA13" s="419"/>
      <c r="AB13" s="419"/>
      <c r="AC13" s="419"/>
      <c r="AD13" s="419"/>
      <c r="AE13" s="419"/>
      <c r="AF13" s="419"/>
      <c r="AG13" s="419"/>
      <c r="AH13" s="419"/>
      <c r="AI13" s="419"/>
    </row>
    <row r="14" spans="1:36" s="5" customFormat="1" ht="14" customHeight="1">
      <c r="A14" s="866" t="s">
        <v>405</v>
      </c>
      <c r="B14" s="1991"/>
      <c r="C14" s="1947"/>
      <c r="D14" s="1985"/>
      <c r="E14" s="1986"/>
      <c r="F14" s="1984"/>
      <c r="G14" s="1987"/>
      <c r="H14" s="1987"/>
      <c r="I14" s="1987"/>
      <c r="J14" s="1987"/>
      <c r="K14" s="1987"/>
      <c r="L14" s="1987"/>
      <c r="M14" s="1987"/>
      <c r="N14" s="1987"/>
      <c r="O14" s="1987"/>
      <c r="P14" s="1987"/>
      <c r="Q14" s="1987"/>
      <c r="R14" s="1988"/>
      <c r="S14" s="1989">
        <f t="shared" si="0"/>
        <v>0</v>
      </c>
      <c r="T14" s="1990" cm="1">
        <f t="array" ref="T14">SUM(F14:R14)*SUM(C14:E14)-SUM(C14:E14*L14)</f>
        <v>0</v>
      </c>
      <c r="U14" s="540">
        <f>IF($T$3&gt;0,U13/$T$3,0)</f>
        <v>0</v>
      </c>
      <c r="V14" s="2378">
        <f>U14*0.5</f>
        <v>0</v>
      </c>
      <c r="W14" s="419"/>
      <c r="X14" s="419"/>
      <c r="Y14" s="419"/>
      <c r="Z14" s="419"/>
      <c r="AA14" s="419"/>
      <c r="AB14" s="419"/>
      <c r="AC14" s="419"/>
      <c r="AD14" s="419"/>
      <c r="AE14" s="419"/>
      <c r="AF14" s="419"/>
      <c r="AG14" s="419"/>
      <c r="AH14" s="419"/>
      <c r="AI14" s="419"/>
    </row>
    <row r="15" spans="1:36" s="5" customFormat="1" ht="14" customHeight="1">
      <c r="A15" s="866" t="s">
        <v>406</v>
      </c>
      <c r="B15" s="1991"/>
      <c r="C15" s="1947"/>
      <c r="D15" s="1985"/>
      <c r="E15" s="1986"/>
      <c r="F15" s="1984"/>
      <c r="G15" s="1987"/>
      <c r="H15" s="1987"/>
      <c r="I15" s="1987"/>
      <c r="J15" s="1987"/>
      <c r="K15" s="1987"/>
      <c r="L15" s="1987"/>
      <c r="M15" s="1987"/>
      <c r="N15" s="1987"/>
      <c r="O15" s="1987"/>
      <c r="P15" s="1987"/>
      <c r="Q15" s="1987"/>
      <c r="R15" s="1988"/>
      <c r="S15" s="1989">
        <f t="shared" si="0"/>
        <v>0</v>
      </c>
      <c r="T15" s="1990" cm="1">
        <f t="array" ref="T15">SUM(F15:R15)*SUM(C15:E15)-SUM(C15:E15*L15)</f>
        <v>0</v>
      </c>
      <c r="U15" s="540"/>
      <c r="V15" s="2378"/>
      <c r="W15" s="419"/>
      <c r="X15" s="419"/>
      <c r="Y15" s="419"/>
      <c r="Z15" s="419"/>
      <c r="AA15" s="419"/>
      <c r="AB15" s="419"/>
      <c r="AC15" s="419"/>
      <c r="AD15" s="419"/>
      <c r="AE15" s="419"/>
      <c r="AF15" s="419"/>
      <c r="AG15" s="419"/>
      <c r="AH15" s="419"/>
      <c r="AI15" s="419"/>
    </row>
    <row r="16" spans="1:36" s="5" customFormat="1" ht="14" customHeight="1">
      <c r="A16" s="866" t="s">
        <v>407</v>
      </c>
      <c r="B16" s="1991"/>
      <c r="C16" s="1947"/>
      <c r="D16" s="1985"/>
      <c r="E16" s="1986"/>
      <c r="F16" s="1984"/>
      <c r="G16" s="1987"/>
      <c r="H16" s="1987"/>
      <c r="I16" s="1987"/>
      <c r="J16" s="1987"/>
      <c r="K16" s="1987"/>
      <c r="L16" s="1987"/>
      <c r="M16" s="1987"/>
      <c r="N16" s="1987"/>
      <c r="O16" s="1987"/>
      <c r="P16" s="1987"/>
      <c r="Q16" s="1987"/>
      <c r="R16" s="1988"/>
      <c r="S16" s="1989">
        <f t="shared" si="0"/>
        <v>0</v>
      </c>
      <c r="T16" s="1990" cm="1">
        <f t="array" ref="T16">SUM(F16:R16)*SUM(C16:E16)-SUM(C16:E16*L16)</f>
        <v>0</v>
      </c>
      <c r="U16" s="540"/>
      <c r="V16" s="2378"/>
      <c r="W16" s="419"/>
      <c r="X16" s="419"/>
      <c r="Y16" s="419"/>
      <c r="Z16" s="419"/>
      <c r="AA16" s="419"/>
      <c r="AB16" s="419"/>
      <c r="AC16" s="419"/>
      <c r="AD16" s="419"/>
      <c r="AE16" s="419"/>
      <c r="AF16" s="419"/>
      <c r="AG16" s="419"/>
      <c r="AH16" s="419"/>
      <c r="AI16" s="419"/>
    </row>
    <row r="17" spans="1:35" s="5" customFormat="1" ht="14" customHeight="1">
      <c r="A17" s="866" t="s">
        <v>408</v>
      </c>
      <c r="B17" s="1991"/>
      <c r="C17" s="1947"/>
      <c r="D17" s="1985"/>
      <c r="E17" s="1986"/>
      <c r="F17" s="1984"/>
      <c r="G17" s="1987"/>
      <c r="H17" s="1987"/>
      <c r="I17" s="1987"/>
      <c r="J17" s="1987"/>
      <c r="K17" s="1987"/>
      <c r="L17" s="1987"/>
      <c r="M17" s="1987"/>
      <c r="N17" s="1987"/>
      <c r="O17" s="1987"/>
      <c r="P17" s="1987"/>
      <c r="Q17" s="1987"/>
      <c r="R17" s="1988"/>
      <c r="S17" s="1989">
        <f t="shared" si="0"/>
        <v>0</v>
      </c>
      <c r="T17" s="1990" cm="1">
        <f t="array" ref="T17">SUM(F17:R17)*SUM(C17:E17)-SUM(C17:E17*L17)</f>
        <v>0</v>
      </c>
      <c r="U17" s="540"/>
      <c r="V17" s="2378"/>
      <c r="W17" s="419"/>
      <c r="X17" s="419"/>
      <c r="Y17" s="419"/>
      <c r="Z17" s="419"/>
      <c r="AA17" s="419"/>
      <c r="AB17" s="419"/>
      <c r="AC17" s="419"/>
      <c r="AD17" s="419"/>
      <c r="AE17" s="419"/>
      <c r="AF17" s="419"/>
      <c r="AG17" s="419"/>
      <c r="AH17" s="419"/>
      <c r="AI17" s="419"/>
    </row>
    <row r="18" spans="1:35" s="5" customFormat="1" ht="14" customHeight="1" thickBot="1">
      <c r="A18" s="866" t="s">
        <v>409</v>
      </c>
      <c r="B18" s="1991"/>
      <c r="C18" s="1947"/>
      <c r="D18" s="1985"/>
      <c r="E18" s="1986"/>
      <c r="F18" s="1984"/>
      <c r="G18" s="1987"/>
      <c r="H18" s="1987"/>
      <c r="I18" s="1987"/>
      <c r="J18" s="1987"/>
      <c r="K18" s="1987"/>
      <c r="L18" s="1987"/>
      <c r="M18" s="1987"/>
      <c r="N18" s="1987"/>
      <c r="O18" s="1987"/>
      <c r="P18" s="1987"/>
      <c r="Q18" s="1987"/>
      <c r="R18" s="1988"/>
      <c r="S18" s="1989">
        <f t="shared" si="0"/>
        <v>0</v>
      </c>
      <c r="T18" s="1990" cm="1">
        <f t="array" ref="T18">SUM(F18:R18)*SUM(C18:E18)-SUM(C18:E18*L18)</f>
        <v>0</v>
      </c>
      <c r="U18" s="540"/>
      <c r="V18" s="2378"/>
      <c r="W18" s="419"/>
      <c r="X18" s="419"/>
      <c r="Y18" s="419"/>
      <c r="Z18" s="419"/>
      <c r="AA18" s="419"/>
      <c r="AB18" s="419"/>
      <c r="AC18" s="419"/>
      <c r="AD18" s="419"/>
      <c r="AE18" s="419"/>
      <c r="AF18" s="419"/>
      <c r="AG18" s="419"/>
      <c r="AH18" s="419"/>
      <c r="AI18" s="419"/>
    </row>
    <row r="19" spans="1:35" s="22" customFormat="1" ht="20" customHeight="1" thickBot="1">
      <c r="A19" s="3237" t="s">
        <v>1571</v>
      </c>
      <c r="B19" s="3238"/>
      <c r="C19" s="3238"/>
      <c r="D19" s="3238"/>
      <c r="E19" s="3238"/>
      <c r="F19" s="3238"/>
      <c r="G19" s="3238"/>
      <c r="H19" s="3238"/>
      <c r="I19" s="3238"/>
      <c r="J19" s="3238"/>
      <c r="K19" s="3238"/>
      <c r="L19" s="3238"/>
      <c r="M19" s="3238"/>
      <c r="N19" s="3238"/>
      <c r="O19" s="3238"/>
      <c r="P19" s="3238"/>
      <c r="Q19" s="3238"/>
      <c r="R19" s="3238"/>
      <c r="S19" s="3238"/>
      <c r="T19" s="3239"/>
      <c r="U19" s="2369"/>
      <c r="V19" s="2377"/>
      <c r="W19" s="418"/>
      <c r="X19" s="418"/>
      <c r="Y19" s="418"/>
      <c r="Z19" s="418"/>
      <c r="AA19" s="418"/>
      <c r="AB19" s="418"/>
      <c r="AC19" s="418"/>
      <c r="AD19" s="418"/>
      <c r="AE19" s="418"/>
      <c r="AF19" s="418"/>
      <c r="AG19" s="418"/>
      <c r="AH19" s="418"/>
      <c r="AI19" s="418"/>
    </row>
    <row r="20" spans="1:35" s="5" customFormat="1" ht="14" customHeight="1">
      <c r="A20" s="536" t="s">
        <v>402</v>
      </c>
      <c r="B20" s="1991"/>
      <c r="C20" s="1947"/>
      <c r="D20" s="1985"/>
      <c r="E20" s="1986"/>
      <c r="F20" s="1984"/>
      <c r="G20" s="1987"/>
      <c r="H20" s="1987"/>
      <c r="I20" s="1987"/>
      <c r="J20" s="1987"/>
      <c r="K20" s="1987"/>
      <c r="L20" s="1987"/>
      <c r="M20" s="1987"/>
      <c r="N20" s="1987"/>
      <c r="O20" s="1987"/>
      <c r="P20" s="1987"/>
      <c r="Q20" s="1987"/>
      <c r="R20" s="1987"/>
      <c r="S20" s="1989">
        <f t="shared" ref="S20:S27" si="1">SUM(F20:R20)*B20-(M20*B20)</f>
        <v>0</v>
      </c>
      <c r="T20" s="1990" cm="1">
        <f t="array" ref="T20">SUM(F20:R20)*SUM(C20:E20)-SUM(C20:E20*L20)</f>
        <v>0</v>
      </c>
      <c r="U20" s="540">
        <f>SUM(F20:R27)</f>
        <v>0</v>
      </c>
      <c r="V20" s="2378"/>
      <c r="W20" s="419"/>
      <c r="X20" s="419"/>
      <c r="Y20" s="419"/>
      <c r="Z20" s="419"/>
      <c r="AA20" s="419"/>
      <c r="AB20" s="419"/>
      <c r="AC20" s="419"/>
      <c r="AD20" s="419"/>
      <c r="AE20" s="419"/>
      <c r="AF20" s="419"/>
      <c r="AG20" s="419"/>
      <c r="AH20" s="419"/>
      <c r="AI20" s="419"/>
    </row>
    <row r="21" spans="1:35" s="5" customFormat="1" ht="14" customHeight="1">
      <c r="A21" s="866" t="s">
        <v>403</v>
      </c>
      <c r="B21" s="1991"/>
      <c r="C21" s="1947"/>
      <c r="D21" s="1985"/>
      <c r="E21" s="1986"/>
      <c r="F21" s="1984"/>
      <c r="G21" s="1987"/>
      <c r="H21" s="1987"/>
      <c r="I21" s="1987"/>
      <c r="J21" s="1987"/>
      <c r="K21" s="1987"/>
      <c r="L21" s="1987"/>
      <c r="M21" s="1987"/>
      <c r="N21" s="1987"/>
      <c r="O21" s="1987"/>
      <c r="P21" s="1987"/>
      <c r="Q21" s="1987"/>
      <c r="R21" s="1988"/>
      <c r="S21" s="1989">
        <f t="shared" si="1"/>
        <v>0</v>
      </c>
      <c r="T21" s="1990" cm="1">
        <f t="array" ref="T21">SUM(F21:R21)*SUM(C21:E21)-SUM(C21:E21*L21)</f>
        <v>0</v>
      </c>
      <c r="U21" s="540">
        <f>SUM(L20:L27)</f>
        <v>0</v>
      </c>
      <c r="V21" s="2378"/>
      <c r="W21" s="419"/>
      <c r="X21" s="419"/>
      <c r="Y21" s="419"/>
      <c r="Z21" s="419"/>
      <c r="AA21" s="419"/>
      <c r="AB21" s="419"/>
      <c r="AC21" s="419"/>
      <c r="AD21" s="419"/>
      <c r="AE21" s="419"/>
      <c r="AF21" s="419"/>
      <c r="AG21" s="419"/>
      <c r="AH21" s="419"/>
      <c r="AI21" s="419"/>
    </row>
    <row r="22" spans="1:35" s="5" customFormat="1" ht="14" customHeight="1">
      <c r="A22" s="866" t="s">
        <v>404</v>
      </c>
      <c r="B22" s="1991"/>
      <c r="C22" s="1947"/>
      <c r="D22" s="1985"/>
      <c r="E22" s="1986"/>
      <c r="F22" s="1984"/>
      <c r="G22" s="1987"/>
      <c r="H22" s="1987"/>
      <c r="I22" s="1987"/>
      <c r="J22" s="1987"/>
      <c r="K22" s="1987"/>
      <c r="L22" s="1987"/>
      <c r="M22" s="1987"/>
      <c r="N22" s="1987"/>
      <c r="O22" s="1987"/>
      <c r="P22" s="1987"/>
      <c r="Q22" s="1987"/>
      <c r="R22" s="1988"/>
      <c r="S22" s="1989">
        <f t="shared" si="1"/>
        <v>0</v>
      </c>
      <c r="T22" s="1990" cm="1">
        <f t="array" ref="T22">SUM(F22:R22)*SUM(C22:E22)-SUM(C22:E22*L22)</f>
        <v>0</v>
      </c>
      <c r="U22" s="540">
        <f>U20-U21</f>
        <v>0</v>
      </c>
      <c r="V22" s="2378"/>
      <c r="W22" s="419"/>
      <c r="X22" s="419"/>
      <c r="Y22" s="419"/>
      <c r="Z22" s="419"/>
      <c r="AA22" s="419"/>
      <c r="AB22" s="419"/>
      <c r="AC22" s="419"/>
      <c r="AD22" s="419"/>
      <c r="AE22" s="419"/>
      <c r="AF22" s="419"/>
      <c r="AG22" s="419"/>
      <c r="AH22" s="419"/>
      <c r="AI22" s="419"/>
    </row>
    <row r="23" spans="1:35" s="5" customFormat="1" ht="14" customHeight="1">
      <c r="A23" s="866" t="s">
        <v>405</v>
      </c>
      <c r="B23" s="1991"/>
      <c r="C23" s="1947"/>
      <c r="D23" s="1985"/>
      <c r="E23" s="1986"/>
      <c r="F23" s="1984"/>
      <c r="G23" s="1987"/>
      <c r="H23" s="1987"/>
      <c r="I23" s="1987"/>
      <c r="J23" s="1987"/>
      <c r="K23" s="1987"/>
      <c r="L23" s="1987"/>
      <c r="M23" s="1987"/>
      <c r="N23" s="1987"/>
      <c r="O23" s="1987"/>
      <c r="P23" s="1987"/>
      <c r="Q23" s="1987"/>
      <c r="R23" s="1988"/>
      <c r="S23" s="1989">
        <f t="shared" si="1"/>
        <v>0</v>
      </c>
      <c r="T23" s="1990" cm="1">
        <f t="array" ref="T23">SUM(F23:R23)*SUM(C23:E23)-SUM(C23:E23*L23)</f>
        <v>0</v>
      </c>
      <c r="U23" s="540">
        <f>IF($T$3&gt;0,U22/$T$3,0)</f>
        <v>0</v>
      </c>
      <c r="V23" s="2378">
        <f>U23*0.75</f>
        <v>0</v>
      </c>
      <c r="W23" s="419"/>
      <c r="X23" s="419"/>
      <c r="Y23" s="419"/>
      <c r="Z23" s="419"/>
      <c r="AA23" s="419"/>
      <c r="AB23" s="419"/>
      <c r="AC23" s="419"/>
      <c r="AD23" s="419"/>
      <c r="AE23" s="419"/>
      <c r="AF23" s="419"/>
      <c r="AG23" s="419"/>
      <c r="AH23" s="419"/>
      <c r="AI23" s="419"/>
    </row>
    <row r="24" spans="1:35" s="5" customFormat="1" ht="14" customHeight="1">
      <c r="A24" s="866" t="s">
        <v>406</v>
      </c>
      <c r="B24" s="1983"/>
      <c r="C24" s="1984"/>
      <c r="D24" s="1985"/>
      <c r="E24" s="1986"/>
      <c r="F24" s="1984"/>
      <c r="G24" s="1987"/>
      <c r="H24" s="1987"/>
      <c r="I24" s="1987"/>
      <c r="J24" s="1987"/>
      <c r="K24" s="1987"/>
      <c r="L24" s="1987"/>
      <c r="M24" s="1987"/>
      <c r="N24" s="1987"/>
      <c r="O24" s="1987"/>
      <c r="P24" s="1987"/>
      <c r="Q24" s="1987"/>
      <c r="R24" s="1988"/>
      <c r="S24" s="1989">
        <f t="shared" si="1"/>
        <v>0</v>
      </c>
      <c r="T24" s="1990" cm="1">
        <f t="array" ref="T24">SUM(F24:R24)*SUM(C24:E24)-SUM(C24:E24*L24)</f>
        <v>0</v>
      </c>
      <c r="U24" s="540"/>
      <c r="V24" s="2378"/>
      <c r="W24" s="419"/>
      <c r="X24" s="419"/>
      <c r="Y24" s="419"/>
      <c r="Z24" s="419"/>
      <c r="AA24" s="419"/>
      <c r="AB24" s="419"/>
      <c r="AC24" s="419"/>
      <c r="AD24" s="419"/>
      <c r="AE24" s="419"/>
      <c r="AF24" s="419"/>
      <c r="AG24" s="419"/>
      <c r="AH24" s="419"/>
      <c r="AI24" s="419"/>
    </row>
    <row r="25" spans="1:35" s="5" customFormat="1" ht="14" customHeight="1">
      <c r="A25" s="866" t="s">
        <v>407</v>
      </c>
      <c r="B25" s="1991"/>
      <c r="C25" s="1947"/>
      <c r="D25" s="1985"/>
      <c r="E25" s="1986"/>
      <c r="F25" s="1984"/>
      <c r="G25" s="1987"/>
      <c r="H25" s="1987"/>
      <c r="I25" s="1987"/>
      <c r="J25" s="1987"/>
      <c r="K25" s="1987"/>
      <c r="L25" s="1987"/>
      <c r="M25" s="1987"/>
      <c r="N25" s="1987"/>
      <c r="O25" s="1987"/>
      <c r="P25" s="1987"/>
      <c r="Q25" s="1987"/>
      <c r="R25" s="1988"/>
      <c r="S25" s="1989">
        <f t="shared" si="1"/>
        <v>0</v>
      </c>
      <c r="T25" s="1990" cm="1">
        <f t="array" ref="T25">SUM(F25:R25)*SUM(C25:E25)-SUM(C25:E25*L25)</f>
        <v>0</v>
      </c>
      <c r="U25" s="2370"/>
      <c r="V25" s="2378"/>
      <c r="W25" s="419"/>
      <c r="X25" s="419"/>
      <c r="Y25" s="419"/>
      <c r="Z25" s="419"/>
      <c r="AA25" s="419"/>
      <c r="AB25" s="419"/>
      <c r="AC25" s="419"/>
      <c r="AD25" s="419"/>
      <c r="AE25" s="419"/>
      <c r="AF25" s="419"/>
      <c r="AG25" s="419"/>
      <c r="AH25" s="419"/>
      <c r="AI25" s="419"/>
    </row>
    <row r="26" spans="1:35" s="5" customFormat="1" ht="14" customHeight="1">
      <c r="A26" s="866" t="s">
        <v>408</v>
      </c>
      <c r="B26" s="1991"/>
      <c r="C26" s="1947"/>
      <c r="D26" s="1985"/>
      <c r="E26" s="1986"/>
      <c r="F26" s="1984"/>
      <c r="G26" s="1987"/>
      <c r="H26" s="1987"/>
      <c r="I26" s="1987"/>
      <c r="J26" s="1987"/>
      <c r="K26" s="1987"/>
      <c r="L26" s="1987"/>
      <c r="M26" s="1987"/>
      <c r="N26" s="1987"/>
      <c r="O26" s="1987"/>
      <c r="P26" s="1987"/>
      <c r="Q26" s="1987"/>
      <c r="R26" s="1988"/>
      <c r="S26" s="1989">
        <f t="shared" si="1"/>
        <v>0</v>
      </c>
      <c r="T26" s="1990" cm="1">
        <f t="array" ref="T26">SUM(F26:R26)*SUM(C26:E26)-SUM(C26:E26*L26)</f>
        <v>0</v>
      </c>
      <c r="U26" s="2370"/>
      <c r="V26" s="2378"/>
      <c r="W26" s="419"/>
      <c r="X26" s="419"/>
      <c r="Y26" s="419"/>
      <c r="Z26" s="419"/>
      <c r="AA26" s="419"/>
      <c r="AB26" s="419"/>
      <c r="AC26" s="419"/>
      <c r="AD26" s="419"/>
      <c r="AE26" s="419"/>
      <c r="AF26" s="419"/>
      <c r="AG26" s="419"/>
      <c r="AH26" s="419"/>
      <c r="AI26" s="419"/>
    </row>
    <row r="27" spans="1:35" s="5" customFormat="1" ht="14" customHeight="1" thickBot="1">
      <c r="A27" s="866" t="s">
        <v>409</v>
      </c>
      <c r="B27" s="1991"/>
      <c r="C27" s="1947"/>
      <c r="D27" s="1985"/>
      <c r="E27" s="1986"/>
      <c r="F27" s="1984"/>
      <c r="G27" s="1987"/>
      <c r="H27" s="1987"/>
      <c r="I27" s="1987"/>
      <c r="J27" s="1987"/>
      <c r="K27" s="1987"/>
      <c r="L27" s="1987"/>
      <c r="M27" s="1987"/>
      <c r="N27" s="1987"/>
      <c r="O27" s="1987"/>
      <c r="P27" s="1987"/>
      <c r="Q27" s="1987"/>
      <c r="R27" s="1988"/>
      <c r="S27" s="1989">
        <f t="shared" si="1"/>
        <v>0</v>
      </c>
      <c r="T27" s="1990" cm="1">
        <f t="array" ref="T27">SUM(F27:R27)*SUM(C27:E27)-SUM(C27:E27*L27)</f>
        <v>0</v>
      </c>
      <c r="U27" s="2370"/>
      <c r="V27" s="2378"/>
      <c r="W27" s="419"/>
      <c r="X27" s="419"/>
      <c r="Y27" s="419"/>
      <c r="Z27" s="419"/>
      <c r="AA27" s="419"/>
      <c r="AB27" s="419"/>
      <c r="AC27" s="419"/>
      <c r="AD27" s="419"/>
      <c r="AE27" s="419"/>
      <c r="AF27" s="419"/>
      <c r="AG27" s="419"/>
      <c r="AH27" s="419"/>
      <c r="AI27" s="419"/>
    </row>
    <row r="28" spans="1:35" s="22" customFormat="1" ht="20" customHeight="1" thickBot="1">
      <c r="A28" s="3237" t="s">
        <v>1570</v>
      </c>
      <c r="B28" s="3238"/>
      <c r="C28" s="3238"/>
      <c r="D28" s="3238"/>
      <c r="E28" s="3238"/>
      <c r="F28" s="3238"/>
      <c r="G28" s="3238"/>
      <c r="H28" s="3238"/>
      <c r="I28" s="3238"/>
      <c r="J28" s="3238"/>
      <c r="K28" s="3238"/>
      <c r="L28" s="3238"/>
      <c r="M28" s="3238"/>
      <c r="N28" s="3238"/>
      <c r="O28" s="3238"/>
      <c r="P28" s="3238"/>
      <c r="Q28" s="3238"/>
      <c r="R28" s="3238"/>
      <c r="S28" s="3238"/>
      <c r="T28" s="3239"/>
      <c r="U28" s="2369"/>
      <c r="V28" s="2377"/>
      <c r="W28" s="418"/>
      <c r="X28" s="418"/>
      <c r="Y28" s="418"/>
      <c r="Z28" s="418"/>
      <c r="AA28" s="418"/>
      <c r="AB28" s="418"/>
      <c r="AC28" s="418"/>
      <c r="AD28" s="418"/>
      <c r="AE28" s="418"/>
      <c r="AF28" s="418"/>
      <c r="AG28" s="418"/>
      <c r="AH28" s="418"/>
      <c r="AI28" s="418"/>
    </row>
    <row r="29" spans="1:35" s="5" customFormat="1" ht="14" customHeight="1">
      <c r="A29" s="536" t="s">
        <v>402</v>
      </c>
      <c r="B29" s="1991"/>
      <c r="C29" s="1947"/>
      <c r="D29" s="1985"/>
      <c r="E29" s="1986"/>
      <c r="F29" s="1984"/>
      <c r="G29" s="1987"/>
      <c r="H29" s="1987"/>
      <c r="I29" s="1987"/>
      <c r="J29" s="1987"/>
      <c r="K29" s="1987"/>
      <c r="L29" s="1987"/>
      <c r="M29" s="1987"/>
      <c r="N29" s="1987"/>
      <c r="O29" s="1987"/>
      <c r="P29" s="1987"/>
      <c r="Q29" s="1987"/>
      <c r="R29" s="1988"/>
      <c r="S29" s="1989">
        <f t="shared" ref="S29:S36" si="2">SUM(F29:R29)*B29-(M29*B29)</f>
        <v>0</v>
      </c>
      <c r="T29" s="1990" cm="1">
        <f t="array" ref="T29">SUM(F29:R29)*SUM(C29:E29)-SUM(C29:E29*L29)</f>
        <v>0</v>
      </c>
      <c r="U29" s="540">
        <f>SUM(F29:R36)</f>
        <v>0</v>
      </c>
      <c r="V29" s="2378"/>
      <c r="W29" s="419"/>
      <c r="X29" s="419"/>
      <c r="Y29" s="419"/>
      <c r="Z29" s="419"/>
      <c r="AA29" s="419"/>
      <c r="AB29" s="419"/>
      <c r="AC29" s="419"/>
      <c r="AD29" s="419"/>
      <c r="AE29" s="419"/>
      <c r="AF29" s="419"/>
      <c r="AG29" s="419"/>
      <c r="AH29" s="419"/>
      <c r="AI29" s="419"/>
    </row>
    <row r="30" spans="1:35" s="5" customFormat="1" ht="14" customHeight="1">
      <c r="A30" s="866" t="s">
        <v>403</v>
      </c>
      <c r="B30" s="1991"/>
      <c r="C30" s="1947"/>
      <c r="D30" s="1985"/>
      <c r="E30" s="1986"/>
      <c r="F30" s="1984"/>
      <c r="G30" s="1987"/>
      <c r="H30" s="1987"/>
      <c r="I30" s="1987"/>
      <c r="J30" s="1987"/>
      <c r="K30" s="1987"/>
      <c r="L30" s="1987"/>
      <c r="M30" s="1987"/>
      <c r="N30" s="1987"/>
      <c r="O30" s="1987"/>
      <c r="P30" s="1987"/>
      <c r="Q30" s="1987"/>
      <c r="R30" s="1988"/>
      <c r="S30" s="1989">
        <f t="shared" si="2"/>
        <v>0</v>
      </c>
      <c r="T30" s="1990" cm="1">
        <f t="array" ref="T30">SUM(F30:R30)*SUM(C30:E30)-SUM(C30:E30*L30)</f>
        <v>0</v>
      </c>
      <c r="U30" s="540">
        <f>SUM(L29:L36)</f>
        <v>0</v>
      </c>
      <c r="V30" s="2378"/>
      <c r="W30" s="419"/>
      <c r="X30" s="419"/>
      <c r="Y30" s="419"/>
      <c r="Z30" s="419"/>
      <c r="AA30" s="419"/>
      <c r="AB30" s="419"/>
      <c r="AC30" s="419"/>
      <c r="AD30" s="419"/>
      <c r="AE30" s="419"/>
      <c r="AF30" s="419"/>
      <c r="AG30" s="419"/>
      <c r="AH30" s="419"/>
      <c r="AI30" s="419"/>
    </row>
    <row r="31" spans="1:35" s="5" customFormat="1" ht="14" customHeight="1">
      <c r="A31" s="866" t="s">
        <v>404</v>
      </c>
      <c r="B31" s="1983"/>
      <c r="C31" s="1984"/>
      <c r="D31" s="1985"/>
      <c r="E31" s="1986"/>
      <c r="F31" s="1984"/>
      <c r="G31" s="1987"/>
      <c r="H31" s="1987"/>
      <c r="I31" s="1987"/>
      <c r="J31" s="1987"/>
      <c r="K31" s="1987"/>
      <c r="L31" s="1987"/>
      <c r="M31" s="1987"/>
      <c r="N31" s="1987"/>
      <c r="O31" s="1987"/>
      <c r="P31" s="1987"/>
      <c r="Q31" s="1987"/>
      <c r="R31" s="1988"/>
      <c r="S31" s="1989">
        <f t="shared" si="2"/>
        <v>0</v>
      </c>
      <c r="T31" s="1990" cm="1">
        <f t="array" ref="T31">SUM(F31:R31)*SUM(C31:E31)-SUM(C31:E31*L31)</f>
        <v>0</v>
      </c>
      <c r="U31" s="540">
        <f>U29-U30</f>
        <v>0</v>
      </c>
      <c r="V31" s="2378"/>
      <c r="W31" s="419"/>
      <c r="X31" s="419"/>
      <c r="Y31" s="419"/>
      <c r="Z31" s="419"/>
      <c r="AA31" s="419"/>
      <c r="AB31" s="419"/>
      <c r="AC31" s="419"/>
      <c r="AD31" s="419"/>
      <c r="AE31" s="419"/>
      <c r="AF31" s="419"/>
      <c r="AG31" s="419"/>
      <c r="AH31" s="419"/>
      <c r="AI31" s="419"/>
    </row>
    <row r="32" spans="1:35" s="5" customFormat="1" ht="14" customHeight="1">
      <c r="A32" s="866" t="s">
        <v>405</v>
      </c>
      <c r="B32" s="1983"/>
      <c r="C32" s="1984"/>
      <c r="D32" s="1985"/>
      <c r="E32" s="1986"/>
      <c r="F32" s="1984"/>
      <c r="G32" s="1987"/>
      <c r="H32" s="1987"/>
      <c r="I32" s="1987"/>
      <c r="J32" s="1987"/>
      <c r="K32" s="1987"/>
      <c r="L32" s="1987"/>
      <c r="M32" s="1987"/>
      <c r="N32" s="1987"/>
      <c r="O32" s="1987"/>
      <c r="P32" s="1987"/>
      <c r="Q32" s="1987"/>
      <c r="R32" s="1988"/>
      <c r="S32" s="1989">
        <f t="shared" si="2"/>
        <v>0</v>
      </c>
      <c r="T32" s="1990" cm="1">
        <f t="array" ref="T32">SUM(F32:R32)*SUM(C32:E32)-SUM(C32:E32*L32)</f>
        <v>0</v>
      </c>
      <c r="U32" s="540">
        <f>IF($T$3&gt;0,U31/$T$3,0)</f>
        <v>0</v>
      </c>
      <c r="V32" s="2378">
        <f>U32</f>
        <v>0</v>
      </c>
      <c r="W32" s="419"/>
      <c r="X32" s="419"/>
      <c r="Y32" s="419"/>
      <c r="Z32" s="419"/>
      <c r="AA32" s="419"/>
      <c r="AB32" s="419"/>
      <c r="AC32" s="419"/>
      <c r="AD32" s="419"/>
      <c r="AE32" s="419"/>
      <c r="AF32" s="419"/>
      <c r="AG32" s="419"/>
      <c r="AH32" s="419"/>
      <c r="AI32" s="419"/>
    </row>
    <row r="33" spans="1:35" s="5" customFormat="1" ht="14" customHeight="1">
      <c r="A33" s="866" t="s">
        <v>406</v>
      </c>
      <c r="B33" s="1983"/>
      <c r="C33" s="1984"/>
      <c r="D33" s="1985"/>
      <c r="E33" s="1986"/>
      <c r="F33" s="1984"/>
      <c r="G33" s="1987"/>
      <c r="H33" s="1987"/>
      <c r="I33" s="1987"/>
      <c r="J33" s="1987"/>
      <c r="K33" s="1987"/>
      <c r="L33" s="1987"/>
      <c r="M33" s="1987"/>
      <c r="N33" s="1987"/>
      <c r="O33" s="1987"/>
      <c r="P33" s="1987"/>
      <c r="Q33" s="1987"/>
      <c r="R33" s="1988"/>
      <c r="S33" s="1989">
        <f t="shared" si="2"/>
        <v>0</v>
      </c>
      <c r="T33" s="1990" cm="1">
        <f t="array" ref="T33">SUM(F33:R33)*SUM(C33:E33)-SUM(C33:E33*L33)</f>
        <v>0</v>
      </c>
      <c r="U33" s="540"/>
      <c r="V33" s="2378"/>
      <c r="W33" s="419"/>
      <c r="X33" s="419"/>
      <c r="Y33" s="419"/>
      <c r="Z33" s="419"/>
      <c r="AA33" s="419"/>
      <c r="AB33" s="419"/>
      <c r="AC33" s="419"/>
      <c r="AD33" s="419"/>
      <c r="AE33" s="419"/>
      <c r="AF33" s="419"/>
      <c r="AG33" s="419"/>
      <c r="AH33" s="419"/>
      <c r="AI33" s="419"/>
    </row>
    <row r="34" spans="1:35" s="5" customFormat="1" ht="14" customHeight="1">
      <c r="A34" s="866" t="s">
        <v>407</v>
      </c>
      <c r="B34" s="1983"/>
      <c r="C34" s="1984"/>
      <c r="D34" s="1985"/>
      <c r="E34" s="1986"/>
      <c r="F34" s="1984"/>
      <c r="G34" s="1987"/>
      <c r="H34" s="1987"/>
      <c r="I34" s="1987"/>
      <c r="J34" s="1987"/>
      <c r="K34" s="1987"/>
      <c r="L34" s="1987"/>
      <c r="M34" s="1987"/>
      <c r="N34" s="1987"/>
      <c r="O34" s="1987"/>
      <c r="P34" s="1987"/>
      <c r="Q34" s="1987"/>
      <c r="R34" s="1988"/>
      <c r="S34" s="1989">
        <f t="shared" si="2"/>
        <v>0</v>
      </c>
      <c r="T34" s="1990" cm="1">
        <f t="array" ref="T34">SUM(F34:R34)*SUM(C34:E34)-SUM(C34:E34*L34)</f>
        <v>0</v>
      </c>
      <c r="U34" s="540"/>
      <c r="V34" s="2378"/>
      <c r="W34" s="419"/>
      <c r="X34" s="419"/>
      <c r="Y34" s="419"/>
      <c r="Z34" s="419"/>
      <c r="AA34" s="419"/>
      <c r="AB34" s="419"/>
      <c r="AC34" s="419"/>
      <c r="AD34" s="419"/>
      <c r="AE34" s="419"/>
      <c r="AF34" s="419"/>
      <c r="AG34" s="419"/>
      <c r="AH34" s="419"/>
      <c r="AI34" s="419"/>
    </row>
    <row r="35" spans="1:35" s="5" customFormat="1" ht="14" customHeight="1">
      <c r="A35" s="866" t="s">
        <v>408</v>
      </c>
      <c r="B35" s="1983"/>
      <c r="C35" s="1984"/>
      <c r="D35" s="1985"/>
      <c r="E35" s="1986"/>
      <c r="F35" s="1984"/>
      <c r="G35" s="1987"/>
      <c r="H35" s="1987"/>
      <c r="I35" s="1987"/>
      <c r="J35" s="1987"/>
      <c r="K35" s="1987"/>
      <c r="L35" s="1987"/>
      <c r="M35" s="1987"/>
      <c r="N35" s="1987"/>
      <c r="O35" s="1987"/>
      <c r="P35" s="1987"/>
      <c r="Q35" s="1987"/>
      <c r="R35" s="1988"/>
      <c r="S35" s="1989">
        <f t="shared" si="2"/>
        <v>0</v>
      </c>
      <c r="T35" s="1990" cm="1">
        <f t="array" ref="T35">SUM(F35:R35)*SUM(C35:E35)-SUM(C35:E35*L35)</f>
        <v>0</v>
      </c>
      <c r="U35" s="540"/>
      <c r="V35" s="2378"/>
      <c r="W35" s="419"/>
      <c r="X35" s="419"/>
      <c r="Y35" s="419"/>
      <c r="Z35" s="419"/>
      <c r="AA35" s="419"/>
      <c r="AB35" s="419"/>
      <c r="AC35" s="419"/>
      <c r="AD35" s="419"/>
      <c r="AE35" s="419"/>
      <c r="AF35" s="419"/>
      <c r="AG35" s="419"/>
      <c r="AH35" s="419"/>
      <c r="AI35" s="419"/>
    </row>
    <row r="36" spans="1:35" s="5" customFormat="1" ht="14" customHeight="1" thickBot="1">
      <c r="A36" s="866" t="s">
        <v>409</v>
      </c>
      <c r="B36" s="1992"/>
      <c r="C36" s="1993"/>
      <c r="D36" s="1994"/>
      <c r="E36" s="1995"/>
      <c r="F36" s="1960"/>
      <c r="G36" s="1961"/>
      <c r="H36" s="1961"/>
      <c r="I36" s="1961"/>
      <c r="J36" s="1961"/>
      <c r="K36" s="1961"/>
      <c r="L36" s="1961"/>
      <c r="M36" s="1961"/>
      <c r="N36" s="1961"/>
      <c r="O36" s="1961"/>
      <c r="P36" s="1961"/>
      <c r="Q36" s="1961"/>
      <c r="R36" s="1995"/>
      <c r="S36" s="1989">
        <f t="shared" si="2"/>
        <v>0</v>
      </c>
      <c r="T36" s="1990" cm="1">
        <f t="array" ref="T36">SUM(F36:R36)*SUM(C36:E36)-SUM(C36:E36*L36)</f>
        <v>0</v>
      </c>
      <c r="U36" s="540"/>
      <c r="V36" s="2378"/>
      <c r="W36" s="419"/>
      <c r="X36" s="419"/>
      <c r="Y36" s="419"/>
      <c r="Z36" s="419"/>
      <c r="AA36" s="419"/>
      <c r="AB36" s="419"/>
      <c r="AC36" s="419"/>
      <c r="AD36" s="419"/>
      <c r="AE36" s="419"/>
      <c r="AF36" s="419"/>
      <c r="AG36" s="419"/>
      <c r="AH36" s="419"/>
      <c r="AI36" s="419"/>
    </row>
    <row r="37" spans="1:35" s="5" customFormat="1" ht="16.5" customHeight="1" thickBot="1">
      <c r="A37" s="868"/>
      <c r="B37" s="530" t="str">
        <f>"Indtægter i alt til hovedskema. Lin. 18 og 25"</f>
        <v>Indtægter i alt til hovedskema. Lin. 18 og 25</v>
      </c>
      <c r="C37" s="530"/>
      <c r="D37" s="530"/>
      <c r="E37" s="530"/>
      <c r="F37" s="530"/>
      <c r="G37" s="530"/>
      <c r="H37" s="530"/>
      <c r="I37" s="530"/>
      <c r="J37" s="530"/>
      <c r="K37" s="530"/>
      <c r="L37" s="530"/>
      <c r="M37" s="530"/>
      <c r="N37" s="530"/>
      <c r="O37" s="530"/>
      <c r="P37" s="530"/>
      <c r="Q37" s="530"/>
      <c r="R37" s="530"/>
      <c r="S37" s="869">
        <f>SUM(S11:S36)</f>
        <v>0</v>
      </c>
      <c r="T37" s="870">
        <f>SUM(T11:T36)</f>
        <v>0</v>
      </c>
      <c r="U37" s="540"/>
      <c r="V37" s="2378"/>
      <c r="W37" s="419"/>
      <c r="X37" s="419"/>
      <c r="Y37" s="419"/>
      <c r="Z37" s="419"/>
      <c r="AA37" s="419"/>
      <c r="AB37" s="419"/>
      <c r="AC37" s="419"/>
      <c r="AD37" s="419"/>
      <c r="AE37" s="419"/>
      <c r="AF37" s="419"/>
      <c r="AG37" s="419"/>
      <c r="AH37" s="419"/>
      <c r="AI37" s="419"/>
    </row>
    <row r="38" spans="1:35" s="5" customFormat="1" ht="24" customHeight="1">
      <c r="A38" s="3084" t="s">
        <v>914</v>
      </c>
      <c r="B38" s="3085"/>
      <c r="C38" s="3085"/>
      <c r="D38" s="3085"/>
      <c r="E38" s="3085"/>
      <c r="F38" s="3085"/>
      <c r="G38" s="3085"/>
      <c r="H38" s="3085"/>
      <c r="I38" s="3085"/>
      <c r="J38" s="3085"/>
      <c r="K38" s="3085"/>
      <c r="L38" s="3085"/>
      <c r="M38" s="3085"/>
      <c r="N38" s="3085"/>
      <c r="O38" s="3085"/>
      <c r="P38" s="3085"/>
      <c r="Q38" s="3085"/>
      <c r="R38" s="3085"/>
      <c r="S38" s="3085"/>
      <c r="T38" s="3086"/>
      <c r="U38" s="540"/>
      <c r="V38" s="2378"/>
      <c r="W38" s="419"/>
      <c r="X38" s="419"/>
      <c r="Y38" s="419"/>
      <c r="Z38" s="419"/>
      <c r="AA38" s="419"/>
      <c r="AB38" s="419"/>
      <c r="AC38" s="419"/>
      <c r="AD38" s="419"/>
      <c r="AE38" s="419"/>
      <c r="AF38" s="419"/>
      <c r="AG38" s="419"/>
      <c r="AH38" s="419"/>
    </row>
    <row r="39" spans="1:35" s="5" customFormat="1" ht="17" customHeight="1" thickBot="1">
      <c r="A39" s="3087" t="str">
        <f>"(ønskes flere rækker, kan disse indsættes imellem linie "&amp;U40&amp;" - "&amp;U44&amp;""</f>
        <v>(ønskes flere rækker, kan disse indsættes imellem linie 40 - 44</v>
      </c>
      <c r="B39" s="3088"/>
      <c r="C39" s="3088"/>
      <c r="D39" s="3088"/>
      <c r="E39" s="3088"/>
      <c r="F39" s="3088"/>
      <c r="G39" s="3088"/>
      <c r="H39" s="3088"/>
      <c r="I39" s="3088"/>
      <c r="J39" s="3088"/>
      <c r="K39" s="3088"/>
      <c r="L39" s="3088"/>
      <c r="M39" s="3088"/>
      <c r="N39" s="3088"/>
      <c r="O39" s="3088"/>
      <c r="P39" s="3088"/>
      <c r="Q39" s="3088"/>
      <c r="R39" s="3088"/>
      <c r="S39" s="3088"/>
      <c r="T39" s="3089"/>
      <c r="U39" s="540"/>
      <c r="V39" s="2378"/>
      <c r="W39" s="419"/>
      <c r="X39" s="419"/>
      <c r="Y39" s="419"/>
      <c r="Z39" s="419"/>
      <c r="AA39" s="419"/>
      <c r="AB39" s="419"/>
      <c r="AC39" s="419"/>
      <c r="AD39" s="419"/>
      <c r="AE39" s="419"/>
      <c r="AF39" s="419"/>
      <c r="AG39" s="419"/>
      <c r="AH39" s="419"/>
    </row>
    <row r="40" spans="1:35" s="5" customFormat="1" ht="14" customHeight="1">
      <c r="A40" s="1963" t="s">
        <v>859</v>
      </c>
      <c r="B40" s="531"/>
      <c r="C40" s="531"/>
      <c r="D40" s="531"/>
      <c r="E40" s="531"/>
      <c r="F40" s="531"/>
      <c r="G40" s="531"/>
      <c r="H40" s="531"/>
      <c r="I40" s="531"/>
      <c r="J40" s="531"/>
      <c r="K40" s="531"/>
      <c r="L40" s="531"/>
      <c r="M40" s="531"/>
      <c r="N40" s="531"/>
      <c r="O40" s="531"/>
      <c r="P40" s="531"/>
      <c r="Q40" s="531"/>
      <c r="R40" s="531"/>
      <c r="S40" s="3090"/>
      <c r="T40" s="3091"/>
      <c r="U40" s="540">
        <f>ROW(T40)</f>
        <v>40</v>
      </c>
      <c r="V40" s="2378"/>
      <c r="W40" s="419"/>
      <c r="X40" s="419"/>
      <c r="Y40" s="419"/>
      <c r="Z40" s="419"/>
      <c r="AA40" s="419"/>
      <c r="AB40" s="419"/>
      <c r="AC40" s="419"/>
      <c r="AD40" s="419"/>
      <c r="AE40" s="419"/>
      <c r="AF40" s="419"/>
      <c r="AG40" s="419"/>
      <c r="AH40" s="419"/>
    </row>
    <row r="41" spans="1:35" s="5" customFormat="1" ht="14" customHeight="1">
      <c r="A41" s="3080" t="s">
        <v>806</v>
      </c>
      <c r="B41" s="3081"/>
      <c r="C41" s="3081"/>
      <c r="D41" s="3081"/>
      <c r="E41" s="3081"/>
      <c r="F41" s="3081"/>
      <c r="G41" s="3081"/>
      <c r="H41" s="3081"/>
      <c r="I41" s="3081"/>
      <c r="J41" s="3081"/>
      <c r="K41" s="3081"/>
      <c r="L41" s="3081"/>
      <c r="M41" s="3081"/>
      <c r="N41" s="3081"/>
      <c r="O41" s="3081"/>
      <c r="P41" s="3081"/>
      <c r="Q41" s="3081"/>
      <c r="R41" s="3081"/>
      <c r="S41" s="3092"/>
      <c r="T41" s="3093"/>
      <c r="U41" s="540"/>
      <c r="V41" s="2378"/>
      <c r="W41" s="419"/>
      <c r="X41" s="419"/>
      <c r="Y41" s="419"/>
      <c r="Z41" s="419"/>
      <c r="AA41" s="419"/>
      <c r="AB41" s="419"/>
      <c r="AC41" s="419"/>
      <c r="AD41" s="419"/>
      <c r="AE41" s="419"/>
      <c r="AF41" s="419"/>
      <c r="AG41" s="419"/>
      <c r="AH41" s="419"/>
    </row>
    <row r="42" spans="1:35" s="5" customFormat="1" ht="14" customHeight="1">
      <c r="A42" s="3080" t="s">
        <v>460</v>
      </c>
      <c r="B42" s="3081"/>
      <c r="C42" s="3081"/>
      <c r="D42" s="3081"/>
      <c r="E42" s="3081"/>
      <c r="F42" s="3081"/>
      <c r="G42" s="3081"/>
      <c r="H42" s="3081"/>
      <c r="I42" s="3081"/>
      <c r="J42" s="3081"/>
      <c r="K42" s="3081"/>
      <c r="L42" s="3081"/>
      <c r="M42" s="3081"/>
      <c r="N42" s="3081"/>
      <c r="O42" s="3081"/>
      <c r="P42" s="3081"/>
      <c r="Q42" s="3081"/>
      <c r="R42" s="3081"/>
      <c r="S42" s="3092"/>
      <c r="T42" s="3093"/>
      <c r="U42" s="540"/>
      <c r="V42" s="2378"/>
      <c r="W42" s="419"/>
      <c r="X42" s="419"/>
      <c r="Y42" s="419"/>
      <c r="Z42" s="419"/>
      <c r="AA42" s="419"/>
      <c r="AB42" s="419"/>
      <c r="AC42" s="419"/>
      <c r="AD42" s="419"/>
      <c r="AE42" s="419"/>
      <c r="AF42" s="419"/>
      <c r="AG42" s="419"/>
      <c r="AH42" s="419"/>
    </row>
    <row r="43" spans="1:35" s="5" customFormat="1" ht="14" customHeight="1">
      <c r="A43" s="3080"/>
      <c r="B43" s="3081"/>
      <c r="C43" s="3081"/>
      <c r="D43" s="3081"/>
      <c r="E43" s="3081"/>
      <c r="F43" s="3081"/>
      <c r="G43" s="3081"/>
      <c r="H43" s="3081"/>
      <c r="I43" s="3081"/>
      <c r="J43" s="3081"/>
      <c r="K43" s="3081"/>
      <c r="L43" s="3081"/>
      <c r="M43" s="3081"/>
      <c r="N43" s="3081"/>
      <c r="O43" s="3081"/>
      <c r="P43" s="3081"/>
      <c r="Q43" s="3081"/>
      <c r="R43" s="3081"/>
      <c r="S43" s="3092"/>
      <c r="T43" s="3093"/>
      <c r="U43" s="540"/>
      <c r="V43" s="2378"/>
      <c r="W43" s="419"/>
      <c r="X43" s="419"/>
      <c r="Y43" s="419"/>
      <c r="Z43" s="419"/>
      <c r="AA43" s="419"/>
      <c r="AB43" s="419"/>
      <c r="AC43" s="419"/>
      <c r="AD43" s="419"/>
      <c r="AE43" s="419"/>
      <c r="AF43" s="419"/>
      <c r="AG43" s="419"/>
      <c r="AH43" s="419"/>
    </row>
    <row r="44" spans="1:35" s="5" customFormat="1" ht="14" customHeight="1" thickBot="1">
      <c r="A44" s="3080"/>
      <c r="B44" s="3081"/>
      <c r="C44" s="3081"/>
      <c r="D44" s="3081"/>
      <c r="E44" s="3081"/>
      <c r="F44" s="3081"/>
      <c r="G44" s="3081"/>
      <c r="H44" s="3081"/>
      <c r="I44" s="3081"/>
      <c r="J44" s="3081"/>
      <c r="K44" s="3081"/>
      <c r="L44" s="3081"/>
      <c r="M44" s="3081"/>
      <c r="N44" s="3081"/>
      <c r="O44" s="3081"/>
      <c r="P44" s="3081"/>
      <c r="Q44" s="3081"/>
      <c r="R44" s="3081"/>
      <c r="S44" s="3094"/>
      <c r="T44" s="3095"/>
      <c r="U44" s="540">
        <f>ROW(T44)</f>
        <v>44</v>
      </c>
      <c r="V44" s="2378"/>
      <c r="W44" s="419"/>
      <c r="X44" s="419"/>
      <c r="Y44" s="419"/>
      <c r="Z44" s="419"/>
      <c r="AA44" s="419"/>
      <c r="AB44" s="419"/>
      <c r="AC44" s="419"/>
      <c r="AD44" s="419"/>
      <c r="AE44" s="419"/>
      <c r="AF44" s="419"/>
      <c r="AG44" s="419"/>
      <c r="AH44" s="419"/>
    </row>
    <row r="45" spans="1:35" s="5" customFormat="1" ht="14" customHeight="1" thickBot="1">
      <c r="A45" s="1996" t="s">
        <v>915</v>
      </c>
      <c r="B45" s="1997"/>
      <c r="C45" s="1997"/>
      <c r="D45" s="1997"/>
      <c r="E45" s="1997"/>
      <c r="F45" s="1997"/>
      <c r="G45" s="1997"/>
      <c r="H45" s="1997"/>
      <c r="I45" s="1997"/>
      <c r="J45" s="1997"/>
      <c r="K45" s="1997"/>
      <c r="L45" s="1997"/>
      <c r="M45" s="1997"/>
      <c r="N45" s="1997"/>
      <c r="O45" s="1997"/>
      <c r="P45" s="1997"/>
      <c r="Q45" s="1997"/>
      <c r="R45" s="1997"/>
      <c r="S45" s="3082">
        <f>SUM(S40:S44)</f>
        <v>0</v>
      </c>
      <c r="T45" s="3083"/>
      <c r="U45" s="540"/>
      <c r="V45" s="2378"/>
      <c r="W45" s="419"/>
      <c r="X45" s="419"/>
      <c r="Y45" s="419"/>
      <c r="Z45" s="419"/>
      <c r="AA45" s="419"/>
      <c r="AB45" s="419"/>
      <c r="AC45" s="419"/>
      <c r="AD45" s="419"/>
      <c r="AE45" s="419"/>
      <c r="AF45" s="419"/>
      <c r="AG45" s="419"/>
      <c r="AH45" s="419"/>
    </row>
    <row r="46" spans="1:35" s="5" customFormat="1" ht="24" customHeight="1">
      <c r="A46" s="3084" t="s">
        <v>916</v>
      </c>
      <c r="B46" s="3085"/>
      <c r="C46" s="3085"/>
      <c r="D46" s="3085"/>
      <c r="E46" s="3085"/>
      <c r="F46" s="3085"/>
      <c r="G46" s="3085"/>
      <c r="H46" s="3085"/>
      <c r="I46" s="3085"/>
      <c r="J46" s="3085"/>
      <c r="K46" s="3085"/>
      <c r="L46" s="3085"/>
      <c r="M46" s="3085"/>
      <c r="N46" s="3085"/>
      <c r="O46" s="3085"/>
      <c r="P46" s="3085"/>
      <c r="Q46" s="3085"/>
      <c r="R46" s="3085"/>
      <c r="S46" s="3085"/>
      <c r="T46" s="3086"/>
      <c r="U46" s="540"/>
      <c r="V46" s="2378"/>
      <c r="W46" s="419"/>
      <c r="X46" s="419"/>
      <c r="Y46" s="419"/>
      <c r="Z46" s="419"/>
      <c r="AA46" s="419"/>
      <c r="AB46" s="419"/>
      <c r="AC46" s="419"/>
      <c r="AD46" s="419"/>
      <c r="AE46" s="419"/>
      <c r="AF46" s="419"/>
      <c r="AG46" s="419"/>
      <c r="AH46" s="419"/>
    </row>
    <row r="47" spans="1:35" s="5" customFormat="1" ht="17" customHeight="1" thickBot="1">
      <c r="A47" s="3087" t="str">
        <f>"(ønskes flere rækker, kan disse indsættes imellem linie "&amp;U48&amp;" - "&amp;U52&amp;""</f>
        <v>(ønskes flere rækker, kan disse indsættes imellem linie 48 - 52</v>
      </c>
      <c r="B47" s="3088"/>
      <c r="C47" s="3088"/>
      <c r="D47" s="3088"/>
      <c r="E47" s="3088"/>
      <c r="F47" s="3088"/>
      <c r="G47" s="3088"/>
      <c r="H47" s="3088"/>
      <c r="I47" s="3088"/>
      <c r="J47" s="3088"/>
      <c r="K47" s="3088"/>
      <c r="L47" s="3088"/>
      <c r="M47" s="3088"/>
      <c r="N47" s="3088"/>
      <c r="O47" s="3088"/>
      <c r="P47" s="3088"/>
      <c r="Q47" s="3088"/>
      <c r="R47" s="3088"/>
      <c r="S47" s="3170"/>
      <c r="T47" s="3171"/>
      <c r="U47" s="540"/>
      <c r="V47" s="2378"/>
      <c r="W47" s="419"/>
      <c r="X47" s="419"/>
      <c r="Y47" s="419"/>
      <c r="Z47" s="419"/>
      <c r="AA47" s="419"/>
      <c r="AB47" s="419"/>
      <c r="AC47" s="419"/>
      <c r="AD47" s="419"/>
      <c r="AE47" s="419"/>
      <c r="AF47" s="419"/>
      <c r="AG47" s="419"/>
      <c r="AH47" s="419"/>
    </row>
    <row r="48" spans="1:35" s="5" customFormat="1" ht="14" customHeight="1">
      <c r="A48" s="3078" t="s">
        <v>884</v>
      </c>
      <c r="B48" s="3079"/>
      <c r="C48" s="3079"/>
      <c r="D48" s="3079"/>
      <c r="E48" s="3079"/>
      <c r="F48" s="3079"/>
      <c r="G48" s="3079"/>
      <c r="H48" s="3079"/>
      <c r="I48" s="3079"/>
      <c r="J48" s="3079"/>
      <c r="K48" s="3079"/>
      <c r="L48" s="3079"/>
      <c r="M48" s="3079"/>
      <c r="N48" s="3079"/>
      <c r="O48" s="3079"/>
      <c r="P48" s="3079"/>
      <c r="Q48" s="3079"/>
      <c r="R48" s="3079"/>
      <c r="S48" s="3090"/>
      <c r="T48" s="3091"/>
      <c r="U48" s="540">
        <f>ROW(T48)</f>
        <v>48</v>
      </c>
      <c r="V48" s="2378"/>
      <c r="W48" s="419"/>
      <c r="X48" s="419"/>
      <c r="Y48" s="419"/>
      <c r="Z48" s="419"/>
      <c r="AA48" s="419"/>
      <c r="AB48" s="419"/>
      <c r="AC48" s="419"/>
      <c r="AD48" s="419"/>
      <c r="AE48" s="419"/>
      <c r="AF48" s="419"/>
      <c r="AG48" s="419"/>
      <c r="AH48" s="419"/>
    </row>
    <row r="49" spans="1:35" s="5" customFormat="1" ht="14" customHeight="1">
      <c r="A49" s="3080"/>
      <c r="B49" s="3081"/>
      <c r="C49" s="3081"/>
      <c r="D49" s="3081"/>
      <c r="E49" s="3081"/>
      <c r="F49" s="3081"/>
      <c r="G49" s="3081"/>
      <c r="H49" s="3081"/>
      <c r="I49" s="3081"/>
      <c r="J49" s="3081"/>
      <c r="K49" s="3081"/>
      <c r="L49" s="3081"/>
      <c r="M49" s="3081"/>
      <c r="N49" s="3081"/>
      <c r="O49" s="3081"/>
      <c r="P49" s="3081"/>
      <c r="Q49" s="3081"/>
      <c r="R49" s="3081"/>
      <c r="S49" s="3092"/>
      <c r="T49" s="3093"/>
      <c r="U49" s="540"/>
      <c r="V49" s="2378"/>
      <c r="W49" s="419"/>
      <c r="X49" s="419"/>
      <c r="Y49" s="419"/>
      <c r="Z49" s="419"/>
      <c r="AA49" s="419"/>
      <c r="AB49" s="419"/>
      <c r="AC49" s="419"/>
      <c r="AD49" s="419"/>
      <c r="AE49" s="419"/>
      <c r="AF49" s="419"/>
      <c r="AG49" s="419"/>
      <c r="AH49" s="419"/>
    </row>
    <row r="50" spans="1:35" s="5" customFormat="1" ht="14" customHeight="1">
      <c r="A50" s="3080"/>
      <c r="B50" s="3081"/>
      <c r="C50" s="3081"/>
      <c r="D50" s="3081"/>
      <c r="E50" s="3081"/>
      <c r="F50" s="3081"/>
      <c r="G50" s="3081"/>
      <c r="H50" s="3081"/>
      <c r="I50" s="3081"/>
      <c r="J50" s="3081"/>
      <c r="K50" s="3081"/>
      <c r="L50" s="3081"/>
      <c r="M50" s="3081"/>
      <c r="N50" s="3081"/>
      <c r="O50" s="3081"/>
      <c r="P50" s="3081"/>
      <c r="Q50" s="3081"/>
      <c r="R50" s="3081"/>
      <c r="S50" s="3092"/>
      <c r="T50" s="3093"/>
      <c r="U50" s="540"/>
      <c r="V50" s="2378"/>
      <c r="W50" s="419"/>
      <c r="X50" s="419"/>
      <c r="Y50" s="419"/>
      <c r="Z50" s="419"/>
      <c r="AA50" s="419"/>
      <c r="AB50" s="419"/>
      <c r="AC50" s="419"/>
      <c r="AD50" s="419"/>
      <c r="AE50" s="419"/>
      <c r="AF50" s="419"/>
      <c r="AG50" s="419"/>
      <c r="AH50" s="419"/>
    </row>
    <row r="51" spans="1:35" s="5" customFormat="1" ht="14" customHeight="1">
      <c r="A51" s="3080"/>
      <c r="B51" s="3081"/>
      <c r="C51" s="3081"/>
      <c r="D51" s="3081"/>
      <c r="E51" s="3081"/>
      <c r="F51" s="3081"/>
      <c r="G51" s="3081"/>
      <c r="H51" s="3081"/>
      <c r="I51" s="3081"/>
      <c r="J51" s="3081"/>
      <c r="K51" s="3081"/>
      <c r="L51" s="3081"/>
      <c r="M51" s="3081"/>
      <c r="N51" s="3081"/>
      <c r="O51" s="3081"/>
      <c r="P51" s="3081"/>
      <c r="Q51" s="3081"/>
      <c r="R51" s="3081"/>
      <c r="S51" s="3092"/>
      <c r="T51" s="3093"/>
      <c r="U51" s="540"/>
      <c r="V51" s="2378"/>
      <c r="W51" s="419"/>
      <c r="X51" s="419"/>
      <c r="Y51" s="419"/>
      <c r="Z51" s="419"/>
      <c r="AA51" s="419"/>
      <c r="AB51" s="419"/>
      <c r="AC51" s="419"/>
      <c r="AD51" s="419"/>
      <c r="AE51" s="419"/>
      <c r="AF51" s="419"/>
      <c r="AG51" s="419"/>
      <c r="AH51" s="419"/>
    </row>
    <row r="52" spans="1:35" s="5" customFormat="1" ht="14" customHeight="1" thickBot="1">
      <c r="A52" s="3080"/>
      <c r="B52" s="3081"/>
      <c r="C52" s="3081"/>
      <c r="D52" s="3081"/>
      <c r="E52" s="3081"/>
      <c r="F52" s="3081"/>
      <c r="G52" s="3081"/>
      <c r="H52" s="3081"/>
      <c r="I52" s="3081"/>
      <c r="J52" s="3081"/>
      <c r="K52" s="3081"/>
      <c r="L52" s="3081"/>
      <c r="M52" s="3081"/>
      <c r="N52" s="3081"/>
      <c r="O52" s="3081"/>
      <c r="P52" s="3081"/>
      <c r="Q52" s="3081"/>
      <c r="R52" s="3081"/>
      <c r="S52" s="3092"/>
      <c r="T52" s="3093"/>
      <c r="U52" s="540">
        <f>ROW(T52)</f>
        <v>52</v>
      </c>
      <c r="V52" s="2378"/>
      <c r="W52" s="419"/>
      <c r="X52" s="419"/>
      <c r="Y52" s="419"/>
      <c r="Z52" s="419"/>
      <c r="AA52" s="419"/>
      <c r="AB52" s="419"/>
      <c r="AC52" s="419"/>
      <c r="AD52" s="419"/>
      <c r="AE52" s="419"/>
      <c r="AF52" s="419"/>
      <c r="AG52" s="419"/>
      <c r="AH52" s="419"/>
    </row>
    <row r="53" spans="1:35" s="5" customFormat="1" ht="14" customHeight="1" thickBot="1">
      <c r="A53" s="3174" t="s">
        <v>917</v>
      </c>
      <c r="B53" s="3175"/>
      <c r="C53" s="3175"/>
      <c r="D53" s="3175"/>
      <c r="E53" s="3175"/>
      <c r="F53" s="3175"/>
      <c r="G53" s="3175"/>
      <c r="H53" s="3175"/>
      <c r="I53" s="3175"/>
      <c r="J53" s="3175"/>
      <c r="K53" s="3175"/>
      <c r="L53" s="3175"/>
      <c r="M53" s="3175"/>
      <c r="N53" s="3175"/>
      <c r="O53" s="3175"/>
      <c r="P53" s="3175"/>
      <c r="Q53" s="3175"/>
      <c r="R53" s="3175"/>
      <c r="S53" s="3172">
        <f>SUM(S48:S52)</f>
        <v>0</v>
      </c>
      <c r="T53" s="3173"/>
      <c r="U53" s="540"/>
      <c r="V53" s="2378"/>
      <c r="W53" s="419"/>
      <c r="X53" s="419"/>
      <c r="Y53" s="419"/>
      <c r="Z53" s="419"/>
      <c r="AA53" s="419"/>
      <c r="AB53" s="419"/>
      <c r="AC53" s="419"/>
      <c r="AD53" s="419"/>
      <c r="AE53" s="419"/>
      <c r="AF53" s="419"/>
      <c r="AG53" s="419"/>
      <c r="AH53" s="419"/>
    </row>
    <row r="54" spans="1:35" s="5" customFormat="1" ht="16.5" customHeight="1" thickBot="1">
      <c r="A54" s="1998"/>
      <c r="B54" s="950"/>
      <c r="C54" s="950"/>
      <c r="D54" s="950"/>
      <c r="E54" s="950"/>
      <c r="F54" s="950"/>
      <c r="G54" s="950"/>
      <c r="H54" s="950"/>
      <c r="I54" s="950"/>
      <c r="J54" s="950"/>
      <c r="K54" s="950"/>
      <c r="L54" s="950"/>
      <c r="M54" s="950"/>
      <c r="N54" s="950"/>
      <c r="O54" s="950"/>
      <c r="P54" s="950"/>
      <c r="Q54" s="950"/>
      <c r="R54" s="951"/>
      <c r="S54" s="951"/>
      <c r="T54" s="952"/>
      <c r="U54" s="2371"/>
      <c r="V54" s="2379"/>
      <c r="W54" s="419"/>
      <c r="X54" s="419"/>
      <c r="Y54" s="419"/>
      <c r="Z54" s="419"/>
      <c r="AA54" s="419"/>
      <c r="AB54" s="419"/>
      <c r="AC54" s="419"/>
      <c r="AD54" s="419"/>
      <c r="AE54" s="419"/>
      <c r="AF54" s="419"/>
      <c r="AG54" s="419"/>
      <c r="AH54" s="419"/>
      <c r="AI54" s="419"/>
    </row>
    <row r="55" spans="1:35" ht="38" customHeight="1" thickBot="1">
      <c r="A55" s="3161"/>
      <c r="B55" s="3162"/>
      <c r="C55" s="3162"/>
      <c r="D55" s="3162"/>
      <c r="E55" s="3162"/>
      <c r="F55" s="3162"/>
      <c r="G55" s="3162"/>
      <c r="H55" s="3162"/>
      <c r="I55" s="3162"/>
      <c r="J55" s="3162"/>
      <c r="K55" s="3162"/>
      <c r="L55" s="3162"/>
      <c r="M55" s="3162"/>
      <c r="N55" s="3162"/>
      <c r="O55" s="3162"/>
      <c r="P55" s="3162"/>
      <c r="Q55" s="3162"/>
      <c r="R55" s="3162"/>
      <c r="S55" s="3162"/>
      <c r="T55" s="3163"/>
      <c r="U55" s="2372"/>
      <c r="V55" s="2380"/>
      <c r="W55" s="388"/>
      <c r="X55" s="388"/>
      <c r="Y55" s="388"/>
      <c r="Z55" s="388"/>
      <c r="AA55" s="388"/>
      <c r="AB55" s="388"/>
      <c r="AC55" s="388"/>
      <c r="AD55" s="388"/>
      <c r="AE55" s="388"/>
      <c r="AF55" s="388"/>
      <c r="AG55" s="388"/>
      <c r="AH55" s="388"/>
      <c r="AI55" s="388"/>
    </row>
    <row r="56" spans="1:35" s="5" customFormat="1" ht="34" customHeight="1">
      <c r="A56" s="3164" t="s">
        <v>900</v>
      </c>
      <c r="B56" s="3165"/>
      <c r="C56" s="3165"/>
      <c r="D56" s="3165"/>
      <c r="E56" s="1970"/>
      <c r="F56" s="3166" t="s">
        <v>901</v>
      </c>
      <c r="G56" s="3166"/>
      <c r="H56" s="3166"/>
      <c r="I56" s="3166"/>
      <c r="J56" s="3166"/>
      <c r="K56" s="3166"/>
      <c r="L56" s="3166"/>
      <c r="M56" s="3166"/>
      <c r="N56" s="3166"/>
      <c r="O56" s="3166"/>
      <c r="P56" s="3166"/>
      <c r="Q56" s="3166"/>
      <c r="R56" s="3166"/>
      <c r="S56" s="3166"/>
      <c r="T56" s="1971"/>
      <c r="U56" s="540"/>
      <c r="V56" s="2378"/>
      <c r="W56" s="419"/>
      <c r="X56" s="419"/>
      <c r="Y56" s="419"/>
      <c r="Z56" s="419"/>
      <c r="AA56" s="419"/>
      <c r="AB56" s="419"/>
      <c r="AC56" s="419"/>
      <c r="AD56" s="419"/>
      <c r="AE56" s="419"/>
      <c r="AF56" s="419"/>
      <c r="AG56" s="419"/>
      <c r="AH56" s="419"/>
      <c r="AI56" s="419"/>
    </row>
    <row r="57" spans="1:35" s="5" customFormat="1" ht="34" customHeight="1" thickBot="1">
      <c r="A57" s="3167" t="s">
        <v>902</v>
      </c>
      <c r="B57" s="3168"/>
      <c r="C57" s="3168"/>
      <c r="D57" s="3168"/>
      <c r="E57" s="1972"/>
      <c r="F57" s="3169" t="s">
        <v>903</v>
      </c>
      <c r="G57" s="3169"/>
      <c r="H57" s="3169"/>
      <c r="I57" s="3169"/>
      <c r="J57" s="3169"/>
      <c r="K57" s="3169"/>
      <c r="L57" s="3169"/>
      <c r="M57" s="3169"/>
      <c r="N57" s="3169"/>
      <c r="O57" s="3169"/>
      <c r="P57" s="3169"/>
      <c r="Q57" s="3169"/>
      <c r="R57" s="3169"/>
      <c r="S57" s="3169"/>
      <c r="T57" s="1973"/>
      <c r="U57" s="540"/>
      <c r="V57" s="2378"/>
      <c r="W57" s="419"/>
      <c r="X57" s="419"/>
      <c r="Y57" s="419"/>
      <c r="Z57" s="419"/>
      <c r="AA57" s="419"/>
      <c r="AB57" s="419"/>
      <c r="AC57" s="419"/>
      <c r="AD57" s="419"/>
      <c r="AE57" s="419"/>
      <c r="AF57" s="419"/>
      <c r="AG57" s="419"/>
      <c r="AH57" s="419"/>
      <c r="AI57" s="419"/>
    </row>
    <row r="58" spans="1:35" s="5" customFormat="1" ht="34" customHeight="1" thickBot="1">
      <c r="A58" s="3071" t="str">
        <f>"Vuggestueindtægter januar - december " &amp; budgetår</f>
        <v>Vuggestueindtægter januar - december 2025</v>
      </c>
      <c r="B58" s="3072"/>
      <c r="C58" s="3072"/>
      <c r="D58" s="3072"/>
      <c r="E58" s="3072"/>
      <c r="F58" s="3072"/>
      <c r="G58" s="3072"/>
      <c r="H58" s="3072"/>
      <c r="I58" s="3072"/>
      <c r="J58" s="3072"/>
      <c r="K58" s="3072"/>
      <c r="L58" s="3072"/>
      <c r="M58" s="3072"/>
      <c r="N58" s="3072"/>
      <c r="O58" s="3072"/>
      <c r="P58" s="3072"/>
      <c r="Q58" s="3072"/>
      <c r="R58" s="3072"/>
      <c r="S58" s="3072"/>
      <c r="T58" s="3073"/>
      <c r="U58" s="540"/>
      <c r="V58" s="2378"/>
      <c r="W58" s="419"/>
      <c r="X58" s="419"/>
      <c r="Y58" s="419"/>
      <c r="Z58" s="419"/>
      <c r="AA58" s="419"/>
      <c r="AB58" s="419"/>
      <c r="AC58" s="419"/>
      <c r="AD58" s="419"/>
      <c r="AE58" s="419"/>
      <c r="AF58" s="419"/>
      <c r="AG58" s="419"/>
      <c r="AH58" s="419"/>
      <c r="AI58" s="419"/>
    </row>
    <row r="59" spans="1:35" s="21" customFormat="1" ht="25" customHeight="1" thickBot="1">
      <c r="A59" s="734"/>
      <c r="B59" s="1974" t="s">
        <v>865</v>
      </c>
      <c r="C59" s="3068" t="s">
        <v>866</v>
      </c>
      <c r="D59" s="3069"/>
      <c r="E59" s="3070"/>
      <c r="F59" s="3059" t="s">
        <v>904</v>
      </c>
      <c r="G59" s="3060"/>
      <c r="H59" s="3060"/>
      <c r="I59" s="3060"/>
      <c r="J59" s="3060"/>
      <c r="K59" s="3060"/>
      <c r="L59" s="3060"/>
      <c r="M59" s="3060"/>
      <c r="N59" s="3060"/>
      <c r="O59" s="3060"/>
      <c r="P59" s="3060"/>
      <c r="Q59" s="3060"/>
      <c r="R59" s="3061"/>
      <c r="S59" s="3059" t="s">
        <v>868</v>
      </c>
      <c r="T59" s="3061"/>
      <c r="U59" s="2368"/>
      <c r="V59" s="2376"/>
      <c r="W59" s="417"/>
      <c r="X59" s="417"/>
      <c r="Y59" s="417"/>
      <c r="Z59" s="417"/>
      <c r="AA59" s="417"/>
      <c r="AB59" s="417"/>
      <c r="AC59" s="417"/>
      <c r="AD59" s="417"/>
      <c r="AE59" s="417"/>
      <c r="AF59" s="417"/>
      <c r="AG59" s="417"/>
      <c r="AH59" s="417"/>
      <c r="AI59" s="853"/>
    </row>
    <row r="60" spans="1:35" s="21" customFormat="1" ht="25" customHeight="1" thickBot="1">
      <c r="A60" s="734"/>
      <c r="B60" s="1975" t="s">
        <v>386</v>
      </c>
      <c r="C60" s="3057" t="s">
        <v>386</v>
      </c>
      <c r="D60" s="3057"/>
      <c r="E60" s="3057"/>
      <c r="F60" s="3062"/>
      <c r="G60" s="3063"/>
      <c r="H60" s="3063"/>
      <c r="I60" s="3063"/>
      <c r="J60" s="3063"/>
      <c r="K60" s="3063"/>
      <c r="L60" s="3063"/>
      <c r="M60" s="3063"/>
      <c r="N60" s="3063"/>
      <c r="O60" s="3063"/>
      <c r="P60" s="3063"/>
      <c r="Q60" s="3063"/>
      <c r="R60" s="3064"/>
      <c r="S60" s="3062"/>
      <c r="T60" s="3064"/>
      <c r="U60" s="2368"/>
      <c r="V60" s="2376"/>
      <c r="W60" s="417"/>
      <c r="X60" s="417"/>
      <c r="Y60" s="417"/>
      <c r="Z60" s="417"/>
      <c r="AA60" s="417"/>
      <c r="AB60" s="417"/>
      <c r="AC60" s="417"/>
      <c r="AD60" s="417"/>
      <c r="AE60" s="417"/>
      <c r="AF60" s="417"/>
      <c r="AG60" s="417"/>
      <c r="AH60" s="417"/>
      <c r="AI60" s="853"/>
    </row>
    <row r="61" spans="1:35" s="21" customFormat="1" ht="25" customHeight="1" thickBot="1">
      <c r="A61" s="734"/>
      <c r="B61" s="1976"/>
      <c r="C61" s="3058"/>
      <c r="D61" s="3058"/>
      <c r="E61" s="3058"/>
      <c r="F61" s="3065"/>
      <c r="G61" s="3066"/>
      <c r="H61" s="3066"/>
      <c r="I61" s="3066"/>
      <c r="J61" s="3066"/>
      <c r="K61" s="3066"/>
      <c r="L61" s="3066"/>
      <c r="M61" s="3066"/>
      <c r="N61" s="3066"/>
      <c r="O61" s="3066"/>
      <c r="P61" s="3066"/>
      <c r="Q61" s="3066"/>
      <c r="R61" s="3067"/>
      <c r="S61" s="3065"/>
      <c r="T61" s="3067"/>
      <c r="U61" s="2368"/>
      <c r="V61" s="2376"/>
      <c r="W61" s="417"/>
      <c r="X61" s="417"/>
      <c r="Y61" s="417"/>
      <c r="Z61" s="417"/>
      <c r="AA61" s="417"/>
      <c r="AB61" s="417"/>
      <c r="AC61" s="417"/>
      <c r="AD61" s="417"/>
      <c r="AE61" s="417"/>
      <c r="AF61" s="417"/>
      <c r="AG61" s="417"/>
      <c r="AH61" s="417"/>
      <c r="AI61" s="853"/>
    </row>
    <row r="62" spans="1:35" s="22" customFormat="1" ht="63" customHeight="1" thickBot="1">
      <c r="A62" s="2350" t="s">
        <v>869</v>
      </c>
      <c r="B62" s="2351" t="s">
        <v>918</v>
      </c>
      <c r="C62" s="2351" t="s">
        <v>906</v>
      </c>
      <c r="D62" s="1978" t="s">
        <v>907</v>
      </c>
      <c r="E62" s="1979" t="s">
        <v>908</v>
      </c>
      <c r="F62" s="2350" t="s">
        <v>871</v>
      </c>
      <c r="G62" s="1999" t="s">
        <v>872</v>
      </c>
      <c r="H62" s="1999" t="s">
        <v>873</v>
      </c>
      <c r="I62" s="1999" t="s">
        <v>874</v>
      </c>
      <c r="J62" s="1999" t="s">
        <v>875</v>
      </c>
      <c r="K62" s="1999" t="s">
        <v>876</v>
      </c>
      <c r="L62" s="1999" t="s">
        <v>877</v>
      </c>
      <c r="M62" s="1999" t="s">
        <v>878</v>
      </c>
      <c r="N62" s="1999" t="s">
        <v>909</v>
      </c>
      <c r="O62" s="1999" t="s">
        <v>910</v>
      </c>
      <c r="P62" s="1999" t="s">
        <v>911</v>
      </c>
      <c r="Q62" s="1999" t="s">
        <v>912</v>
      </c>
      <c r="R62" s="1979" t="s">
        <v>913</v>
      </c>
      <c r="S62" s="2351" t="s">
        <v>879</v>
      </c>
      <c r="T62" s="1979" t="s">
        <v>880</v>
      </c>
      <c r="U62" s="2369"/>
      <c r="V62" s="2377"/>
      <c r="W62" s="418"/>
      <c r="X62" s="418"/>
      <c r="Y62" s="418"/>
      <c r="Z62" s="418"/>
      <c r="AA62" s="418"/>
      <c r="AB62" s="418"/>
      <c r="AC62" s="418"/>
      <c r="AD62" s="418"/>
      <c r="AE62" s="418"/>
      <c r="AF62" s="418"/>
      <c r="AG62" s="418"/>
      <c r="AH62" s="418"/>
      <c r="AI62" s="418"/>
    </row>
    <row r="63" spans="1:35" s="22" customFormat="1" ht="20" customHeight="1" thickBot="1">
      <c r="A63" s="3237" t="str">
        <f>A10</f>
        <v>Indmeldt til og med 25,0 timer pr. uge (vægtes med 0,5)</v>
      </c>
      <c r="B63" s="3238"/>
      <c r="C63" s="3238"/>
      <c r="D63" s="3238"/>
      <c r="E63" s="3238"/>
      <c r="F63" s="3238"/>
      <c r="G63" s="3238"/>
      <c r="H63" s="3238"/>
      <c r="I63" s="3238"/>
      <c r="J63" s="3238"/>
      <c r="K63" s="3238"/>
      <c r="L63" s="3238"/>
      <c r="M63" s="3238"/>
      <c r="N63" s="3238"/>
      <c r="O63" s="3238"/>
      <c r="P63" s="3238"/>
      <c r="Q63" s="3238"/>
      <c r="R63" s="3238"/>
      <c r="S63" s="3238"/>
      <c r="T63" s="3239"/>
      <c r="U63" s="2369"/>
      <c r="V63" s="2377"/>
      <c r="W63" s="418"/>
      <c r="X63" s="418"/>
      <c r="Y63" s="418"/>
      <c r="Z63" s="418"/>
      <c r="AA63" s="418"/>
      <c r="AB63" s="418"/>
      <c r="AC63" s="418"/>
      <c r="AD63" s="418"/>
      <c r="AE63" s="418"/>
      <c r="AF63" s="418"/>
      <c r="AG63" s="418"/>
      <c r="AH63" s="418"/>
      <c r="AI63" s="418"/>
    </row>
    <row r="64" spans="1:35" s="5" customFormat="1" ht="14" customHeight="1">
      <c r="A64" s="536" t="s">
        <v>402</v>
      </c>
      <c r="B64" s="1991"/>
      <c r="C64" s="1947"/>
      <c r="D64" s="2352"/>
      <c r="E64" s="2353"/>
      <c r="F64" s="1947"/>
      <c r="G64" s="2354"/>
      <c r="H64" s="2354"/>
      <c r="I64" s="2354"/>
      <c r="J64" s="2354"/>
      <c r="K64" s="2354"/>
      <c r="L64" s="2354"/>
      <c r="M64" s="2354"/>
      <c r="N64" s="2354"/>
      <c r="O64" s="2354"/>
      <c r="P64" s="2354"/>
      <c r="Q64" s="2354"/>
      <c r="R64" s="2355"/>
      <c r="S64" s="2356">
        <f t="shared" ref="S64:S71" si="3">SUM(F64:R64)*B64-(M64*B64)</f>
        <v>0</v>
      </c>
      <c r="T64" s="2357" cm="1">
        <f t="array" ref="T64">SUM(F64:R64)*SUM(C64:E64)-SUM(C64:E64*L64)</f>
        <v>0</v>
      </c>
      <c r="U64" s="540">
        <f>SUM(F64:R71)</f>
        <v>0</v>
      </c>
      <c r="V64" s="2378"/>
      <c r="W64" s="419"/>
      <c r="X64" s="419"/>
      <c r="Y64" s="419"/>
      <c r="Z64" s="419"/>
      <c r="AA64" s="419"/>
      <c r="AB64" s="419"/>
      <c r="AC64" s="419"/>
      <c r="AD64" s="419"/>
      <c r="AE64" s="419"/>
      <c r="AF64" s="419"/>
      <c r="AG64" s="419"/>
      <c r="AH64" s="419"/>
      <c r="AI64" s="419"/>
    </row>
    <row r="65" spans="1:35" s="5" customFormat="1" ht="14" customHeight="1">
      <c r="A65" s="866" t="s">
        <v>403</v>
      </c>
      <c r="B65" s="1991"/>
      <c r="C65" s="1947"/>
      <c r="D65" s="1985"/>
      <c r="E65" s="1986"/>
      <c r="F65" s="1984"/>
      <c r="G65" s="1987"/>
      <c r="H65" s="1987"/>
      <c r="I65" s="1987"/>
      <c r="J65" s="1987"/>
      <c r="K65" s="1987"/>
      <c r="L65" s="1987"/>
      <c r="M65" s="1987"/>
      <c r="N65" s="1987"/>
      <c r="O65" s="1987"/>
      <c r="P65" s="1987"/>
      <c r="Q65" s="1987"/>
      <c r="R65" s="1988"/>
      <c r="S65" s="1989">
        <f t="shared" si="3"/>
        <v>0</v>
      </c>
      <c r="T65" s="1990" cm="1">
        <f t="array" ref="T65">SUM(F65:R65)*SUM(C65:E65)-SUM(C65:E65*L65)</f>
        <v>0</v>
      </c>
      <c r="U65" s="540">
        <f>SUM(L64:L71)</f>
        <v>0</v>
      </c>
      <c r="V65" s="2378"/>
      <c r="W65" s="419"/>
      <c r="X65" s="419"/>
      <c r="Y65" s="419"/>
      <c r="Z65" s="419"/>
      <c r="AA65" s="419"/>
      <c r="AB65" s="419"/>
      <c r="AC65" s="419"/>
      <c r="AD65" s="419"/>
      <c r="AE65" s="419"/>
      <c r="AF65" s="419"/>
      <c r="AG65" s="419"/>
      <c r="AH65" s="419"/>
      <c r="AI65" s="419"/>
    </row>
    <row r="66" spans="1:35" s="5" customFormat="1" ht="14" customHeight="1">
      <c r="A66" s="866" t="s">
        <v>404</v>
      </c>
      <c r="B66" s="1983"/>
      <c r="C66" s="1984"/>
      <c r="D66" s="1985"/>
      <c r="E66" s="1986"/>
      <c r="F66" s="1984"/>
      <c r="G66" s="1987"/>
      <c r="H66" s="1987"/>
      <c r="I66" s="1987"/>
      <c r="J66" s="1987"/>
      <c r="K66" s="1987"/>
      <c r="L66" s="1987"/>
      <c r="M66" s="1987"/>
      <c r="N66" s="1987"/>
      <c r="O66" s="1987"/>
      <c r="P66" s="1987"/>
      <c r="Q66" s="1987"/>
      <c r="R66" s="1988"/>
      <c r="S66" s="1989">
        <f t="shared" si="3"/>
        <v>0</v>
      </c>
      <c r="T66" s="1990" cm="1">
        <f t="array" ref="T66">SUM(F66:R66)*SUM(C66:E66)-SUM(C66:E66*L66)</f>
        <v>0</v>
      </c>
      <c r="U66" s="540">
        <f>U64-U65</f>
        <v>0</v>
      </c>
      <c r="V66" s="2378"/>
      <c r="W66" s="419"/>
      <c r="X66" s="419"/>
      <c r="Y66" s="419"/>
      <c r="Z66" s="419"/>
      <c r="AA66" s="419"/>
      <c r="AB66" s="419"/>
      <c r="AC66" s="419"/>
      <c r="AD66" s="419"/>
      <c r="AE66" s="419"/>
      <c r="AF66" s="419"/>
      <c r="AG66" s="419"/>
      <c r="AH66" s="419"/>
      <c r="AI66" s="419"/>
    </row>
    <row r="67" spans="1:35" s="5" customFormat="1" ht="14" customHeight="1">
      <c r="A67" s="866" t="s">
        <v>405</v>
      </c>
      <c r="B67" s="1991"/>
      <c r="C67" s="1947"/>
      <c r="D67" s="1985"/>
      <c r="E67" s="1986"/>
      <c r="F67" s="1984"/>
      <c r="G67" s="1987"/>
      <c r="H67" s="1987"/>
      <c r="I67" s="1987"/>
      <c r="J67" s="1987"/>
      <c r="K67" s="1987"/>
      <c r="L67" s="1987"/>
      <c r="M67" s="1987"/>
      <c r="N67" s="1987"/>
      <c r="O67" s="1987"/>
      <c r="P67" s="1987"/>
      <c r="Q67" s="1987"/>
      <c r="R67" s="1988"/>
      <c r="S67" s="1989">
        <f t="shared" si="3"/>
        <v>0</v>
      </c>
      <c r="T67" s="1990" cm="1">
        <f t="array" ref="T67">SUM(F67:R67)*SUM(C67:E67)-SUM(C67:E67*L67)</f>
        <v>0</v>
      </c>
      <c r="U67" s="2370">
        <f>IF($T$56&gt;0,U66/$T$56,0)</f>
        <v>0</v>
      </c>
      <c r="V67" s="2378">
        <f>U67*0.5</f>
        <v>0</v>
      </c>
      <c r="W67" s="419"/>
      <c r="X67" s="419"/>
      <c r="Y67" s="419"/>
      <c r="Z67" s="419"/>
      <c r="AA67" s="419"/>
      <c r="AB67" s="419"/>
      <c r="AC67" s="419"/>
      <c r="AD67" s="419"/>
      <c r="AE67" s="419"/>
      <c r="AF67" s="419"/>
      <c r="AG67" s="419"/>
      <c r="AH67" s="419"/>
      <c r="AI67" s="419"/>
    </row>
    <row r="68" spans="1:35" s="5" customFormat="1" ht="14" customHeight="1">
      <c r="A68" s="866" t="s">
        <v>406</v>
      </c>
      <c r="B68" s="1991"/>
      <c r="C68" s="1947"/>
      <c r="D68" s="1985"/>
      <c r="E68" s="1986"/>
      <c r="F68" s="1984"/>
      <c r="G68" s="1987"/>
      <c r="H68" s="1987"/>
      <c r="I68" s="1987"/>
      <c r="J68" s="1987"/>
      <c r="K68" s="1987"/>
      <c r="L68" s="1987"/>
      <c r="M68" s="1987"/>
      <c r="N68" s="1987"/>
      <c r="O68" s="1987"/>
      <c r="P68" s="1987"/>
      <c r="Q68" s="1987"/>
      <c r="R68" s="1988"/>
      <c r="S68" s="1989">
        <f t="shared" si="3"/>
        <v>0</v>
      </c>
      <c r="T68" s="1990" cm="1">
        <f t="array" ref="T68">SUM(F68:R68)*SUM(C68:E68)-SUM(C68:E68*L68)</f>
        <v>0</v>
      </c>
      <c r="U68" s="2370"/>
      <c r="V68" s="2378"/>
      <c r="W68" s="419"/>
      <c r="X68" s="419"/>
      <c r="Y68" s="419"/>
      <c r="Z68" s="419"/>
      <c r="AA68" s="419"/>
      <c r="AB68" s="419"/>
      <c r="AC68" s="419"/>
      <c r="AD68" s="419"/>
      <c r="AE68" s="419"/>
      <c r="AF68" s="419"/>
      <c r="AG68" s="419"/>
      <c r="AH68" s="419"/>
      <c r="AI68" s="419"/>
    </row>
    <row r="69" spans="1:35" s="5" customFormat="1" ht="14" customHeight="1">
      <c r="A69" s="866" t="s">
        <v>407</v>
      </c>
      <c r="B69" s="1991"/>
      <c r="C69" s="1947"/>
      <c r="D69" s="1985"/>
      <c r="E69" s="1986"/>
      <c r="F69" s="1984"/>
      <c r="G69" s="1987"/>
      <c r="H69" s="1987"/>
      <c r="I69" s="1987"/>
      <c r="J69" s="1987"/>
      <c r="K69" s="1987"/>
      <c r="L69" s="1987"/>
      <c r="M69" s="1987"/>
      <c r="N69" s="1987"/>
      <c r="O69" s="1987"/>
      <c r="P69" s="1987"/>
      <c r="Q69" s="1987"/>
      <c r="R69" s="1988"/>
      <c r="S69" s="1989">
        <f t="shared" si="3"/>
        <v>0</v>
      </c>
      <c r="T69" s="1990" cm="1">
        <f t="array" ref="T69">SUM(F69:R69)*SUM(C69:E69)-SUM(C69:E69*L69)</f>
        <v>0</v>
      </c>
      <c r="U69" s="2370"/>
      <c r="V69" s="2378"/>
      <c r="W69" s="419"/>
      <c r="X69" s="419"/>
      <c r="Y69" s="419"/>
      <c r="Z69" s="419"/>
      <c r="AA69" s="419"/>
      <c r="AB69" s="419"/>
      <c r="AC69" s="419"/>
      <c r="AD69" s="419"/>
      <c r="AE69" s="419"/>
      <c r="AF69" s="419"/>
      <c r="AG69" s="419"/>
      <c r="AH69" s="419"/>
      <c r="AI69" s="419"/>
    </row>
    <row r="70" spans="1:35" s="5" customFormat="1" ht="14" customHeight="1">
      <c r="A70" s="866" t="s">
        <v>408</v>
      </c>
      <c r="B70" s="1991"/>
      <c r="C70" s="1947"/>
      <c r="D70" s="1985"/>
      <c r="E70" s="1986"/>
      <c r="F70" s="1984"/>
      <c r="G70" s="1987"/>
      <c r="H70" s="1987"/>
      <c r="I70" s="1987"/>
      <c r="J70" s="1987"/>
      <c r="K70" s="1987"/>
      <c r="L70" s="1987"/>
      <c r="M70" s="1987"/>
      <c r="N70" s="1987"/>
      <c r="O70" s="1987"/>
      <c r="P70" s="1987"/>
      <c r="Q70" s="1987"/>
      <c r="R70" s="1988"/>
      <c r="S70" s="1989">
        <f t="shared" si="3"/>
        <v>0</v>
      </c>
      <c r="T70" s="1990" cm="1">
        <f t="array" ref="T70">SUM(F70:R70)*SUM(C70:E70)-SUM(C70:E70*L70)</f>
        <v>0</v>
      </c>
      <c r="U70" s="2370"/>
      <c r="V70" s="2378"/>
      <c r="W70" s="419"/>
      <c r="X70" s="419"/>
      <c r="Y70" s="419"/>
      <c r="Z70" s="419"/>
      <c r="AA70" s="419"/>
      <c r="AB70" s="419"/>
      <c r="AC70" s="419"/>
      <c r="AD70" s="419"/>
      <c r="AE70" s="419"/>
      <c r="AF70" s="419"/>
      <c r="AG70" s="419"/>
      <c r="AH70" s="419"/>
      <c r="AI70" s="419"/>
    </row>
    <row r="71" spans="1:35" s="5" customFormat="1" ht="14" customHeight="1" thickBot="1">
      <c r="A71" s="866" t="s">
        <v>409</v>
      </c>
      <c r="B71" s="1991"/>
      <c r="C71" s="1947"/>
      <c r="D71" s="1985"/>
      <c r="E71" s="1986"/>
      <c r="F71" s="1984"/>
      <c r="G71" s="1987"/>
      <c r="H71" s="1987"/>
      <c r="I71" s="1987"/>
      <c r="J71" s="1987"/>
      <c r="K71" s="1987"/>
      <c r="L71" s="1987"/>
      <c r="M71" s="1987"/>
      <c r="N71" s="1987"/>
      <c r="O71" s="1987"/>
      <c r="P71" s="1987"/>
      <c r="Q71" s="1987"/>
      <c r="R71" s="1988"/>
      <c r="S71" s="1989">
        <f t="shared" si="3"/>
        <v>0</v>
      </c>
      <c r="T71" s="1990" cm="1">
        <f t="array" ref="T71">SUM(F71:R71)*SUM(C71:E71)-SUM(C71:E71*L71)</f>
        <v>0</v>
      </c>
      <c r="U71" s="2370"/>
      <c r="V71" s="2378"/>
      <c r="W71" s="419"/>
      <c r="X71" s="419"/>
      <c r="Y71" s="419"/>
      <c r="Z71" s="419"/>
      <c r="AA71" s="419"/>
      <c r="AB71" s="419"/>
      <c r="AC71" s="419"/>
      <c r="AD71" s="419"/>
      <c r="AE71" s="419"/>
      <c r="AF71" s="419"/>
      <c r="AG71" s="419"/>
      <c r="AH71" s="419"/>
      <c r="AI71" s="419"/>
    </row>
    <row r="72" spans="1:35" s="22" customFormat="1" ht="20" customHeight="1" thickBot="1">
      <c r="A72" s="3237" t="str">
        <f>A19</f>
        <v>Indmeldt over 25,0 timer og op til og med 35,0 timer pr. uge (vægtes med 0,75)</v>
      </c>
      <c r="B72" s="3238"/>
      <c r="C72" s="3238"/>
      <c r="D72" s="3238"/>
      <c r="E72" s="3238"/>
      <c r="F72" s="3238"/>
      <c r="G72" s="3238"/>
      <c r="H72" s="3238"/>
      <c r="I72" s="3238"/>
      <c r="J72" s="3238"/>
      <c r="K72" s="3238"/>
      <c r="L72" s="3238"/>
      <c r="M72" s="3238"/>
      <c r="N72" s="3238"/>
      <c r="O72" s="3238"/>
      <c r="P72" s="3238"/>
      <c r="Q72" s="3238"/>
      <c r="R72" s="3238"/>
      <c r="S72" s="3238"/>
      <c r="T72" s="3239"/>
      <c r="U72" s="2369"/>
      <c r="V72" s="2377"/>
      <c r="W72" s="418"/>
      <c r="X72" s="418"/>
      <c r="Y72" s="418"/>
      <c r="Z72" s="418"/>
      <c r="AA72" s="418"/>
      <c r="AB72" s="418"/>
      <c r="AC72" s="418"/>
      <c r="AD72" s="418"/>
      <c r="AE72" s="418"/>
      <c r="AF72" s="418"/>
      <c r="AG72" s="418"/>
      <c r="AH72" s="418"/>
      <c r="AI72" s="418"/>
    </row>
    <row r="73" spans="1:35" s="5" customFormat="1" ht="14" customHeight="1">
      <c r="A73" s="866" t="s">
        <v>402</v>
      </c>
      <c r="B73" s="1991"/>
      <c r="C73" s="1947"/>
      <c r="D73" s="1985"/>
      <c r="E73" s="1986"/>
      <c r="F73" s="1984"/>
      <c r="G73" s="1987"/>
      <c r="H73" s="1987"/>
      <c r="I73" s="1987"/>
      <c r="J73" s="1987"/>
      <c r="K73" s="1987"/>
      <c r="L73" s="1987"/>
      <c r="M73" s="1987"/>
      <c r="N73" s="1987"/>
      <c r="O73" s="1987"/>
      <c r="P73" s="1987"/>
      <c r="Q73" s="1987"/>
      <c r="R73" s="1988"/>
      <c r="S73" s="1989">
        <f t="shared" ref="S73:S80" si="4">SUM(F73:R73)*B73-(M73*B73)</f>
        <v>0</v>
      </c>
      <c r="T73" s="1990" cm="1">
        <f t="array" ref="T73">SUM(F73:R73)*SUM(C73:E73)-SUM(C73:E73*L73)</f>
        <v>0</v>
      </c>
      <c r="U73" s="540">
        <f>SUM(F73:R80)</f>
        <v>0</v>
      </c>
      <c r="V73" s="2378"/>
      <c r="W73" s="419"/>
      <c r="X73" s="419"/>
      <c r="Y73" s="419"/>
      <c r="Z73" s="419"/>
      <c r="AA73" s="419"/>
      <c r="AB73" s="419"/>
      <c r="AC73" s="419"/>
      <c r="AD73" s="419"/>
      <c r="AE73" s="419"/>
      <c r="AF73" s="419"/>
      <c r="AG73" s="419"/>
      <c r="AH73" s="419"/>
      <c r="AI73" s="419"/>
    </row>
    <row r="74" spans="1:35" s="5" customFormat="1" ht="14" customHeight="1">
      <c r="A74" s="866" t="s">
        <v>403</v>
      </c>
      <c r="B74" s="1991"/>
      <c r="C74" s="1947"/>
      <c r="D74" s="1985"/>
      <c r="E74" s="1986"/>
      <c r="F74" s="1984"/>
      <c r="G74" s="1987"/>
      <c r="H74" s="1987"/>
      <c r="I74" s="1987"/>
      <c r="J74" s="1987"/>
      <c r="K74" s="1987"/>
      <c r="L74" s="1987"/>
      <c r="M74" s="1987"/>
      <c r="N74" s="1987"/>
      <c r="O74" s="1987"/>
      <c r="P74" s="1987"/>
      <c r="Q74" s="1987"/>
      <c r="R74" s="1988"/>
      <c r="S74" s="1989">
        <f t="shared" si="4"/>
        <v>0</v>
      </c>
      <c r="T74" s="1990" cm="1">
        <f t="array" ref="T74">SUM(F74:R74)*SUM(C74:E74)-SUM(C74:E74*L74)</f>
        <v>0</v>
      </c>
      <c r="U74" s="540">
        <f>SUM(L73:L80)</f>
        <v>0</v>
      </c>
      <c r="V74" s="2378"/>
      <c r="W74" s="419"/>
      <c r="X74" s="419"/>
      <c r="Y74" s="419"/>
      <c r="Z74" s="419"/>
      <c r="AA74" s="419"/>
      <c r="AB74" s="419"/>
      <c r="AC74" s="419"/>
      <c r="AD74" s="419"/>
      <c r="AE74" s="419"/>
      <c r="AF74" s="419"/>
      <c r="AG74" s="419"/>
      <c r="AH74" s="419"/>
      <c r="AI74" s="419"/>
    </row>
    <row r="75" spans="1:35" s="5" customFormat="1" ht="14" customHeight="1">
      <c r="A75" s="866" t="s">
        <v>404</v>
      </c>
      <c r="B75" s="1991"/>
      <c r="C75" s="1947"/>
      <c r="D75" s="1985"/>
      <c r="E75" s="1986"/>
      <c r="F75" s="1984"/>
      <c r="G75" s="1987"/>
      <c r="H75" s="1987"/>
      <c r="I75" s="1987"/>
      <c r="J75" s="1987"/>
      <c r="K75" s="1987"/>
      <c r="L75" s="1987"/>
      <c r="M75" s="1987"/>
      <c r="N75" s="1987"/>
      <c r="O75" s="1987"/>
      <c r="P75" s="1987"/>
      <c r="Q75" s="1987"/>
      <c r="R75" s="1988"/>
      <c r="S75" s="1989">
        <f t="shared" si="4"/>
        <v>0</v>
      </c>
      <c r="T75" s="1990" cm="1">
        <f t="array" ref="T75">SUM(F75:R75)*SUM(C75:E75)-SUM(C75:E75*L75)</f>
        <v>0</v>
      </c>
      <c r="U75" s="540">
        <f>U73-U74</f>
        <v>0</v>
      </c>
      <c r="V75" s="2378"/>
      <c r="W75" s="419"/>
      <c r="X75" s="419"/>
      <c r="Y75" s="419"/>
      <c r="Z75" s="419"/>
      <c r="AA75" s="419"/>
      <c r="AB75" s="419"/>
      <c r="AC75" s="419"/>
      <c r="AD75" s="419"/>
      <c r="AE75" s="419"/>
      <c r="AF75" s="419"/>
      <c r="AG75" s="419"/>
      <c r="AH75" s="419"/>
      <c r="AI75" s="419"/>
    </row>
    <row r="76" spans="1:35" s="5" customFormat="1" ht="14" customHeight="1">
      <c r="A76" s="866" t="s">
        <v>405</v>
      </c>
      <c r="B76" s="1991"/>
      <c r="C76" s="1947"/>
      <c r="D76" s="1985"/>
      <c r="E76" s="1986"/>
      <c r="F76" s="1984"/>
      <c r="G76" s="1987"/>
      <c r="H76" s="1987"/>
      <c r="I76" s="1987"/>
      <c r="J76" s="1987"/>
      <c r="K76" s="1987"/>
      <c r="L76" s="1987"/>
      <c r="M76" s="1987"/>
      <c r="N76" s="1987"/>
      <c r="O76" s="1987"/>
      <c r="P76" s="1987"/>
      <c r="Q76" s="1987"/>
      <c r="R76" s="1988"/>
      <c r="S76" s="1989">
        <f t="shared" si="4"/>
        <v>0</v>
      </c>
      <c r="T76" s="1990" cm="1">
        <f t="array" ref="T76">SUM(F76:R76)*SUM(C76:E76)-SUM(C76:E76*L76)</f>
        <v>0</v>
      </c>
      <c r="U76" s="2370">
        <f>IF($T$56&gt;0,U75/$T$56,0)</f>
        <v>0</v>
      </c>
      <c r="V76" s="2378">
        <f>U76*0.75</f>
        <v>0</v>
      </c>
      <c r="W76" s="419"/>
      <c r="X76" s="419"/>
      <c r="Y76" s="419"/>
      <c r="Z76" s="419"/>
      <c r="AA76" s="419"/>
      <c r="AB76" s="419"/>
      <c r="AC76" s="419"/>
      <c r="AD76" s="419"/>
      <c r="AE76" s="419"/>
      <c r="AF76" s="419"/>
      <c r="AG76" s="419"/>
      <c r="AH76" s="419"/>
      <c r="AI76" s="419"/>
    </row>
    <row r="77" spans="1:35" s="5" customFormat="1" ht="14" customHeight="1">
      <c r="A77" s="866" t="s">
        <v>406</v>
      </c>
      <c r="B77" s="1991"/>
      <c r="C77" s="1947"/>
      <c r="D77" s="1985"/>
      <c r="E77" s="1986"/>
      <c r="F77" s="1984"/>
      <c r="G77" s="1987"/>
      <c r="H77" s="1987"/>
      <c r="I77" s="1987"/>
      <c r="J77" s="1987"/>
      <c r="K77" s="1987"/>
      <c r="L77" s="1987"/>
      <c r="M77" s="1987"/>
      <c r="N77" s="1987"/>
      <c r="O77" s="1987"/>
      <c r="P77" s="1987"/>
      <c r="Q77" s="1987"/>
      <c r="R77" s="1988"/>
      <c r="S77" s="1989">
        <f t="shared" si="4"/>
        <v>0</v>
      </c>
      <c r="T77" s="1990" cm="1">
        <f t="array" ref="T77">SUM(F77:R77)*SUM(C77:E77)-SUM(C77:E77*L77)</f>
        <v>0</v>
      </c>
      <c r="U77" s="2370"/>
      <c r="V77" s="2378"/>
      <c r="W77" s="419"/>
      <c r="X77" s="419"/>
      <c r="Y77" s="419"/>
      <c r="Z77" s="419"/>
      <c r="AA77" s="419"/>
      <c r="AB77" s="419"/>
      <c r="AC77" s="419"/>
      <c r="AD77" s="419"/>
      <c r="AE77" s="419"/>
      <c r="AF77" s="419"/>
      <c r="AG77" s="419"/>
      <c r="AH77" s="419"/>
      <c r="AI77" s="419"/>
    </row>
    <row r="78" spans="1:35" s="5" customFormat="1" ht="14" customHeight="1">
      <c r="A78" s="866" t="s">
        <v>407</v>
      </c>
      <c r="B78" s="1991"/>
      <c r="C78" s="1947"/>
      <c r="D78" s="1985"/>
      <c r="E78" s="1986"/>
      <c r="F78" s="1984"/>
      <c r="G78" s="1987"/>
      <c r="H78" s="1987"/>
      <c r="I78" s="1987"/>
      <c r="J78" s="1987"/>
      <c r="K78" s="1987"/>
      <c r="L78" s="1987"/>
      <c r="M78" s="1987"/>
      <c r="N78" s="1987"/>
      <c r="O78" s="1987"/>
      <c r="P78" s="1987"/>
      <c r="Q78" s="1987"/>
      <c r="R78" s="1988"/>
      <c r="S78" s="1989">
        <f t="shared" si="4"/>
        <v>0</v>
      </c>
      <c r="T78" s="1990" cm="1">
        <f t="array" ref="T78">SUM(F78:R78)*SUM(C78:E78)-SUM(C78:E78*L78)</f>
        <v>0</v>
      </c>
      <c r="U78" s="2370"/>
      <c r="V78" s="2378"/>
      <c r="W78" s="419"/>
      <c r="X78" s="419"/>
      <c r="Y78" s="419"/>
      <c r="Z78" s="419"/>
      <c r="AA78" s="419"/>
      <c r="AB78" s="419"/>
      <c r="AC78" s="419"/>
      <c r="AD78" s="419"/>
      <c r="AE78" s="419"/>
      <c r="AF78" s="419"/>
      <c r="AG78" s="419"/>
      <c r="AH78" s="419"/>
      <c r="AI78" s="419"/>
    </row>
    <row r="79" spans="1:35" s="5" customFormat="1" ht="14" customHeight="1">
      <c r="A79" s="866" t="s">
        <v>408</v>
      </c>
      <c r="B79" s="1991"/>
      <c r="C79" s="1947"/>
      <c r="D79" s="1985"/>
      <c r="E79" s="1986"/>
      <c r="F79" s="1984"/>
      <c r="G79" s="1987"/>
      <c r="H79" s="1987"/>
      <c r="I79" s="1987"/>
      <c r="J79" s="1987"/>
      <c r="K79" s="1987"/>
      <c r="L79" s="1987"/>
      <c r="M79" s="1987"/>
      <c r="N79" s="1987"/>
      <c r="O79" s="1987"/>
      <c r="P79" s="1987"/>
      <c r="Q79" s="1987"/>
      <c r="R79" s="1988"/>
      <c r="S79" s="1989">
        <f t="shared" si="4"/>
        <v>0</v>
      </c>
      <c r="T79" s="1990" cm="1">
        <f t="array" ref="T79">SUM(F79:R79)*SUM(C79:E79)-SUM(C79:E79*L79)</f>
        <v>0</v>
      </c>
      <c r="U79" s="2370"/>
      <c r="V79" s="2378"/>
      <c r="W79" s="419"/>
      <c r="X79" s="419"/>
      <c r="Y79" s="419"/>
      <c r="Z79" s="419"/>
      <c r="AA79" s="419"/>
      <c r="AB79" s="419"/>
      <c r="AC79" s="419"/>
      <c r="AD79" s="419"/>
      <c r="AE79" s="419"/>
      <c r="AF79" s="419"/>
      <c r="AG79" s="419"/>
      <c r="AH79" s="419"/>
      <c r="AI79" s="419"/>
    </row>
    <row r="80" spans="1:35" s="5" customFormat="1" ht="14" customHeight="1" thickBot="1">
      <c r="A80" s="866" t="s">
        <v>409</v>
      </c>
      <c r="B80" s="1991"/>
      <c r="C80" s="1947"/>
      <c r="D80" s="1985"/>
      <c r="E80" s="1986"/>
      <c r="F80" s="1984"/>
      <c r="G80" s="1987"/>
      <c r="H80" s="1987"/>
      <c r="I80" s="1987"/>
      <c r="J80" s="1987"/>
      <c r="K80" s="1987"/>
      <c r="L80" s="1987"/>
      <c r="M80" s="1987"/>
      <c r="N80" s="1987"/>
      <c r="O80" s="1987"/>
      <c r="P80" s="1987"/>
      <c r="Q80" s="1987"/>
      <c r="R80" s="1988"/>
      <c r="S80" s="1989">
        <f t="shared" si="4"/>
        <v>0</v>
      </c>
      <c r="T80" s="1990" cm="1">
        <f t="array" ref="T80">SUM(F80:R80)*SUM(C80:E80)-SUM(C80:E80*L80)</f>
        <v>0</v>
      </c>
      <c r="U80" s="2370"/>
      <c r="V80" s="2378"/>
      <c r="W80" s="419"/>
      <c r="X80" s="419"/>
      <c r="Y80" s="419"/>
      <c r="Z80" s="419"/>
      <c r="AA80" s="419"/>
      <c r="AB80" s="419"/>
      <c r="AC80" s="419"/>
      <c r="AD80" s="419"/>
      <c r="AE80" s="419"/>
      <c r="AF80" s="419"/>
      <c r="AG80" s="419"/>
      <c r="AH80" s="419"/>
      <c r="AI80" s="419"/>
    </row>
    <row r="81" spans="1:35" s="22" customFormat="1" ht="20" customHeight="1" thickBot="1">
      <c r="A81" s="3237" t="str">
        <f>A28</f>
        <v>Indmeldt over 35,0 timer pr. uge (vægtes med 1,0)</v>
      </c>
      <c r="B81" s="3238"/>
      <c r="C81" s="3238"/>
      <c r="D81" s="3238"/>
      <c r="E81" s="3238"/>
      <c r="F81" s="3238"/>
      <c r="G81" s="3238"/>
      <c r="H81" s="3238"/>
      <c r="I81" s="3238"/>
      <c r="J81" s="3238"/>
      <c r="K81" s="3238"/>
      <c r="L81" s="3238"/>
      <c r="M81" s="3238"/>
      <c r="N81" s="3238"/>
      <c r="O81" s="3238"/>
      <c r="P81" s="3238"/>
      <c r="Q81" s="3238"/>
      <c r="R81" s="3238"/>
      <c r="S81" s="3238"/>
      <c r="T81" s="3239"/>
      <c r="U81" s="2369"/>
      <c r="V81" s="2377"/>
      <c r="W81" s="418"/>
      <c r="X81" s="418"/>
      <c r="Y81" s="418"/>
      <c r="Z81" s="418"/>
      <c r="AA81" s="418"/>
      <c r="AB81" s="418"/>
      <c r="AC81" s="418"/>
      <c r="AD81" s="418"/>
      <c r="AE81" s="418"/>
      <c r="AF81" s="418"/>
      <c r="AG81" s="418"/>
      <c r="AH81" s="418"/>
      <c r="AI81" s="418"/>
    </row>
    <row r="82" spans="1:35" s="5" customFormat="1" ht="14" customHeight="1">
      <c r="A82" s="866" t="s">
        <v>402</v>
      </c>
      <c r="B82" s="1991"/>
      <c r="C82" s="1947"/>
      <c r="D82" s="1985"/>
      <c r="E82" s="1986"/>
      <c r="F82" s="1984"/>
      <c r="G82" s="1987"/>
      <c r="H82" s="1987"/>
      <c r="I82" s="1987"/>
      <c r="J82" s="1987"/>
      <c r="K82" s="1987"/>
      <c r="L82" s="1987"/>
      <c r="M82" s="1987"/>
      <c r="N82" s="1987"/>
      <c r="O82" s="1987"/>
      <c r="P82" s="1987"/>
      <c r="Q82" s="1987"/>
      <c r="R82" s="1988"/>
      <c r="S82" s="1989">
        <f t="shared" ref="S82:S87" si="5">SUM(F82:R82)*B82-(M82*B82)</f>
        <v>0</v>
      </c>
      <c r="T82" s="1990" cm="1">
        <f t="array" ref="T82">SUM(F82:R82)*SUM(C82:E82)-SUM(C82:E82*L82)</f>
        <v>0</v>
      </c>
      <c r="U82" s="540">
        <f>SUM(F82:R89)</f>
        <v>0</v>
      </c>
      <c r="V82" s="2378"/>
      <c r="W82" s="419"/>
      <c r="X82" s="419"/>
      <c r="Y82" s="419"/>
      <c r="Z82" s="419"/>
      <c r="AA82" s="419"/>
      <c r="AB82" s="419"/>
      <c r="AC82" s="419"/>
      <c r="AD82" s="419"/>
      <c r="AE82" s="419"/>
      <c r="AF82" s="419"/>
      <c r="AG82" s="419"/>
      <c r="AH82" s="419"/>
      <c r="AI82" s="419"/>
    </row>
    <row r="83" spans="1:35" s="5" customFormat="1" ht="14" customHeight="1">
      <c r="A83" s="866" t="s">
        <v>403</v>
      </c>
      <c r="B83" s="1991"/>
      <c r="C83" s="1947"/>
      <c r="D83" s="1985"/>
      <c r="E83" s="1986"/>
      <c r="F83" s="1984"/>
      <c r="G83" s="1987"/>
      <c r="H83" s="1987"/>
      <c r="I83" s="1987"/>
      <c r="J83" s="1987"/>
      <c r="K83" s="1987"/>
      <c r="L83" s="1987"/>
      <c r="M83" s="1987"/>
      <c r="N83" s="1987"/>
      <c r="O83" s="1987"/>
      <c r="P83" s="1987"/>
      <c r="Q83" s="1987"/>
      <c r="R83" s="1988"/>
      <c r="S83" s="1989">
        <f t="shared" si="5"/>
        <v>0</v>
      </c>
      <c r="T83" s="1990" cm="1">
        <f t="array" ref="T83">SUM(F83:R83)*SUM(C83:E83)-SUM(C83:E83*L83)</f>
        <v>0</v>
      </c>
      <c r="U83" s="540">
        <f>SUM(L82:L89)</f>
        <v>0</v>
      </c>
      <c r="V83" s="2378"/>
      <c r="W83" s="419"/>
      <c r="X83" s="419"/>
      <c r="Y83" s="419"/>
      <c r="Z83" s="419"/>
      <c r="AA83" s="419"/>
      <c r="AB83" s="419"/>
      <c r="AC83" s="419"/>
      <c r="AD83" s="419"/>
      <c r="AE83" s="419"/>
      <c r="AF83" s="419"/>
      <c r="AG83" s="419"/>
      <c r="AH83" s="419"/>
      <c r="AI83" s="419"/>
    </row>
    <row r="84" spans="1:35" s="5" customFormat="1" ht="14" customHeight="1">
      <c r="A84" s="866" t="s">
        <v>404</v>
      </c>
      <c r="B84" s="1991"/>
      <c r="C84" s="1947"/>
      <c r="D84" s="1985"/>
      <c r="E84" s="1986"/>
      <c r="F84" s="1984"/>
      <c r="G84" s="1987"/>
      <c r="H84" s="1987"/>
      <c r="I84" s="1987"/>
      <c r="J84" s="1987"/>
      <c r="K84" s="1987"/>
      <c r="L84" s="1987"/>
      <c r="M84" s="1987"/>
      <c r="N84" s="1987"/>
      <c r="O84" s="1987"/>
      <c r="P84" s="1987"/>
      <c r="Q84" s="1987"/>
      <c r="R84" s="1988"/>
      <c r="S84" s="1989">
        <f t="shared" si="5"/>
        <v>0</v>
      </c>
      <c r="T84" s="1990" cm="1">
        <f t="array" ref="T84">SUM(F84:R84)*SUM(C84:E84)-SUM(C84:E84*L84)</f>
        <v>0</v>
      </c>
      <c r="U84" s="540">
        <f>U82-U83</f>
        <v>0</v>
      </c>
      <c r="V84" s="2378"/>
      <c r="W84" s="419"/>
      <c r="X84" s="419"/>
      <c r="Y84" s="419"/>
      <c r="Z84" s="419"/>
      <c r="AA84" s="419"/>
      <c r="AB84" s="419"/>
      <c r="AC84" s="419"/>
      <c r="AD84" s="419"/>
      <c r="AE84" s="419"/>
      <c r="AF84" s="419"/>
      <c r="AG84" s="419"/>
      <c r="AH84" s="419"/>
      <c r="AI84" s="419"/>
    </row>
    <row r="85" spans="1:35" s="5" customFormat="1" ht="14" customHeight="1">
      <c r="A85" s="866" t="s">
        <v>405</v>
      </c>
      <c r="B85" s="1991"/>
      <c r="C85" s="1947"/>
      <c r="D85" s="1985"/>
      <c r="E85" s="1986"/>
      <c r="F85" s="1984"/>
      <c r="G85" s="1987"/>
      <c r="H85" s="1987"/>
      <c r="I85" s="1987"/>
      <c r="J85" s="1987"/>
      <c r="K85" s="1987"/>
      <c r="L85" s="1987"/>
      <c r="M85" s="1987"/>
      <c r="N85" s="1987"/>
      <c r="O85" s="1987"/>
      <c r="P85" s="1987"/>
      <c r="Q85" s="1987"/>
      <c r="R85" s="1988"/>
      <c r="S85" s="1989">
        <f t="shared" si="5"/>
        <v>0</v>
      </c>
      <c r="T85" s="1990" cm="1">
        <f t="array" ref="T85">SUM(F85:R85)*SUM(C85:E85)-SUM(C85:E85*L85)</f>
        <v>0</v>
      </c>
      <c r="U85" s="2370">
        <f>IF($T$56&gt;0,U84/$T$56,0)</f>
        <v>0</v>
      </c>
      <c r="V85" s="2378">
        <f>U85*1</f>
        <v>0</v>
      </c>
      <c r="W85" s="419"/>
      <c r="X85" s="419"/>
      <c r="Y85" s="419"/>
      <c r="Z85" s="419"/>
      <c r="AA85" s="419"/>
      <c r="AB85" s="419"/>
      <c r="AC85" s="419"/>
      <c r="AD85" s="419"/>
      <c r="AE85" s="419"/>
      <c r="AF85" s="419"/>
      <c r="AG85" s="419"/>
      <c r="AH85" s="419"/>
      <c r="AI85" s="419"/>
    </row>
    <row r="86" spans="1:35" s="5" customFormat="1" ht="14" customHeight="1">
      <c r="A86" s="866" t="s">
        <v>406</v>
      </c>
      <c r="B86" s="1991"/>
      <c r="C86" s="1947"/>
      <c r="D86" s="1985"/>
      <c r="E86" s="1986"/>
      <c r="F86" s="1984"/>
      <c r="G86" s="1987"/>
      <c r="H86" s="1987"/>
      <c r="I86" s="1987"/>
      <c r="J86" s="1987"/>
      <c r="K86" s="1987"/>
      <c r="L86" s="1987"/>
      <c r="M86" s="1987"/>
      <c r="N86" s="1987"/>
      <c r="O86" s="1987"/>
      <c r="P86" s="1987"/>
      <c r="Q86" s="1987"/>
      <c r="R86" s="1988"/>
      <c r="S86" s="1989">
        <f t="shared" si="5"/>
        <v>0</v>
      </c>
      <c r="T86" s="1990" cm="1">
        <f t="array" ref="T86">SUM(F86:R86)*SUM(C86:E86)-SUM(C86:E86*L86)</f>
        <v>0</v>
      </c>
      <c r="U86" s="2370"/>
      <c r="V86" s="2378"/>
      <c r="W86" s="419"/>
      <c r="X86" s="419"/>
      <c r="Y86" s="419"/>
      <c r="Z86" s="419"/>
      <c r="AA86" s="419"/>
      <c r="AB86" s="419"/>
      <c r="AC86" s="419"/>
      <c r="AD86" s="419"/>
      <c r="AE86" s="419"/>
      <c r="AF86" s="419"/>
      <c r="AG86" s="419"/>
      <c r="AH86" s="419"/>
      <c r="AI86" s="419"/>
    </row>
    <row r="87" spans="1:35" s="5" customFormat="1" ht="14" customHeight="1">
      <c r="A87" s="867" t="s">
        <v>407</v>
      </c>
      <c r="B87" s="1983"/>
      <c r="C87" s="1984"/>
      <c r="D87" s="1985"/>
      <c r="E87" s="1986"/>
      <c r="F87" s="1984"/>
      <c r="G87" s="1987"/>
      <c r="H87" s="1987"/>
      <c r="I87" s="1987"/>
      <c r="J87" s="1987"/>
      <c r="K87" s="1987"/>
      <c r="L87" s="1987"/>
      <c r="M87" s="1987"/>
      <c r="N87" s="1987"/>
      <c r="O87" s="1987"/>
      <c r="P87" s="1987"/>
      <c r="Q87" s="1987"/>
      <c r="R87" s="1988"/>
      <c r="S87" s="1989">
        <f t="shared" si="5"/>
        <v>0</v>
      </c>
      <c r="T87" s="1990" cm="1">
        <f t="array" ref="T87">SUM(F87:R87)*SUM(C87:E87)-SUM(C87:E87*L87)</f>
        <v>0</v>
      </c>
      <c r="U87" s="540"/>
      <c r="V87" s="2378"/>
      <c r="W87" s="419"/>
      <c r="X87" s="419"/>
      <c r="Y87" s="419"/>
      <c r="Z87" s="419"/>
      <c r="AA87" s="419"/>
      <c r="AB87" s="419"/>
      <c r="AC87" s="419"/>
      <c r="AD87" s="419"/>
      <c r="AE87" s="419"/>
      <c r="AF87" s="419"/>
      <c r="AG87" s="419"/>
      <c r="AH87" s="419"/>
      <c r="AI87" s="419"/>
    </row>
    <row r="88" spans="1:35" s="5" customFormat="1" ht="14" customHeight="1">
      <c r="A88" s="867" t="s">
        <v>408</v>
      </c>
      <c r="B88" s="2358"/>
      <c r="C88" s="2359"/>
      <c r="D88" s="2360"/>
      <c r="E88" s="2361"/>
      <c r="F88" s="2362"/>
      <c r="G88" s="2363"/>
      <c r="H88" s="2363"/>
      <c r="I88" s="2363"/>
      <c r="J88" s="2363"/>
      <c r="K88" s="2363"/>
      <c r="L88" s="2363"/>
      <c r="M88" s="2363"/>
      <c r="N88" s="2363"/>
      <c r="O88" s="2363"/>
      <c r="P88" s="2363"/>
      <c r="Q88" s="2363"/>
      <c r="R88" s="2364"/>
      <c r="S88" s="2365"/>
      <c r="T88" s="2366"/>
      <c r="U88" s="540"/>
      <c r="V88" s="2378"/>
      <c r="W88" s="419"/>
      <c r="X88" s="419"/>
      <c r="Y88" s="419"/>
      <c r="Z88" s="419"/>
      <c r="AA88" s="419"/>
      <c r="AB88" s="419"/>
      <c r="AC88" s="419"/>
      <c r="AD88" s="419"/>
      <c r="AE88" s="419"/>
      <c r="AF88" s="419"/>
      <c r="AG88" s="419"/>
      <c r="AH88" s="419"/>
      <c r="AI88" s="419"/>
    </row>
    <row r="89" spans="1:35" s="5" customFormat="1" ht="14" customHeight="1" thickBot="1">
      <c r="A89" s="867" t="s">
        <v>409</v>
      </c>
      <c r="B89" s="1992"/>
      <c r="C89" s="1993"/>
      <c r="D89" s="1994"/>
      <c r="E89" s="1995"/>
      <c r="F89" s="1960"/>
      <c r="G89" s="1961"/>
      <c r="H89" s="1961"/>
      <c r="I89" s="1961"/>
      <c r="J89" s="1961"/>
      <c r="K89" s="1961"/>
      <c r="L89" s="1961"/>
      <c r="M89" s="1961"/>
      <c r="N89" s="1961"/>
      <c r="O89" s="1961"/>
      <c r="P89" s="1961"/>
      <c r="Q89" s="1961"/>
      <c r="R89" s="1995"/>
      <c r="S89" s="2000">
        <f>SUM(F89:R89)*B89-(M89*B89)</f>
        <v>0</v>
      </c>
      <c r="T89" s="2001" cm="1">
        <f t="array" ref="T89">SUM(F89:R89)*SUM(C89:E89)-SUM(C89:E89*L89)</f>
        <v>0</v>
      </c>
      <c r="U89" s="540"/>
      <c r="V89" s="2378"/>
      <c r="W89" s="419"/>
      <c r="X89" s="419"/>
      <c r="Y89" s="419"/>
      <c r="Z89" s="419"/>
      <c r="AA89" s="419"/>
      <c r="AB89" s="419"/>
      <c r="AC89" s="419"/>
      <c r="AD89" s="419"/>
      <c r="AE89" s="419"/>
      <c r="AF89" s="419"/>
      <c r="AG89" s="419"/>
      <c r="AH89" s="419"/>
      <c r="AI89" s="419"/>
    </row>
    <row r="90" spans="1:35" s="5" customFormat="1" ht="16.5" customHeight="1" thickBot="1">
      <c r="A90" s="868"/>
      <c r="B90" s="530" t="str">
        <f>"Indtægter i alt til hovedskema. Lin. 19 og 26"</f>
        <v>Indtægter i alt til hovedskema. Lin. 19 og 26</v>
      </c>
      <c r="C90" s="530"/>
      <c r="D90" s="530"/>
      <c r="E90" s="530"/>
      <c r="F90" s="530"/>
      <c r="G90" s="530"/>
      <c r="H90" s="530"/>
      <c r="I90" s="530"/>
      <c r="J90" s="530"/>
      <c r="K90" s="530"/>
      <c r="L90" s="530"/>
      <c r="M90" s="530"/>
      <c r="N90" s="530"/>
      <c r="O90" s="530"/>
      <c r="P90" s="530"/>
      <c r="Q90" s="530"/>
      <c r="R90" s="871"/>
      <c r="S90" s="872">
        <f>SUM(S64:S89)</f>
        <v>0</v>
      </c>
      <c r="T90" s="872">
        <f>SUM(T64:T89)</f>
        <v>0</v>
      </c>
      <c r="U90" s="540"/>
      <c r="V90" s="2378"/>
      <c r="W90" s="419"/>
      <c r="X90" s="419"/>
      <c r="Y90" s="419"/>
      <c r="Z90" s="419"/>
      <c r="AA90" s="419"/>
      <c r="AB90" s="419"/>
      <c r="AC90" s="419"/>
      <c r="AD90" s="419"/>
      <c r="AE90" s="419"/>
      <c r="AF90" s="419"/>
      <c r="AG90" s="419"/>
      <c r="AH90" s="419"/>
    </row>
    <row r="91" spans="1:35" s="5" customFormat="1" ht="24" customHeight="1">
      <c r="A91" s="3084" t="s">
        <v>919</v>
      </c>
      <c r="B91" s="3085"/>
      <c r="C91" s="3085"/>
      <c r="D91" s="3085"/>
      <c r="E91" s="3085"/>
      <c r="F91" s="3085"/>
      <c r="G91" s="3085"/>
      <c r="H91" s="3085"/>
      <c r="I91" s="3085"/>
      <c r="J91" s="3085"/>
      <c r="K91" s="3085"/>
      <c r="L91" s="3085"/>
      <c r="M91" s="3085"/>
      <c r="N91" s="3085"/>
      <c r="O91" s="3085"/>
      <c r="P91" s="3085"/>
      <c r="Q91" s="3085"/>
      <c r="R91" s="3085"/>
      <c r="S91" s="3085"/>
      <c r="T91" s="3086"/>
      <c r="U91" s="540"/>
      <c r="V91" s="2378"/>
      <c r="W91" s="419"/>
      <c r="X91" s="419"/>
      <c r="Y91" s="419"/>
      <c r="Z91" s="419"/>
      <c r="AA91" s="419"/>
      <c r="AB91" s="419"/>
      <c r="AC91" s="419"/>
      <c r="AD91" s="419"/>
      <c r="AE91" s="419"/>
      <c r="AF91" s="419"/>
      <c r="AG91" s="419"/>
      <c r="AH91" s="419"/>
    </row>
    <row r="92" spans="1:35" s="5" customFormat="1" ht="17" customHeight="1" thickBot="1">
      <c r="A92" s="3087" t="str">
        <f>"(ønskes flere rækker, kan disse indsættes imellem linie "&amp;U93&amp;" - "&amp;U97&amp;""</f>
        <v>(ønskes flere rækker, kan disse indsættes imellem linie 93 - 97</v>
      </c>
      <c r="B92" s="3088"/>
      <c r="C92" s="3088"/>
      <c r="D92" s="3088"/>
      <c r="E92" s="3088"/>
      <c r="F92" s="3088"/>
      <c r="G92" s="3088"/>
      <c r="H92" s="3088"/>
      <c r="I92" s="3088"/>
      <c r="J92" s="3088"/>
      <c r="K92" s="3088"/>
      <c r="L92" s="3088"/>
      <c r="M92" s="3088"/>
      <c r="N92" s="3088"/>
      <c r="O92" s="3088"/>
      <c r="P92" s="3088"/>
      <c r="Q92" s="3088"/>
      <c r="R92" s="3088"/>
      <c r="S92" s="3088"/>
      <c r="T92" s="3089"/>
      <c r="U92" s="540"/>
      <c r="V92" s="2378"/>
      <c r="W92" s="419"/>
      <c r="X92" s="419"/>
      <c r="Y92" s="419"/>
      <c r="Z92" s="419"/>
      <c r="AA92" s="419"/>
      <c r="AB92" s="419"/>
      <c r="AC92" s="419"/>
      <c r="AD92" s="419"/>
      <c r="AE92" s="419"/>
      <c r="AF92" s="419"/>
      <c r="AG92" s="419"/>
      <c r="AH92" s="419"/>
    </row>
    <row r="93" spans="1:35" s="5" customFormat="1" ht="14" customHeight="1">
      <c r="A93" s="1963" t="s">
        <v>859</v>
      </c>
      <c r="B93" s="531"/>
      <c r="C93" s="531"/>
      <c r="D93" s="531"/>
      <c r="E93" s="531"/>
      <c r="F93" s="531"/>
      <c r="G93" s="531"/>
      <c r="H93" s="531"/>
      <c r="I93" s="531"/>
      <c r="J93" s="531"/>
      <c r="K93" s="531"/>
      <c r="L93" s="531"/>
      <c r="M93" s="531"/>
      <c r="N93" s="531"/>
      <c r="O93" s="531"/>
      <c r="P93" s="531"/>
      <c r="Q93" s="531"/>
      <c r="R93" s="531"/>
      <c r="S93" s="3090"/>
      <c r="T93" s="3091"/>
      <c r="U93" s="540">
        <f>ROW(T93)</f>
        <v>93</v>
      </c>
      <c r="V93" s="2378"/>
      <c r="W93" s="419"/>
      <c r="X93" s="419"/>
      <c r="Y93" s="419"/>
      <c r="Z93" s="419"/>
      <c r="AA93" s="419"/>
      <c r="AB93" s="419"/>
      <c r="AC93" s="419"/>
      <c r="AD93" s="419"/>
      <c r="AE93" s="419"/>
      <c r="AF93" s="419"/>
      <c r="AG93" s="419"/>
      <c r="AH93" s="419"/>
    </row>
    <row r="94" spans="1:35" s="5" customFormat="1" ht="14" customHeight="1">
      <c r="A94" s="3080" t="s">
        <v>806</v>
      </c>
      <c r="B94" s="3081"/>
      <c r="C94" s="3081"/>
      <c r="D94" s="3081"/>
      <c r="E94" s="3081"/>
      <c r="F94" s="3081"/>
      <c r="G94" s="3081"/>
      <c r="H94" s="3081"/>
      <c r="I94" s="3081"/>
      <c r="J94" s="3081"/>
      <c r="K94" s="3081"/>
      <c r="L94" s="3081"/>
      <c r="M94" s="3081"/>
      <c r="N94" s="3081"/>
      <c r="O94" s="3081"/>
      <c r="P94" s="3081"/>
      <c r="Q94" s="3081"/>
      <c r="R94" s="3081"/>
      <c r="S94" s="3092"/>
      <c r="T94" s="3093"/>
      <c r="U94" s="540"/>
      <c r="V94" s="2378"/>
      <c r="W94" s="419"/>
      <c r="X94" s="419"/>
      <c r="Y94" s="419"/>
      <c r="Z94" s="419"/>
      <c r="AA94" s="419"/>
      <c r="AB94" s="419"/>
      <c r="AC94" s="419"/>
      <c r="AD94" s="419"/>
      <c r="AE94" s="419"/>
      <c r="AF94" s="419"/>
      <c r="AG94" s="419"/>
      <c r="AH94" s="419"/>
    </row>
    <row r="95" spans="1:35" s="5" customFormat="1" ht="14" customHeight="1">
      <c r="A95" s="3080"/>
      <c r="B95" s="3081"/>
      <c r="C95" s="3081"/>
      <c r="D95" s="3081"/>
      <c r="E95" s="3081"/>
      <c r="F95" s="3081"/>
      <c r="G95" s="3081"/>
      <c r="H95" s="3081"/>
      <c r="I95" s="3081"/>
      <c r="J95" s="3081"/>
      <c r="K95" s="3081"/>
      <c r="L95" s="3081"/>
      <c r="M95" s="3081"/>
      <c r="N95" s="3081"/>
      <c r="O95" s="3081"/>
      <c r="P95" s="3081"/>
      <c r="Q95" s="3081"/>
      <c r="R95" s="3081"/>
      <c r="S95" s="3092"/>
      <c r="T95" s="3093"/>
      <c r="U95" s="540"/>
      <c r="V95" s="2378"/>
      <c r="W95" s="419"/>
      <c r="X95" s="419"/>
      <c r="Y95" s="419"/>
      <c r="Z95" s="419"/>
      <c r="AA95" s="419"/>
      <c r="AB95" s="419"/>
      <c r="AC95" s="419"/>
      <c r="AD95" s="419"/>
      <c r="AE95" s="419"/>
      <c r="AF95" s="419"/>
      <c r="AG95" s="419"/>
      <c r="AH95" s="419"/>
    </row>
    <row r="96" spans="1:35" s="5" customFormat="1" ht="14" customHeight="1">
      <c r="A96" s="3080"/>
      <c r="B96" s="3081"/>
      <c r="C96" s="3081"/>
      <c r="D96" s="3081"/>
      <c r="E96" s="3081"/>
      <c r="F96" s="3081"/>
      <c r="G96" s="3081"/>
      <c r="H96" s="3081"/>
      <c r="I96" s="3081"/>
      <c r="J96" s="3081"/>
      <c r="K96" s="3081"/>
      <c r="L96" s="3081"/>
      <c r="M96" s="3081"/>
      <c r="N96" s="3081"/>
      <c r="O96" s="3081"/>
      <c r="P96" s="3081"/>
      <c r="Q96" s="3081"/>
      <c r="R96" s="3081"/>
      <c r="S96" s="3092"/>
      <c r="T96" s="3093"/>
      <c r="U96" s="540"/>
      <c r="V96" s="2378"/>
      <c r="W96" s="419"/>
      <c r="X96" s="419"/>
      <c r="Y96" s="419"/>
      <c r="Z96" s="419"/>
      <c r="AA96" s="419"/>
      <c r="AB96" s="419"/>
      <c r="AC96" s="419"/>
      <c r="AD96" s="419"/>
      <c r="AE96" s="419"/>
      <c r="AF96" s="419"/>
      <c r="AG96" s="419"/>
      <c r="AH96" s="419"/>
    </row>
    <row r="97" spans="1:35" s="5" customFormat="1" ht="14" customHeight="1" thickBot="1">
      <c r="A97" s="3080"/>
      <c r="B97" s="3081"/>
      <c r="C97" s="3081"/>
      <c r="D97" s="3081"/>
      <c r="E97" s="3081"/>
      <c r="F97" s="3081"/>
      <c r="G97" s="3081"/>
      <c r="H97" s="3081"/>
      <c r="I97" s="3081"/>
      <c r="J97" s="3081"/>
      <c r="K97" s="3081"/>
      <c r="L97" s="3081"/>
      <c r="M97" s="3081"/>
      <c r="N97" s="3081"/>
      <c r="O97" s="3081"/>
      <c r="P97" s="3081"/>
      <c r="Q97" s="3081"/>
      <c r="R97" s="3081"/>
      <c r="S97" s="3092"/>
      <c r="T97" s="3093"/>
      <c r="U97" s="540">
        <f>ROW(T97)</f>
        <v>97</v>
      </c>
      <c r="V97" s="2378"/>
      <c r="W97" s="419"/>
      <c r="X97" s="419"/>
      <c r="Y97" s="419"/>
      <c r="Z97" s="419"/>
      <c r="AA97" s="419"/>
      <c r="AB97" s="419"/>
      <c r="AC97" s="419"/>
      <c r="AD97" s="419"/>
      <c r="AE97" s="419"/>
      <c r="AF97" s="419"/>
      <c r="AG97" s="419"/>
      <c r="AH97" s="419"/>
    </row>
    <row r="98" spans="1:35" s="5" customFormat="1" ht="14" customHeight="1" thickBot="1">
      <c r="A98" s="3174" t="s">
        <v>920</v>
      </c>
      <c r="B98" s="3175"/>
      <c r="C98" s="3175"/>
      <c r="D98" s="3175"/>
      <c r="E98" s="3175"/>
      <c r="F98" s="3175"/>
      <c r="G98" s="3175"/>
      <c r="H98" s="3175"/>
      <c r="I98" s="3175"/>
      <c r="J98" s="3175"/>
      <c r="K98" s="3175"/>
      <c r="L98" s="3175"/>
      <c r="M98" s="3175"/>
      <c r="N98" s="3175"/>
      <c r="O98" s="3175"/>
      <c r="P98" s="3175"/>
      <c r="Q98" s="3175"/>
      <c r="R98" s="3175"/>
      <c r="S98" s="3172">
        <f>SUM(S93:S97)</f>
        <v>0</v>
      </c>
      <c r="T98" s="3173"/>
      <c r="U98" s="540"/>
      <c r="V98" s="2378"/>
      <c r="W98" s="419"/>
      <c r="X98" s="419"/>
      <c r="Y98" s="419"/>
      <c r="Z98" s="419"/>
      <c r="AA98" s="419"/>
      <c r="AB98" s="419"/>
      <c r="AC98" s="419"/>
      <c r="AD98" s="419"/>
      <c r="AE98" s="419"/>
      <c r="AF98" s="419"/>
      <c r="AG98" s="419"/>
      <c r="AH98" s="419"/>
    </row>
    <row r="99" spans="1:35" s="5" customFormat="1" ht="24" customHeight="1">
      <c r="A99" s="3084" t="s">
        <v>921</v>
      </c>
      <c r="B99" s="3085"/>
      <c r="C99" s="3085"/>
      <c r="D99" s="3085"/>
      <c r="E99" s="3085"/>
      <c r="F99" s="3085"/>
      <c r="G99" s="3085"/>
      <c r="H99" s="3085"/>
      <c r="I99" s="3085"/>
      <c r="J99" s="3085"/>
      <c r="K99" s="3085"/>
      <c r="L99" s="3085"/>
      <c r="M99" s="3085"/>
      <c r="N99" s="3085"/>
      <c r="O99" s="3085"/>
      <c r="P99" s="3085"/>
      <c r="Q99" s="3085"/>
      <c r="R99" s="3085"/>
      <c r="S99" s="3085"/>
      <c r="T99" s="3086"/>
      <c r="U99" s="540"/>
      <c r="V99" s="2378"/>
      <c r="W99" s="419"/>
      <c r="X99" s="419"/>
      <c r="Y99" s="419"/>
      <c r="Z99" s="419"/>
      <c r="AA99" s="419"/>
      <c r="AB99" s="419"/>
      <c r="AC99" s="419"/>
      <c r="AD99" s="419"/>
      <c r="AE99" s="419"/>
      <c r="AF99" s="419"/>
      <c r="AG99" s="419"/>
      <c r="AH99" s="419"/>
    </row>
    <row r="100" spans="1:35" s="5" customFormat="1" ht="17" customHeight="1" thickBot="1">
      <c r="A100" s="3087" t="str">
        <f>"(ønskes flere rækker, kan disse indsættes imellem linie "&amp;U101&amp;" - "&amp;U105&amp;""</f>
        <v>(ønskes flere rækker, kan disse indsættes imellem linie 101 - 105</v>
      </c>
      <c r="B100" s="3088"/>
      <c r="C100" s="3088"/>
      <c r="D100" s="3088"/>
      <c r="E100" s="3088"/>
      <c r="F100" s="3088"/>
      <c r="G100" s="3088"/>
      <c r="H100" s="3088"/>
      <c r="I100" s="3088"/>
      <c r="J100" s="3088"/>
      <c r="K100" s="3088"/>
      <c r="L100" s="3088"/>
      <c r="M100" s="3088"/>
      <c r="N100" s="3088"/>
      <c r="O100" s="3088"/>
      <c r="P100" s="3088"/>
      <c r="Q100" s="3088"/>
      <c r="R100" s="3088"/>
      <c r="S100" s="3088"/>
      <c r="T100" s="3089"/>
      <c r="U100" s="540"/>
      <c r="V100" s="2378"/>
      <c r="W100" s="419"/>
      <c r="X100" s="419"/>
      <c r="Y100" s="419"/>
      <c r="Z100" s="419"/>
      <c r="AA100" s="419"/>
      <c r="AB100" s="419"/>
      <c r="AC100" s="419"/>
      <c r="AD100" s="419"/>
      <c r="AE100" s="419"/>
      <c r="AF100" s="419"/>
      <c r="AG100" s="419"/>
      <c r="AH100" s="419"/>
    </row>
    <row r="101" spans="1:35" s="5" customFormat="1" ht="14" customHeight="1">
      <c r="A101" s="3078" t="s">
        <v>884</v>
      </c>
      <c r="B101" s="3079"/>
      <c r="C101" s="3079"/>
      <c r="D101" s="3079"/>
      <c r="E101" s="3079"/>
      <c r="F101" s="3079"/>
      <c r="G101" s="3079"/>
      <c r="H101" s="3079"/>
      <c r="I101" s="3079"/>
      <c r="J101" s="3079"/>
      <c r="K101" s="3079"/>
      <c r="L101" s="3079"/>
      <c r="M101" s="3079"/>
      <c r="N101" s="3079"/>
      <c r="O101" s="3079"/>
      <c r="P101" s="3079"/>
      <c r="Q101" s="3079"/>
      <c r="R101" s="3079"/>
      <c r="S101" s="3090"/>
      <c r="T101" s="3091"/>
      <c r="U101" s="540">
        <f>ROW(T101)</f>
        <v>101</v>
      </c>
      <c r="V101" s="2378"/>
      <c r="W101" s="419"/>
      <c r="X101" s="419"/>
      <c r="Y101" s="419"/>
      <c r="Z101" s="419"/>
      <c r="AA101" s="419"/>
      <c r="AB101" s="419"/>
      <c r="AC101" s="419"/>
      <c r="AD101" s="419"/>
      <c r="AE101" s="419"/>
      <c r="AF101" s="419"/>
      <c r="AG101" s="419"/>
      <c r="AH101" s="419"/>
    </row>
    <row r="102" spans="1:35" s="5" customFormat="1" ht="14" customHeight="1">
      <c r="A102" s="3080"/>
      <c r="B102" s="3081"/>
      <c r="C102" s="3081"/>
      <c r="D102" s="3081"/>
      <c r="E102" s="3081"/>
      <c r="F102" s="3081"/>
      <c r="G102" s="3081"/>
      <c r="H102" s="3081"/>
      <c r="I102" s="3081"/>
      <c r="J102" s="3081"/>
      <c r="K102" s="3081"/>
      <c r="L102" s="3081"/>
      <c r="M102" s="3081"/>
      <c r="N102" s="3081"/>
      <c r="O102" s="3081"/>
      <c r="P102" s="3081"/>
      <c r="Q102" s="3081"/>
      <c r="R102" s="3081"/>
      <c r="S102" s="3092"/>
      <c r="T102" s="3093"/>
      <c r="U102" s="540"/>
      <c r="V102" s="2378"/>
      <c r="W102" s="419"/>
      <c r="X102" s="419"/>
      <c r="Y102" s="419"/>
      <c r="Z102" s="419"/>
      <c r="AA102" s="419"/>
      <c r="AB102" s="419"/>
      <c r="AC102" s="419"/>
      <c r="AD102" s="419"/>
      <c r="AE102" s="419"/>
      <c r="AF102" s="419"/>
      <c r="AG102" s="419"/>
      <c r="AH102" s="419"/>
    </row>
    <row r="103" spans="1:35" s="5" customFormat="1" ht="14" customHeight="1">
      <c r="A103" s="3080"/>
      <c r="B103" s="3081"/>
      <c r="C103" s="3081"/>
      <c r="D103" s="3081"/>
      <c r="E103" s="3081"/>
      <c r="F103" s="3081"/>
      <c r="G103" s="3081"/>
      <c r="H103" s="3081"/>
      <c r="I103" s="3081"/>
      <c r="J103" s="3081"/>
      <c r="K103" s="3081"/>
      <c r="L103" s="3081"/>
      <c r="M103" s="3081"/>
      <c r="N103" s="3081"/>
      <c r="O103" s="3081"/>
      <c r="P103" s="3081"/>
      <c r="Q103" s="3081"/>
      <c r="R103" s="3081"/>
      <c r="S103" s="3092"/>
      <c r="T103" s="3093"/>
      <c r="U103" s="540"/>
      <c r="V103" s="2378"/>
      <c r="W103" s="419"/>
      <c r="X103" s="419"/>
      <c r="Y103" s="419"/>
      <c r="Z103" s="419"/>
      <c r="AA103" s="419"/>
      <c r="AB103" s="419"/>
      <c r="AC103" s="419"/>
      <c r="AD103" s="419"/>
      <c r="AE103" s="419"/>
      <c r="AF103" s="419"/>
      <c r="AG103" s="419"/>
      <c r="AH103" s="419"/>
    </row>
    <row r="104" spans="1:35" s="5" customFormat="1" ht="14" customHeight="1">
      <c r="A104" s="3080"/>
      <c r="B104" s="3081"/>
      <c r="C104" s="3081"/>
      <c r="D104" s="3081"/>
      <c r="E104" s="3081"/>
      <c r="F104" s="3081"/>
      <c r="G104" s="3081"/>
      <c r="H104" s="3081"/>
      <c r="I104" s="3081"/>
      <c r="J104" s="3081"/>
      <c r="K104" s="3081"/>
      <c r="L104" s="3081"/>
      <c r="M104" s="3081"/>
      <c r="N104" s="3081"/>
      <c r="O104" s="3081"/>
      <c r="P104" s="3081"/>
      <c r="Q104" s="3081"/>
      <c r="R104" s="3081"/>
      <c r="S104" s="3092"/>
      <c r="T104" s="3093"/>
      <c r="U104" s="540"/>
      <c r="V104" s="2378"/>
      <c r="W104" s="419"/>
      <c r="X104" s="419"/>
      <c r="Y104" s="419"/>
      <c r="Z104" s="419"/>
      <c r="AA104" s="419"/>
      <c r="AB104" s="419"/>
      <c r="AC104" s="419"/>
      <c r="AD104" s="419"/>
      <c r="AE104" s="419"/>
      <c r="AF104" s="419"/>
      <c r="AG104" s="419"/>
      <c r="AH104" s="419"/>
    </row>
    <row r="105" spans="1:35" s="5" customFormat="1" ht="14" customHeight="1" thickBot="1">
      <c r="A105" s="3080"/>
      <c r="B105" s="3081"/>
      <c r="C105" s="3081"/>
      <c r="D105" s="3081"/>
      <c r="E105" s="3081"/>
      <c r="F105" s="3081"/>
      <c r="G105" s="3081"/>
      <c r="H105" s="3081"/>
      <c r="I105" s="3081"/>
      <c r="J105" s="3081"/>
      <c r="K105" s="3081"/>
      <c r="L105" s="3081"/>
      <c r="M105" s="3081"/>
      <c r="N105" s="3081"/>
      <c r="O105" s="3081"/>
      <c r="P105" s="3081"/>
      <c r="Q105" s="3081"/>
      <c r="R105" s="3081"/>
      <c r="S105" s="3094"/>
      <c r="T105" s="3095"/>
      <c r="U105" s="540">
        <f>ROW(T105)</f>
        <v>105</v>
      </c>
      <c r="V105" s="2378"/>
      <c r="W105" s="419"/>
      <c r="X105" s="419"/>
      <c r="Y105" s="419"/>
      <c r="Z105" s="419"/>
      <c r="AA105" s="419"/>
      <c r="AB105" s="419"/>
      <c r="AC105" s="419"/>
      <c r="AD105" s="419"/>
      <c r="AE105" s="419"/>
      <c r="AF105" s="419"/>
      <c r="AG105" s="419"/>
      <c r="AH105" s="419"/>
    </row>
    <row r="106" spans="1:35" s="5" customFormat="1" ht="14" customHeight="1" thickBot="1">
      <c r="A106" s="3174" t="s">
        <v>922</v>
      </c>
      <c r="B106" s="3175"/>
      <c r="C106" s="3175"/>
      <c r="D106" s="3175"/>
      <c r="E106" s="3175"/>
      <c r="F106" s="3175"/>
      <c r="G106" s="3175"/>
      <c r="H106" s="3175"/>
      <c r="I106" s="3175"/>
      <c r="J106" s="3175"/>
      <c r="K106" s="3175"/>
      <c r="L106" s="3175"/>
      <c r="M106" s="3175"/>
      <c r="N106" s="3175"/>
      <c r="O106" s="3175"/>
      <c r="P106" s="3175"/>
      <c r="Q106" s="3175"/>
      <c r="R106" s="3176"/>
      <c r="S106" s="3189">
        <f>SUM(S101:S105)</f>
        <v>0</v>
      </c>
      <c r="T106" s="3190"/>
      <c r="U106" s="540"/>
      <c r="V106" s="2378"/>
      <c r="W106" s="419"/>
      <c r="X106" s="419"/>
      <c r="Y106" s="419"/>
      <c r="Z106" s="419"/>
      <c r="AA106" s="419"/>
      <c r="AB106" s="419"/>
      <c r="AC106" s="419"/>
      <c r="AD106" s="419"/>
      <c r="AE106" s="419"/>
      <c r="AF106" s="419"/>
      <c r="AG106" s="419"/>
      <c r="AH106" s="419"/>
    </row>
    <row r="107" spans="1:35" ht="16">
      <c r="A107" s="953"/>
      <c r="B107" s="954"/>
      <c r="C107" s="954"/>
      <c r="D107" s="955"/>
      <c r="E107" s="954"/>
      <c r="F107" s="954"/>
      <c r="G107" s="954"/>
      <c r="H107" s="954"/>
      <c r="I107" s="954"/>
      <c r="J107" s="954"/>
      <c r="K107" s="954"/>
      <c r="L107" s="954"/>
      <c r="M107" s="954"/>
      <c r="N107" s="954"/>
      <c r="O107" s="954"/>
      <c r="P107" s="954"/>
      <c r="Q107" s="954"/>
      <c r="R107" s="956"/>
      <c r="S107" s="956"/>
      <c r="T107" s="956"/>
      <c r="U107" s="2373"/>
      <c r="V107" s="2380"/>
      <c r="W107" s="388"/>
      <c r="X107" s="388"/>
      <c r="Y107" s="388"/>
      <c r="Z107" s="388"/>
      <c r="AA107" s="388"/>
      <c r="AB107" s="388"/>
      <c r="AC107" s="388"/>
      <c r="AD107" s="388"/>
      <c r="AE107" s="388"/>
      <c r="AF107" s="388"/>
      <c r="AG107" s="388"/>
      <c r="AH107" s="388"/>
      <c r="AI107" s="388"/>
    </row>
    <row r="108" spans="1:35" ht="17" thickBot="1">
      <c r="A108" s="423"/>
      <c r="B108" s="420"/>
      <c r="C108" s="420"/>
      <c r="D108" s="421"/>
      <c r="E108" s="420"/>
      <c r="F108" s="420"/>
      <c r="G108" s="420"/>
      <c r="H108" s="420"/>
      <c r="I108" s="420"/>
      <c r="J108" s="420"/>
      <c r="K108" s="420"/>
      <c r="L108" s="420"/>
      <c r="M108" s="420"/>
      <c r="N108" s="420"/>
      <c r="O108" s="420"/>
      <c r="P108" s="420"/>
      <c r="Q108" s="420"/>
      <c r="R108" s="422"/>
      <c r="S108" s="422"/>
      <c r="T108" s="422"/>
      <c r="U108" s="2373"/>
      <c r="V108" s="2380"/>
      <c r="W108" s="388"/>
      <c r="X108" s="388"/>
      <c r="Y108" s="388"/>
      <c r="Z108" s="388"/>
      <c r="AA108" s="388"/>
      <c r="AB108" s="388"/>
      <c r="AC108" s="388"/>
      <c r="AD108" s="388"/>
      <c r="AE108" s="388"/>
      <c r="AF108" s="388"/>
      <c r="AG108" s="388"/>
      <c r="AH108" s="388"/>
      <c r="AI108" s="388"/>
    </row>
    <row r="109" spans="1:35" ht="17" customHeight="1" thickBot="1">
      <c r="A109" s="3177" t="s">
        <v>923</v>
      </c>
      <c r="B109" s="3178"/>
      <c r="C109" s="3178"/>
      <c r="D109" s="3178"/>
      <c r="E109" s="3178"/>
      <c r="F109" s="3178"/>
      <c r="G109" s="3178"/>
      <c r="H109" s="3179"/>
      <c r="I109" s="388"/>
      <c r="J109" s="3234" t="s">
        <v>1548</v>
      </c>
      <c r="K109" s="3234"/>
      <c r="L109" s="3234"/>
      <c r="M109" s="3234"/>
      <c r="N109" s="3234"/>
      <c r="O109" s="3234"/>
      <c r="P109" s="3234"/>
      <c r="Q109" s="3234"/>
      <c r="R109" s="351"/>
      <c r="S109" s="351"/>
      <c r="T109" s="351"/>
      <c r="U109" s="351"/>
      <c r="V109" s="2489"/>
      <c r="W109" s="351"/>
      <c r="X109" s="351"/>
      <c r="Y109" s="388"/>
      <c r="Z109" s="388"/>
    </row>
    <row r="110" spans="1:35" ht="16">
      <c r="A110" s="957" t="s">
        <v>925</v>
      </c>
      <c r="B110" s="3183" t="s">
        <v>926</v>
      </c>
      <c r="C110" s="3183"/>
      <c r="D110" s="3184"/>
      <c r="E110" s="2002">
        <f>budgetår</f>
        <v>2025</v>
      </c>
      <c r="F110" s="3180">
        <f>budgetår+1</f>
        <v>2026</v>
      </c>
      <c r="G110" s="3180"/>
      <c r="H110" s="3181"/>
      <c r="I110" s="388"/>
      <c r="J110" s="3234"/>
      <c r="K110" s="3234"/>
      <c r="L110" s="3234"/>
      <c r="M110" s="3234"/>
      <c r="N110" s="3234"/>
      <c r="O110" s="3234"/>
      <c r="P110" s="3234"/>
      <c r="Q110" s="3234"/>
      <c r="R110" s="351"/>
      <c r="S110" s="351"/>
      <c r="T110" s="351"/>
      <c r="U110" s="351"/>
      <c r="V110" s="2489">
        <f>SUM('Lon pæd., TAP mm'!AA14:AY14)</f>
        <v>0</v>
      </c>
      <c r="W110" s="351">
        <f>SUM('Lon pæd., TAP mm'!X14:Z14)</f>
        <v>0</v>
      </c>
      <c r="X110" s="351"/>
      <c r="Y110" s="388"/>
      <c r="Z110" s="388"/>
      <c r="AA110" s="388"/>
      <c r="AB110" s="388"/>
      <c r="AC110" s="388"/>
    </row>
    <row r="111" spans="1:35" ht="16">
      <c r="A111" s="2003"/>
      <c r="B111" s="3096" t="s">
        <v>927</v>
      </c>
      <c r="C111" s="3096"/>
      <c r="D111" s="3191"/>
      <c r="E111" s="2006">
        <f>'Lon pæd., TAP mm'!BA56+'Lon pæd., TAP mm'!BA84+SUM('Lon pæd., TAP mm'!AZ81:BA81)</f>
        <v>0</v>
      </c>
      <c r="F111" s="3242">
        <f>'Lon pæd., TAP mm'!BA57+'Lon pæd., TAP mm'!BA85+SUM('Lon pæd., TAP mm'!AZ83:BA83)</f>
        <v>0</v>
      </c>
      <c r="G111" s="3242"/>
      <c r="H111" s="3243"/>
      <c r="I111" s="388"/>
      <c r="J111" s="3234"/>
      <c r="K111" s="3234"/>
      <c r="L111" s="3234"/>
      <c r="M111" s="3234"/>
      <c r="N111" s="3234"/>
      <c r="O111" s="3234"/>
      <c r="P111" s="3234"/>
      <c r="Q111" s="3234"/>
      <c r="R111" s="351"/>
      <c r="S111" s="351"/>
      <c r="T111" s="351"/>
      <c r="U111" s="351"/>
      <c r="V111" s="2489">
        <f>SUM('Lon pæd., TAP mm'!AA24:AY24)</f>
        <v>0</v>
      </c>
      <c r="W111" s="351"/>
      <c r="X111" s="351"/>
      <c r="Y111" s="388"/>
      <c r="Z111" s="388"/>
      <c r="AA111" s="388"/>
      <c r="AB111" s="388"/>
      <c r="AC111" s="388"/>
    </row>
    <row r="112" spans="1:35" ht="16">
      <c r="A112" s="2003"/>
      <c r="B112" s="2004" t="s">
        <v>928</v>
      </c>
      <c r="C112" s="2004"/>
      <c r="D112" s="2005"/>
      <c r="E112" s="2006">
        <f>Administration!E66</f>
        <v>0</v>
      </c>
      <c r="F112" s="3222">
        <f>'Lon pæd., TAP mm'!BA93</f>
        <v>0</v>
      </c>
      <c r="G112" s="3223"/>
      <c r="H112" s="3224"/>
      <c r="I112" s="388"/>
      <c r="J112" s="3234"/>
      <c r="K112" s="3234"/>
      <c r="L112" s="3234"/>
      <c r="M112" s="3234"/>
      <c r="N112" s="3234"/>
      <c r="O112" s="3234"/>
      <c r="P112" s="3234"/>
      <c r="Q112" s="3234"/>
      <c r="R112" s="351"/>
      <c r="S112" s="351"/>
      <c r="T112" s="351"/>
      <c r="U112" s="351"/>
      <c r="V112" s="2489">
        <f>Hovedskema!F8/6</f>
        <v>0</v>
      </c>
      <c r="W112" s="351"/>
      <c r="X112" s="351"/>
      <c r="Y112" s="388"/>
      <c r="Z112" s="388"/>
      <c r="AA112" s="388"/>
      <c r="AB112" s="388"/>
      <c r="AC112" s="388"/>
    </row>
    <row r="113" spans="1:29" ht="17" thickBot="1">
      <c r="A113" s="2003"/>
      <c r="B113" s="3116" t="s">
        <v>233</v>
      </c>
      <c r="C113" s="3116"/>
      <c r="D113" s="3182"/>
      <c r="E113" s="2006">
        <f>'Lon pæd., TAP mm'!BA70</f>
        <v>0</v>
      </c>
      <c r="F113" s="3242">
        <f>SUM('Lon pæd., TAP mm'!X69:BA69)</f>
        <v>0</v>
      </c>
      <c r="G113" s="3242"/>
      <c r="H113" s="3243"/>
      <c r="I113" s="388"/>
      <c r="J113" s="3235"/>
      <c r="K113" s="3235"/>
      <c r="L113" s="3235"/>
      <c r="M113" s="3235"/>
      <c r="N113" s="3235"/>
      <c r="O113" s="3235"/>
      <c r="P113" s="3235"/>
      <c r="Q113" s="3235"/>
      <c r="R113" s="351"/>
      <c r="S113" s="351"/>
      <c r="T113" s="351"/>
      <c r="U113" s="351"/>
      <c r="V113" s="2489">
        <f>Hovedskema!F9/3</f>
        <v>0</v>
      </c>
      <c r="W113" s="351"/>
      <c r="X113" s="351"/>
      <c r="Y113" s="388"/>
      <c r="Z113" s="388"/>
      <c r="AA113" s="388"/>
      <c r="AB113" s="388"/>
      <c r="AC113" s="388"/>
    </row>
    <row r="114" spans="1:29" ht="17" thickBot="1">
      <c r="A114" s="2007"/>
      <c r="B114" s="3196" t="s">
        <v>930</v>
      </c>
      <c r="C114" s="3196"/>
      <c r="D114" s="3196"/>
      <c r="E114" s="958">
        <f>SUM(E111:E113)</f>
        <v>0</v>
      </c>
      <c r="F114" s="3134">
        <f>SUM(F111:F113)</f>
        <v>0</v>
      </c>
      <c r="G114" s="3134"/>
      <c r="H114" s="3134"/>
      <c r="I114" s="388"/>
      <c r="J114" s="3197" t="s">
        <v>924</v>
      </c>
      <c r="K114" s="3197"/>
      <c r="L114" s="3197"/>
      <c r="M114" s="3197"/>
      <c r="N114" s="3197"/>
      <c r="O114" s="3197"/>
      <c r="P114" s="3197"/>
      <c r="Q114" s="3197"/>
      <c r="R114" s="351"/>
      <c r="S114" s="351"/>
      <c r="T114" s="351"/>
      <c r="U114" s="351">
        <f>V112+V113</f>
        <v>0</v>
      </c>
      <c r="V114" s="2489">
        <f>U114+0.85</f>
        <v>0.85</v>
      </c>
      <c r="W114" s="351"/>
      <c r="X114" s="351"/>
      <c r="Y114" s="388"/>
      <c r="Z114" s="388"/>
      <c r="AA114" s="388"/>
      <c r="AB114" s="388"/>
    </row>
    <row r="115" spans="1:29" ht="17" customHeight="1" thickBot="1">
      <c r="A115" s="3100"/>
      <c r="B115" s="3101"/>
      <c r="C115" s="3101"/>
      <c r="D115" s="3101"/>
      <c r="E115" s="3101"/>
      <c r="F115" s="3101"/>
      <c r="G115" s="407"/>
      <c r="H115" s="407"/>
      <c r="I115" s="388"/>
      <c r="J115" s="3198" t="s">
        <v>1544</v>
      </c>
      <c r="K115" s="3198"/>
      <c r="L115" s="3198"/>
      <c r="M115" s="3198"/>
      <c r="N115" s="3198"/>
      <c r="O115" s="3198"/>
      <c r="P115" s="3198"/>
      <c r="Q115" s="2381">
        <f>V14+V23+V32</f>
        <v>0</v>
      </c>
      <c r="R115" s="351"/>
      <c r="S115" s="351"/>
      <c r="T115" s="351"/>
      <c r="U115" s="351"/>
      <c r="V115" s="2489"/>
      <c r="W115" s="351"/>
      <c r="X115" s="351"/>
      <c r="Y115" s="388"/>
      <c r="Z115" s="388"/>
      <c r="AA115" s="388"/>
      <c r="AB115" s="388"/>
    </row>
    <row r="116" spans="1:29" ht="30" customHeight="1" thickBot="1">
      <c r="A116" s="3240" t="s">
        <v>810</v>
      </c>
      <c r="B116" s="3241"/>
      <c r="C116" s="3241"/>
      <c r="D116" s="3241"/>
      <c r="E116" s="3241"/>
      <c r="F116" s="3225" t="str">
        <f>"Ændringer i "&amp;$E$117+1&amp;" i forhold til "&amp;$E$117&amp;""</f>
        <v>Ændringer i 2026 i forhold til 2025</v>
      </c>
      <c r="G116" s="3226"/>
      <c r="H116" s="3227"/>
      <c r="I116" s="388"/>
      <c r="J116" s="3199" t="s">
        <v>1545</v>
      </c>
      <c r="K116" s="3199"/>
      <c r="L116" s="3199"/>
      <c r="M116" s="3199"/>
      <c r="N116" s="3199"/>
      <c r="O116" s="3199"/>
      <c r="P116" s="3199"/>
      <c r="Q116" s="2381">
        <f>V67+V76+V85</f>
        <v>0</v>
      </c>
      <c r="R116" s="351"/>
      <c r="S116" s="351"/>
      <c r="T116" s="351"/>
      <c r="U116" s="351"/>
      <c r="V116" s="2489"/>
      <c r="W116" s="351"/>
      <c r="X116" s="351"/>
      <c r="Y116" s="388"/>
    </row>
    <row r="117" spans="1:29" ht="17" customHeight="1" thickBot="1">
      <c r="A117" s="2008" t="str">
        <f>A110</f>
        <v>Kto. nr.</v>
      </c>
      <c r="B117" s="3200" t="s">
        <v>931</v>
      </c>
      <c r="C117" s="3200"/>
      <c r="D117" s="3200"/>
      <c r="E117" s="2009">
        <f>budgetår</f>
        <v>2025</v>
      </c>
      <c r="F117" s="3228" t="s">
        <v>932</v>
      </c>
      <c r="G117" s="3229"/>
      <c r="H117" s="3230"/>
      <c r="I117" s="388"/>
      <c r="J117" s="3192" t="s">
        <v>929</v>
      </c>
      <c r="K117" s="3192"/>
      <c r="L117" s="3192"/>
      <c r="M117" s="3192"/>
      <c r="N117" s="3192"/>
      <c r="O117" s="3192"/>
      <c r="P117" s="3192"/>
      <c r="Q117" s="2343">
        <f>IF(E3&gt;0,Q115/6,0)+IF(E56&gt;0,Q116/3,0)</f>
        <v>0</v>
      </c>
      <c r="R117" s="351"/>
      <c r="S117" s="351"/>
      <c r="T117" s="351"/>
      <c r="U117" s="351"/>
      <c r="V117" s="2489"/>
      <c r="W117" s="351"/>
      <c r="X117" s="351"/>
    </row>
    <row r="118" spans="1:29" ht="22" customHeight="1" thickBot="1">
      <c r="A118" s="2010"/>
      <c r="B118" s="3187" t="s">
        <v>934</v>
      </c>
      <c r="C118" s="3187"/>
      <c r="D118" s="3188"/>
      <c r="E118" s="2011"/>
      <c r="F118" s="3126"/>
      <c r="G118" s="3127"/>
      <c r="H118" s="3128"/>
      <c r="I118" s="388"/>
      <c r="J118" s="3194" t="s">
        <v>1540</v>
      </c>
      <c r="K118" s="3194"/>
      <c r="L118" s="3194"/>
      <c r="M118" s="3194"/>
      <c r="N118" s="3194"/>
      <c r="O118" s="3194"/>
      <c r="P118" s="3194"/>
      <c r="Q118" s="3194"/>
      <c r="R118" s="351"/>
      <c r="S118" s="351"/>
      <c r="T118" s="351"/>
      <c r="U118" s="351"/>
      <c r="V118" s="2489"/>
      <c r="W118" s="351"/>
      <c r="X118" s="351"/>
    </row>
    <row r="119" spans="1:29" ht="17" thickBot="1">
      <c r="A119" s="2012"/>
      <c r="B119" s="3201" t="s">
        <v>936</v>
      </c>
      <c r="C119" s="3201"/>
      <c r="D119" s="3202"/>
      <c r="E119" s="2013"/>
      <c r="F119" s="3126"/>
      <c r="G119" s="3127"/>
      <c r="H119" s="3128"/>
      <c r="I119" s="388"/>
      <c r="J119" s="3236" t="s">
        <v>1541</v>
      </c>
      <c r="K119" s="3236"/>
      <c r="L119" s="3236"/>
      <c r="M119" s="3236"/>
      <c r="N119" s="3236"/>
      <c r="O119" s="3236"/>
      <c r="P119" s="3236"/>
      <c r="Q119" s="2345">
        <f>SUM('Lon pæd., TAP mm'!X133:Z133)</f>
        <v>0</v>
      </c>
      <c r="R119" s="351"/>
      <c r="S119" s="351"/>
      <c r="T119" s="351"/>
      <c r="U119" s="351"/>
      <c r="V119" s="2489"/>
      <c r="W119" s="351"/>
      <c r="X119" s="351"/>
    </row>
    <row r="120" spans="1:29" ht="17" thickBot="1">
      <c r="A120" s="2012"/>
      <c r="B120" s="3201" t="s">
        <v>937</v>
      </c>
      <c r="C120" s="3201"/>
      <c r="D120" s="3202"/>
      <c r="E120" s="2013"/>
      <c r="F120" s="3126"/>
      <c r="G120" s="3127"/>
      <c r="H120" s="3128"/>
      <c r="I120" s="424"/>
      <c r="J120" s="3195" t="s">
        <v>1542</v>
      </c>
      <c r="K120" s="3195"/>
      <c r="L120" s="3195"/>
      <c r="M120" s="3195"/>
      <c r="N120" s="3195"/>
      <c r="O120" s="3195"/>
      <c r="P120" s="3195"/>
      <c r="Q120" s="2342">
        <f>SUM('Lon pæd., TAP mm'!AA133:AR133)</f>
        <v>0</v>
      </c>
      <c r="R120" s="351"/>
      <c r="S120" s="351"/>
      <c r="T120" s="351"/>
      <c r="U120" s="351"/>
      <c r="V120" s="2489"/>
      <c r="W120" s="351"/>
      <c r="X120" s="351"/>
    </row>
    <row r="121" spans="1:29" ht="17" thickBot="1">
      <c r="A121" s="2012"/>
      <c r="B121" s="3201" t="s">
        <v>938</v>
      </c>
      <c r="C121" s="3201"/>
      <c r="D121" s="3202"/>
      <c r="E121" s="2014"/>
      <c r="F121" s="3126"/>
      <c r="G121" s="3127"/>
      <c r="H121" s="3128"/>
      <c r="I121" s="410"/>
      <c r="J121" s="3195" t="s">
        <v>1566</v>
      </c>
      <c r="K121" s="3195"/>
      <c r="L121" s="3195"/>
      <c r="M121" s="3195"/>
      <c r="N121" s="3195"/>
      <c r="O121" s="3195"/>
      <c r="P121" s="3195"/>
      <c r="Q121" s="2342">
        <f>SUM('Lon pæd., TAP mm'!AR133:AU133)</f>
        <v>0</v>
      </c>
      <c r="R121" s="351"/>
      <c r="S121" s="351"/>
      <c r="T121" s="351"/>
      <c r="U121" s="351"/>
      <c r="V121" s="2489"/>
      <c r="W121" s="351"/>
      <c r="X121" s="351"/>
    </row>
    <row r="122" spans="1:29" ht="17" thickBot="1">
      <c r="A122" s="2012"/>
      <c r="B122" s="3201" t="s">
        <v>939</v>
      </c>
      <c r="C122" s="3201"/>
      <c r="D122" s="3202"/>
      <c r="E122" s="2015"/>
      <c r="F122" s="3126"/>
      <c r="G122" s="3127"/>
      <c r="H122" s="3128"/>
      <c r="I122" s="388"/>
      <c r="J122" s="3195" t="s">
        <v>1567</v>
      </c>
      <c r="K122" s="3195"/>
      <c r="L122" s="3195"/>
      <c r="M122" s="3195"/>
      <c r="N122" s="3195"/>
      <c r="O122" s="3195"/>
      <c r="P122" s="3195"/>
      <c r="Q122" s="2344">
        <f>SUM('Lon pæd., TAP mm'!AV133:AY133)</f>
        <v>0</v>
      </c>
      <c r="R122" s="351"/>
      <c r="S122" s="351"/>
      <c r="T122" s="351"/>
      <c r="U122" s="351"/>
      <c r="V122" s="2489"/>
      <c r="W122" s="351"/>
      <c r="X122" s="351"/>
    </row>
    <row r="123" spans="1:29" ht="17" thickBot="1">
      <c r="A123" s="2012"/>
      <c r="B123" s="3201"/>
      <c r="C123" s="3201"/>
      <c r="D123" s="3202"/>
      <c r="E123" s="2016"/>
      <c r="F123" s="3126"/>
      <c r="G123" s="3127"/>
      <c r="H123" s="3128"/>
      <c r="I123" s="388"/>
      <c r="J123" s="3193" t="s">
        <v>1543</v>
      </c>
      <c r="K123" s="3193"/>
      <c r="L123" s="3193"/>
      <c r="M123" s="3193"/>
      <c r="N123" s="3193"/>
      <c r="O123" s="3193"/>
      <c r="P123" s="3193"/>
      <c r="Q123" s="2342">
        <f>SUM('Lon pæd., TAP mm'!AZ133:BA133)</f>
        <v>0</v>
      </c>
      <c r="R123" s="351"/>
      <c r="S123" s="351"/>
      <c r="T123" s="351"/>
      <c r="U123" s="351"/>
      <c r="V123" s="2489"/>
      <c r="W123" s="351"/>
      <c r="X123" s="351"/>
    </row>
    <row r="124" spans="1:29" ht="17" thickBot="1">
      <c r="A124" s="2012"/>
      <c r="B124" s="3201"/>
      <c r="C124" s="3201"/>
      <c r="D124" s="3202"/>
      <c r="E124" s="2017"/>
      <c r="F124" s="3129"/>
      <c r="G124" s="3130"/>
      <c r="H124" s="3131"/>
      <c r="I124" s="388"/>
      <c r="J124" s="3231" t="s">
        <v>1546</v>
      </c>
      <c r="K124" s="3232"/>
      <c r="L124" s="3232"/>
      <c r="M124" s="3232"/>
      <c r="N124" s="3232"/>
      <c r="O124" s="3232"/>
      <c r="P124" s="3233"/>
      <c r="Q124" s="2490"/>
      <c r="R124" s="388"/>
      <c r="S124" s="388"/>
      <c r="T124" s="388"/>
      <c r="U124" s="2372"/>
      <c r="V124" s="2380"/>
      <c r="W124" s="388"/>
      <c r="X124" s="388"/>
    </row>
    <row r="125" spans="1:29" ht="17" thickBot="1">
      <c r="A125" s="2018"/>
      <c r="B125" s="959" t="s">
        <v>940</v>
      </c>
      <c r="C125" s="959"/>
      <c r="D125" s="960"/>
      <c r="E125" s="961">
        <f>SUM(E118:E124)</f>
        <v>0</v>
      </c>
      <c r="F125" s="3135">
        <f t="shared" ref="F125" si="6">SUM(F118:F124)</f>
        <v>0</v>
      </c>
      <c r="G125" s="3135"/>
      <c r="H125" s="3135"/>
      <c r="I125" s="388"/>
      <c r="J125" s="3216" t="s">
        <v>1547</v>
      </c>
      <c r="K125" s="3216"/>
      <c r="L125" s="3216"/>
      <c r="M125" s="3216"/>
      <c r="N125" s="3216"/>
      <c r="O125" s="3216"/>
      <c r="P125" s="3216"/>
      <c r="Q125" s="3217"/>
      <c r="R125" s="388"/>
      <c r="S125" s="388"/>
      <c r="T125" s="388"/>
      <c r="U125" s="2372"/>
      <c r="V125" s="2380"/>
      <c r="W125" s="388"/>
      <c r="X125" s="388"/>
    </row>
    <row r="126" spans="1:29" ht="13.5" customHeight="1" thickBot="1">
      <c r="A126" s="3100"/>
      <c r="B126" s="3101"/>
      <c r="C126" s="3101"/>
      <c r="D126" s="3101"/>
      <c r="E126" s="3101"/>
      <c r="F126" s="3101"/>
      <c r="G126" s="3101"/>
      <c r="H126" s="3101"/>
      <c r="I126" s="388"/>
      <c r="J126" s="3216"/>
      <c r="K126" s="3216"/>
      <c r="L126" s="3216"/>
      <c r="M126" s="3216"/>
      <c r="N126" s="3216"/>
      <c r="O126" s="3216"/>
      <c r="P126" s="3216"/>
      <c r="Q126" s="3217"/>
      <c r="R126" s="388"/>
      <c r="S126" s="388"/>
      <c r="T126" s="388"/>
      <c r="U126" s="2372"/>
      <c r="V126" s="2380"/>
      <c r="W126" s="388"/>
      <c r="X126" s="388"/>
    </row>
    <row r="127" spans="1:29" ht="17" thickBot="1">
      <c r="A127" s="2019" t="str">
        <f>A117</f>
        <v>Kto. nr.</v>
      </c>
      <c r="B127" s="3214" t="s">
        <v>941</v>
      </c>
      <c r="C127" s="3214"/>
      <c r="D127" s="3215"/>
      <c r="E127" s="2020">
        <f>budgetår</f>
        <v>2025</v>
      </c>
      <c r="F127" s="3123" t="s">
        <v>932</v>
      </c>
      <c r="G127" s="3124"/>
      <c r="H127" s="3125"/>
      <c r="I127" s="388"/>
      <c r="J127" s="3192" t="s">
        <v>933</v>
      </c>
      <c r="K127" s="3192"/>
      <c r="L127" s="3192"/>
      <c r="M127" s="3192"/>
      <c r="N127" s="3192"/>
      <c r="O127" s="3192"/>
      <c r="P127" s="3192"/>
      <c r="Q127" s="2343">
        <f>SUM(Q119:Q126)</f>
        <v>0</v>
      </c>
      <c r="R127" s="388"/>
      <c r="S127" s="388"/>
      <c r="T127" s="388"/>
      <c r="U127" s="2372"/>
      <c r="V127" s="2380"/>
      <c r="W127" s="388"/>
      <c r="X127" s="388"/>
    </row>
    <row r="128" spans="1:29" ht="17" thickBot="1">
      <c r="A128" s="1968"/>
      <c r="B128" s="3148" t="s">
        <v>892</v>
      </c>
      <c r="C128" s="3148"/>
      <c r="D128" s="3150"/>
      <c r="E128" s="2021"/>
      <c r="F128" s="3126"/>
      <c r="G128" s="3127"/>
      <c r="H128" s="3128"/>
      <c r="I128" s="388"/>
      <c r="J128" s="3218" t="s">
        <v>935</v>
      </c>
      <c r="K128" s="3218"/>
      <c r="L128" s="3218"/>
      <c r="M128" s="3218"/>
      <c r="N128" s="3218"/>
      <c r="O128" s="3218"/>
      <c r="P128" s="3218"/>
      <c r="Q128" s="2344" t="str">
        <f>IF(Q127&gt;Q117,"Ja","Nej")</f>
        <v>Nej</v>
      </c>
      <c r="R128" s="388"/>
      <c r="S128" s="388"/>
      <c r="T128" s="388"/>
      <c r="U128" s="2372"/>
      <c r="V128" s="2380"/>
      <c r="W128" s="388"/>
      <c r="X128" s="388"/>
    </row>
    <row r="129" spans="1:24" ht="16">
      <c r="A129" s="1968"/>
      <c r="B129" s="3148" t="s">
        <v>942</v>
      </c>
      <c r="C129" s="3148"/>
      <c r="D129" s="3150"/>
      <c r="E129" s="2021"/>
      <c r="F129" s="3126"/>
      <c r="G129" s="3127"/>
      <c r="H129" s="3128"/>
      <c r="I129" s="388"/>
      <c r="J129" s="388"/>
      <c r="K129" s="388"/>
      <c r="L129" s="388"/>
      <c r="M129" s="388"/>
      <c r="N129" s="388"/>
      <c r="O129" s="388"/>
      <c r="P129" s="388"/>
      <c r="Q129" s="388"/>
      <c r="R129" s="388"/>
      <c r="S129" s="388"/>
      <c r="T129" s="388"/>
      <c r="U129" s="2372"/>
      <c r="V129" s="2380"/>
      <c r="W129" s="388"/>
      <c r="X129" s="388"/>
    </row>
    <row r="130" spans="1:24" ht="16">
      <c r="A130" s="1968"/>
      <c r="B130" s="3148" t="s">
        <v>943</v>
      </c>
      <c r="C130" s="3148"/>
      <c r="D130" s="3150"/>
      <c r="E130" s="2021"/>
      <c r="F130" s="3126"/>
      <c r="G130" s="3127"/>
      <c r="H130" s="3128"/>
      <c r="I130" s="388"/>
      <c r="J130" s="388"/>
      <c r="K130" s="388"/>
      <c r="L130" s="388"/>
      <c r="M130" s="388"/>
      <c r="N130" s="388"/>
      <c r="O130" s="388"/>
      <c r="P130" s="388"/>
      <c r="Q130" s="388"/>
      <c r="R130" s="388"/>
      <c r="S130" s="388"/>
      <c r="T130" s="388"/>
      <c r="U130" s="2372"/>
      <c r="V130" s="2380"/>
      <c r="W130" s="388"/>
      <c r="X130" s="388"/>
    </row>
    <row r="131" spans="1:24" ht="16">
      <c r="A131" s="1968"/>
      <c r="B131" s="3148"/>
      <c r="C131" s="3148"/>
      <c r="D131" s="3150"/>
      <c r="E131" s="2021"/>
      <c r="F131" s="3126"/>
      <c r="G131" s="3127"/>
      <c r="H131" s="3128"/>
      <c r="I131" s="388"/>
      <c r="J131" s="388"/>
      <c r="K131" s="388"/>
      <c r="L131" s="388"/>
      <c r="M131" s="388"/>
      <c r="N131" s="388"/>
      <c r="O131" s="388"/>
      <c r="P131" s="388"/>
      <c r="Q131" s="388"/>
      <c r="R131" s="388"/>
      <c r="S131" s="388"/>
      <c r="T131" s="388"/>
      <c r="U131" s="2372"/>
      <c r="V131" s="2380"/>
      <c r="W131" s="388"/>
      <c r="X131" s="388"/>
    </row>
    <row r="132" spans="1:24" ht="16">
      <c r="A132" s="1968"/>
      <c r="B132" s="3148"/>
      <c r="C132" s="3148"/>
      <c r="D132" s="3150"/>
      <c r="E132" s="2021"/>
      <c r="F132" s="3126"/>
      <c r="G132" s="3127"/>
      <c r="H132" s="3128"/>
      <c r="I132" s="388"/>
      <c r="J132" s="388"/>
      <c r="K132" s="388"/>
      <c r="L132" s="388"/>
      <c r="M132" s="388"/>
      <c r="N132" s="388"/>
      <c r="O132" s="388"/>
      <c r="P132" s="388"/>
      <c r="Q132" s="388"/>
      <c r="R132" s="388"/>
      <c r="S132" s="388"/>
      <c r="T132" s="388"/>
      <c r="U132" s="2372"/>
      <c r="V132" s="2380"/>
      <c r="W132" s="388"/>
      <c r="X132" s="388"/>
    </row>
    <row r="133" spans="1:24" ht="16">
      <c r="A133" s="1968"/>
      <c r="B133" s="3148"/>
      <c r="C133" s="3148"/>
      <c r="D133" s="3150"/>
      <c r="E133" s="2021"/>
      <c r="F133" s="3126"/>
      <c r="G133" s="3127"/>
      <c r="H133" s="3128"/>
      <c r="I133" s="388"/>
      <c r="J133" s="388"/>
      <c r="K133" s="388"/>
      <c r="L133" s="388"/>
      <c r="M133" s="388"/>
      <c r="N133" s="388"/>
      <c r="O133" s="388"/>
      <c r="P133" s="388"/>
      <c r="Q133" s="388"/>
      <c r="R133" s="388"/>
      <c r="S133" s="388"/>
      <c r="T133" s="388"/>
      <c r="U133" s="2372"/>
      <c r="V133" s="2380"/>
      <c r="W133" s="388"/>
      <c r="X133" s="388"/>
    </row>
    <row r="134" spans="1:24" ht="16">
      <c r="A134" s="1968"/>
      <c r="B134" s="3148"/>
      <c r="C134" s="3148"/>
      <c r="D134" s="3150"/>
      <c r="E134" s="2021"/>
      <c r="F134" s="3126"/>
      <c r="G134" s="3127"/>
      <c r="H134" s="3128"/>
      <c r="I134" s="388"/>
      <c r="J134" s="424"/>
      <c r="K134" s="410"/>
      <c r="L134" s="388"/>
      <c r="M134" s="388"/>
      <c r="N134" s="388"/>
      <c r="O134" s="388"/>
      <c r="P134" s="388"/>
      <c r="Q134" s="388"/>
      <c r="R134" s="388"/>
      <c r="S134" s="388"/>
      <c r="T134" s="388"/>
      <c r="U134" s="2372"/>
      <c r="V134" s="2380"/>
      <c r="W134" s="388"/>
      <c r="X134" s="388"/>
    </row>
    <row r="135" spans="1:24" ht="15" customHeight="1" thickBot="1">
      <c r="A135" s="1968"/>
      <c r="B135" s="3148"/>
      <c r="C135" s="3148"/>
      <c r="D135" s="3150"/>
      <c r="E135" s="2021"/>
      <c r="F135" s="3129"/>
      <c r="G135" s="3130"/>
      <c r="H135" s="3131"/>
      <c r="I135" s="388"/>
      <c r="J135" s="410"/>
      <c r="K135" s="410"/>
      <c r="L135" s="388"/>
      <c r="M135" s="388"/>
      <c r="N135" s="388"/>
      <c r="O135" s="388"/>
      <c r="P135" s="388"/>
      <c r="Q135" s="388"/>
      <c r="R135" s="388"/>
      <c r="S135" s="388"/>
      <c r="T135" s="388"/>
      <c r="U135" s="2372"/>
      <c r="V135" s="2380"/>
      <c r="W135" s="388"/>
      <c r="X135" s="388"/>
    </row>
    <row r="136" spans="1:24" ht="17" thickBot="1">
      <c r="A136" s="2018"/>
      <c r="B136" s="959" t="s">
        <v>944</v>
      </c>
      <c r="C136" s="959"/>
      <c r="D136" s="959"/>
      <c r="E136" s="961">
        <f>SUM(E128:E135)</f>
        <v>0</v>
      </c>
      <c r="F136" s="3135">
        <f t="shared" ref="F136" si="7">SUM(F128:F135)</f>
        <v>0</v>
      </c>
      <c r="G136" s="3135"/>
      <c r="H136" s="3135"/>
      <c r="I136" s="388"/>
      <c r="J136" s="388"/>
      <c r="K136" s="388"/>
      <c r="L136" s="388"/>
      <c r="M136" s="388"/>
      <c r="N136" s="388"/>
      <c r="O136" s="388"/>
      <c r="P136" s="388"/>
      <c r="Q136" s="388"/>
      <c r="R136" s="388"/>
      <c r="S136" s="388"/>
      <c r="T136" s="388"/>
      <c r="U136" s="2372"/>
      <c r="V136" s="2380"/>
      <c r="W136" s="388"/>
      <c r="X136" s="388"/>
    </row>
    <row r="137" spans="1:24" ht="17" thickBot="1">
      <c r="A137" s="3100"/>
      <c r="B137" s="3101"/>
      <c r="C137" s="3101"/>
      <c r="D137" s="3101"/>
      <c r="E137" s="3101"/>
      <c r="F137" s="3101"/>
      <c r="G137" s="3101"/>
      <c r="H137" s="3101"/>
      <c r="I137" s="388"/>
      <c r="J137" s="388"/>
      <c r="K137" s="388"/>
      <c r="L137" s="388"/>
      <c r="M137" s="388"/>
      <c r="N137" s="388"/>
      <c r="O137" s="388"/>
      <c r="P137" s="388"/>
      <c r="Q137" s="388"/>
      <c r="R137" s="388"/>
      <c r="S137" s="388"/>
      <c r="T137" s="388"/>
      <c r="U137" s="2372"/>
      <c r="V137" s="2380"/>
      <c r="W137" s="388"/>
      <c r="X137" s="388"/>
    </row>
    <row r="138" spans="1:24" ht="16">
      <c r="A138" s="2019" t="str">
        <f>A127</f>
        <v>Kto. nr.</v>
      </c>
      <c r="B138" s="3118" t="s">
        <v>945</v>
      </c>
      <c r="C138" s="3118"/>
      <c r="D138" s="3204"/>
      <c r="E138" s="2022">
        <f>budgetår</f>
        <v>2025</v>
      </c>
      <c r="F138" s="3123" t="str">
        <f>F127</f>
        <v xml:space="preserve">Ændringer  </v>
      </c>
      <c r="G138" s="3124"/>
      <c r="H138" s="3125"/>
      <c r="I138" s="388"/>
      <c r="J138" s="388"/>
      <c r="K138" s="388"/>
      <c r="L138" s="388"/>
      <c r="M138" s="388"/>
      <c r="N138" s="388"/>
      <c r="O138" s="388"/>
      <c r="P138" s="388"/>
      <c r="Q138" s="388"/>
      <c r="R138" s="388"/>
      <c r="S138" s="388"/>
      <c r="T138" s="388"/>
      <c r="U138" s="2372"/>
      <c r="V138" s="2380"/>
      <c r="W138" s="388"/>
      <c r="X138" s="388"/>
    </row>
    <row r="139" spans="1:24" ht="16">
      <c r="A139" s="1968"/>
      <c r="B139" s="3136" t="s">
        <v>861</v>
      </c>
      <c r="C139" s="3136"/>
      <c r="D139" s="3136"/>
      <c r="E139" s="2023"/>
      <c r="F139" s="3126"/>
      <c r="G139" s="3127"/>
      <c r="H139" s="3128"/>
      <c r="I139" s="388"/>
      <c r="J139" s="388"/>
      <c r="K139" s="388"/>
      <c r="L139" s="388"/>
      <c r="M139" s="388"/>
      <c r="N139" s="388"/>
      <c r="O139" s="388"/>
      <c r="P139" s="388"/>
      <c r="Q139" s="388"/>
      <c r="R139" s="388"/>
      <c r="S139" s="388"/>
      <c r="T139" s="388"/>
      <c r="U139" s="2372"/>
      <c r="V139" s="2380"/>
      <c r="W139" s="388"/>
      <c r="X139" s="388"/>
    </row>
    <row r="140" spans="1:24" ht="16">
      <c r="A140" s="1968"/>
      <c r="B140" s="3151" t="s">
        <v>946</v>
      </c>
      <c r="C140" s="3151"/>
      <c r="D140" s="3151"/>
      <c r="E140" s="2023"/>
      <c r="F140" s="3126"/>
      <c r="G140" s="3127"/>
      <c r="H140" s="3128"/>
      <c r="I140" s="388"/>
      <c r="J140" s="388"/>
      <c r="K140" s="388"/>
      <c r="L140" s="388"/>
      <c r="M140" s="388"/>
      <c r="N140" s="388"/>
      <c r="O140" s="388"/>
      <c r="P140" s="388"/>
      <c r="Q140" s="388"/>
      <c r="R140" s="388"/>
      <c r="S140" s="388"/>
      <c r="T140" s="388"/>
      <c r="U140" s="2372"/>
      <c r="V140" s="2380"/>
      <c r="W140" s="388"/>
      <c r="X140" s="388"/>
    </row>
    <row r="141" spans="1:24" ht="16">
      <c r="A141" s="1968"/>
      <c r="B141" s="3153" t="s">
        <v>823</v>
      </c>
      <c r="C141" s="3153"/>
      <c r="D141" s="3153"/>
      <c r="E141" s="2023"/>
      <c r="F141" s="3126"/>
      <c r="G141" s="3127"/>
      <c r="H141" s="3128"/>
      <c r="I141" s="388"/>
      <c r="J141" s="388"/>
      <c r="K141" s="388"/>
      <c r="L141" s="388"/>
      <c r="M141" s="388"/>
      <c r="N141" s="388"/>
      <c r="O141" s="388"/>
      <c r="P141" s="388"/>
      <c r="Q141" s="388"/>
      <c r="R141" s="388"/>
      <c r="S141" s="388"/>
      <c r="T141" s="388"/>
      <c r="U141" s="2372"/>
      <c r="V141" s="2380"/>
      <c r="W141" s="388"/>
      <c r="X141" s="388"/>
    </row>
    <row r="142" spans="1:24" ht="16">
      <c r="A142" s="1968"/>
      <c r="B142" s="3148"/>
      <c r="C142" s="3148"/>
      <c r="D142" s="3148"/>
      <c r="E142" s="2023"/>
      <c r="F142" s="3126"/>
      <c r="G142" s="3127"/>
      <c r="H142" s="3128"/>
      <c r="I142" s="388"/>
      <c r="J142" s="388"/>
      <c r="K142" s="388"/>
      <c r="L142" s="388"/>
      <c r="M142" s="388"/>
      <c r="N142" s="388"/>
      <c r="O142" s="388"/>
      <c r="P142" s="388"/>
      <c r="Q142" s="388"/>
      <c r="R142" s="388"/>
      <c r="S142" s="388"/>
      <c r="T142" s="388"/>
      <c r="U142" s="2372"/>
      <c r="V142" s="2380"/>
      <c r="W142" s="388"/>
      <c r="X142" s="388"/>
    </row>
    <row r="143" spans="1:24" ht="16">
      <c r="A143" s="1968"/>
      <c r="B143" s="3148"/>
      <c r="C143" s="3148"/>
      <c r="D143" s="3148"/>
      <c r="E143" s="2023"/>
      <c r="F143" s="3126"/>
      <c r="G143" s="3127"/>
      <c r="H143" s="3128"/>
      <c r="I143" s="388"/>
      <c r="J143" s="388"/>
      <c r="K143" s="388"/>
      <c r="L143" s="388"/>
      <c r="M143" s="388"/>
      <c r="N143" s="388"/>
      <c r="O143" s="388"/>
      <c r="P143" s="388"/>
      <c r="Q143" s="388"/>
      <c r="R143" s="388"/>
      <c r="S143" s="388"/>
      <c r="T143" s="388"/>
      <c r="U143" s="2372"/>
      <c r="V143" s="2380"/>
      <c r="W143" s="388"/>
      <c r="X143" s="388"/>
    </row>
    <row r="144" spans="1:24" ht="16">
      <c r="A144" s="1968"/>
      <c r="B144" s="3148"/>
      <c r="C144" s="3148"/>
      <c r="D144" s="3148"/>
      <c r="E144" s="2023"/>
      <c r="F144" s="3126"/>
      <c r="G144" s="3127"/>
      <c r="H144" s="3128"/>
      <c r="I144" s="388"/>
      <c r="P144" s="388"/>
      <c r="Q144" s="388"/>
      <c r="R144" s="388"/>
      <c r="S144" s="388"/>
      <c r="T144" s="388"/>
      <c r="U144" s="2372"/>
      <c r="V144" s="2380"/>
      <c r="W144" s="388"/>
      <c r="X144" s="388"/>
    </row>
    <row r="145" spans="1:24" ht="17" thickBot="1">
      <c r="A145" s="1968"/>
      <c r="B145" s="3148"/>
      <c r="C145" s="3148"/>
      <c r="D145" s="3148"/>
      <c r="E145" s="2023"/>
      <c r="F145" s="3129"/>
      <c r="G145" s="3130"/>
      <c r="H145" s="3131"/>
      <c r="I145" s="388"/>
      <c r="P145" s="388"/>
      <c r="Q145" s="388"/>
      <c r="R145" s="388"/>
      <c r="S145" s="388"/>
      <c r="T145" s="388"/>
      <c r="U145" s="2372"/>
      <c r="V145" s="2380"/>
      <c r="W145" s="388"/>
      <c r="X145" s="388"/>
    </row>
    <row r="146" spans="1:24" ht="17" thickBot="1">
      <c r="A146" s="2018"/>
      <c r="B146" s="2024" t="s">
        <v>947</v>
      </c>
      <c r="C146" s="2024"/>
      <c r="D146" s="2025"/>
      <c r="E146" s="961">
        <f>SUM(E139:E145)</f>
        <v>0</v>
      </c>
      <c r="F146" s="3135">
        <f t="shared" ref="F146" si="8">SUM(F139:F145)</f>
        <v>0</v>
      </c>
      <c r="G146" s="3135"/>
      <c r="H146" s="3135"/>
      <c r="I146" s="388"/>
      <c r="P146" s="388"/>
      <c r="Q146" s="388"/>
      <c r="R146" s="388"/>
      <c r="S146" s="388"/>
      <c r="T146" s="388"/>
      <c r="U146" s="2372"/>
      <c r="V146" s="2380"/>
      <c r="W146" s="388"/>
      <c r="X146" s="388"/>
    </row>
    <row r="147" spans="1:24" ht="17" thickBot="1">
      <c r="A147" s="3100"/>
      <c r="B147" s="3101"/>
      <c r="C147" s="3101"/>
      <c r="D147" s="3101"/>
      <c r="E147" s="3101"/>
      <c r="F147" s="3101"/>
      <c r="G147" s="3101"/>
      <c r="H147" s="3101"/>
      <c r="I147" s="388"/>
      <c r="P147" s="388"/>
      <c r="Q147" s="388"/>
      <c r="R147" s="388"/>
      <c r="S147" s="388"/>
      <c r="T147" s="388"/>
      <c r="U147" s="2372"/>
      <c r="V147" s="2380"/>
      <c r="W147" s="388"/>
      <c r="X147" s="388"/>
    </row>
    <row r="148" spans="1:24" ht="16">
      <c r="A148" s="2019" t="str">
        <f>A138</f>
        <v>Kto. nr.</v>
      </c>
      <c r="B148" s="962" t="s">
        <v>948</v>
      </c>
      <c r="C148" s="962"/>
      <c r="D148" s="962"/>
      <c r="E148" s="2026">
        <f>budgetår</f>
        <v>2025</v>
      </c>
      <c r="F148" s="3123" t="str">
        <f>F138</f>
        <v xml:space="preserve">Ændringer  </v>
      </c>
      <c r="G148" s="3124"/>
      <c r="H148" s="3125"/>
      <c r="I148" s="388"/>
      <c r="P148" s="388"/>
      <c r="Q148" s="388"/>
      <c r="R148" s="388"/>
      <c r="S148" s="388"/>
      <c r="T148" s="388"/>
      <c r="U148" s="2372"/>
      <c r="V148" s="2380"/>
      <c r="W148" s="388"/>
      <c r="X148" s="388"/>
    </row>
    <row r="149" spans="1:24" ht="16">
      <c r="A149" s="1968"/>
      <c r="B149" s="3136"/>
      <c r="C149" s="3136"/>
      <c r="D149" s="3137"/>
      <c r="E149" s="2017"/>
      <c r="F149" s="3126"/>
      <c r="G149" s="3127"/>
      <c r="H149" s="3128"/>
      <c r="I149" s="388"/>
      <c r="P149" s="388"/>
      <c r="Q149" s="388"/>
      <c r="R149" s="388"/>
      <c r="S149" s="388"/>
      <c r="T149" s="388"/>
      <c r="U149" s="2372"/>
      <c r="V149" s="2380"/>
      <c r="W149" s="388"/>
      <c r="X149" s="388"/>
    </row>
    <row r="150" spans="1:24" ht="16">
      <c r="A150" s="1968"/>
      <c r="B150" s="3151"/>
      <c r="C150" s="3151"/>
      <c r="D150" s="3152"/>
      <c r="E150" s="2013"/>
      <c r="F150" s="3126"/>
      <c r="G150" s="3127"/>
      <c r="H150" s="3128"/>
      <c r="I150" s="388"/>
      <c r="P150" s="388"/>
      <c r="Q150" s="388"/>
      <c r="R150" s="388"/>
      <c r="S150" s="388"/>
      <c r="T150" s="388"/>
      <c r="U150" s="2372"/>
      <c r="V150" s="2380"/>
      <c r="W150" s="388"/>
      <c r="X150" s="388"/>
    </row>
    <row r="151" spans="1:24" ht="16">
      <c r="A151" s="1968"/>
      <c r="B151" s="3153"/>
      <c r="C151" s="3153"/>
      <c r="D151" s="3154"/>
      <c r="E151" s="2013"/>
      <c r="F151" s="3126"/>
      <c r="G151" s="3127"/>
      <c r="H151" s="3128"/>
      <c r="I151" s="388"/>
      <c r="P151" s="388"/>
      <c r="Q151" s="388"/>
      <c r="R151" s="388"/>
      <c r="S151" s="388"/>
      <c r="T151" s="388"/>
      <c r="U151" s="2372"/>
      <c r="V151" s="2380"/>
      <c r="W151" s="388"/>
      <c r="X151" s="388"/>
    </row>
    <row r="152" spans="1:24" ht="17" thickBot="1">
      <c r="A152" s="1968"/>
      <c r="B152" s="3148"/>
      <c r="C152" s="3148"/>
      <c r="D152" s="3149"/>
      <c r="E152" s="2013"/>
      <c r="F152" s="3129"/>
      <c r="G152" s="3130"/>
      <c r="H152" s="3131"/>
      <c r="I152" s="388"/>
      <c r="P152" s="388"/>
      <c r="Q152" s="388"/>
      <c r="R152" s="388"/>
      <c r="S152" s="388"/>
      <c r="T152" s="388"/>
      <c r="U152" s="2372"/>
      <c r="V152" s="2380"/>
      <c r="W152" s="388"/>
      <c r="X152" s="388"/>
    </row>
    <row r="153" spans="1:24" ht="17" thickBot="1">
      <c r="A153" s="2018"/>
      <c r="B153" s="2024" t="s">
        <v>949</v>
      </c>
      <c r="C153" s="2024"/>
      <c r="D153" s="2025"/>
      <c r="E153" s="961">
        <f>SUM(E149:E152)</f>
        <v>0</v>
      </c>
      <c r="F153" s="3135">
        <f t="shared" ref="F153" si="9">SUM(F149:F152)</f>
        <v>0</v>
      </c>
      <c r="G153" s="3135"/>
      <c r="H153" s="3135"/>
      <c r="I153" s="388"/>
      <c r="P153" s="388"/>
      <c r="Q153" s="388"/>
      <c r="R153" s="388"/>
      <c r="S153" s="388"/>
      <c r="T153" s="388"/>
      <c r="U153" s="2372"/>
      <c r="V153" s="2380"/>
      <c r="W153" s="388"/>
      <c r="X153" s="388"/>
    </row>
    <row r="154" spans="1:24" ht="17" thickBot="1">
      <c r="A154" s="3146"/>
      <c r="B154" s="3147"/>
      <c r="C154" s="3147"/>
      <c r="D154" s="3147"/>
      <c r="E154" s="3147"/>
      <c r="F154" s="3147"/>
      <c r="G154" s="3147"/>
      <c r="H154" s="3147"/>
      <c r="I154" s="388"/>
      <c r="P154" s="388"/>
      <c r="Q154" s="388"/>
      <c r="R154" s="388"/>
      <c r="S154" s="388"/>
      <c r="T154" s="388"/>
      <c r="U154" s="2372"/>
      <c r="V154" s="2380"/>
      <c r="W154" s="388"/>
      <c r="X154" s="388"/>
    </row>
    <row r="155" spans="1:24" ht="16">
      <c r="A155" s="2019" t="str">
        <f>A148</f>
        <v>Kto. nr.</v>
      </c>
      <c r="B155" s="3118" t="s">
        <v>950</v>
      </c>
      <c r="C155" s="3118"/>
      <c r="D155" s="3119"/>
      <c r="E155" s="2027">
        <f>budgetår</f>
        <v>2025</v>
      </c>
      <c r="F155" s="3123" t="str">
        <f>F148</f>
        <v xml:space="preserve">Ændringer  </v>
      </c>
      <c r="G155" s="3124"/>
      <c r="H155" s="3125"/>
      <c r="I155" s="388"/>
      <c r="P155" s="388"/>
      <c r="Q155" s="388"/>
      <c r="R155" s="388"/>
      <c r="S155" s="388"/>
      <c r="T155" s="388"/>
      <c r="U155" s="2372"/>
      <c r="V155" s="2380"/>
      <c r="W155" s="388"/>
      <c r="X155" s="388"/>
    </row>
    <row r="156" spans="1:24" ht="16">
      <c r="A156" s="1968"/>
      <c r="B156" s="3211" t="s">
        <v>951</v>
      </c>
      <c r="C156" s="3211"/>
      <c r="D156" s="3212"/>
      <c r="E156" s="2013"/>
      <c r="F156" s="3126"/>
      <c r="G156" s="3127"/>
      <c r="H156" s="3128"/>
      <c r="I156" s="388"/>
      <c r="P156" s="388"/>
      <c r="Q156" s="388"/>
      <c r="R156" s="388"/>
      <c r="S156" s="388"/>
      <c r="T156" s="388"/>
      <c r="U156" s="2372"/>
      <c r="V156" s="2380"/>
      <c r="W156" s="388"/>
      <c r="X156" s="388"/>
    </row>
    <row r="157" spans="1:24" ht="16">
      <c r="A157" s="1968"/>
      <c r="B157" s="3136" t="s">
        <v>952</v>
      </c>
      <c r="C157" s="3136"/>
      <c r="D157" s="3137"/>
      <c r="E157" s="655"/>
      <c r="F157" s="3126"/>
      <c r="G157" s="3127"/>
      <c r="H157" s="3128"/>
      <c r="I157" s="388"/>
      <c r="P157" s="388"/>
      <c r="Q157" s="388"/>
      <c r="R157" s="388"/>
      <c r="S157" s="388"/>
      <c r="T157" s="388"/>
      <c r="U157" s="2372"/>
      <c r="V157" s="2380"/>
      <c r="W157" s="388"/>
      <c r="X157" s="388"/>
    </row>
    <row r="158" spans="1:24" ht="16">
      <c r="A158" s="1968"/>
      <c r="B158" s="3136" t="s">
        <v>245</v>
      </c>
      <c r="C158" s="3136"/>
      <c r="D158" s="3137"/>
      <c r="E158" s="2028"/>
      <c r="F158" s="3126"/>
      <c r="G158" s="3127"/>
      <c r="H158" s="3128"/>
      <c r="I158" s="388"/>
      <c r="P158" s="388"/>
      <c r="Q158" s="388"/>
      <c r="R158" s="388"/>
      <c r="S158" s="388"/>
      <c r="T158" s="388"/>
      <c r="U158" s="2372"/>
      <c r="V158" s="2380"/>
      <c r="W158" s="388"/>
      <c r="X158" s="388"/>
    </row>
    <row r="159" spans="1:24" ht="16">
      <c r="A159" s="1968"/>
      <c r="B159" s="3136"/>
      <c r="C159" s="3136"/>
      <c r="D159" s="3137"/>
      <c r="E159" s="2023"/>
      <c r="F159" s="3126"/>
      <c r="G159" s="3127"/>
      <c r="H159" s="3128"/>
      <c r="I159" s="388"/>
      <c r="P159" s="388"/>
      <c r="Q159" s="388"/>
      <c r="R159" s="388"/>
      <c r="S159" s="388"/>
      <c r="T159" s="388"/>
      <c r="U159" s="2372"/>
      <c r="V159" s="2380"/>
      <c r="W159" s="388"/>
      <c r="X159" s="388"/>
    </row>
    <row r="160" spans="1:24" ht="16">
      <c r="A160" s="1968"/>
      <c r="B160" s="3136"/>
      <c r="C160" s="3136"/>
      <c r="D160" s="3137"/>
      <c r="E160" s="2029"/>
      <c r="F160" s="3126"/>
      <c r="G160" s="3127"/>
      <c r="H160" s="3128"/>
      <c r="I160" s="388"/>
      <c r="P160" s="388"/>
      <c r="Q160" s="388"/>
      <c r="R160" s="388"/>
      <c r="S160" s="388"/>
      <c r="T160" s="388"/>
      <c r="U160" s="2372"/>
      <c r="V160" s="2380"/>
      <c r="W160" s="388"/>
      <c r="X160" s="388"/>
    </row>
    <row r="161" spans="1:24" ht="16">
      <c r="A161" s="1968"/>
      <c r="B161" s="3207"/>
      <c r="C161" s="3207"/>
      <c r="D161" s="3208"/>
      <c r="E161" s="2023"/>
      <c r="F161" s="3126"/>
      <c r="G161" s="3127"/>
      <c r="H161" s="3128"/>
      <c r="I161" s="388"/>
      <c r="P161" s="388"/>
      <c r="Q161" s="388"/>
      <c r="R161" s="388"/>
      <c r="S161" s="388"/>
      <c r="T161" s="388"/>
      <c r="U161" s="2372"/>
      <c r="V161" s="2380"/>
      <c r="W161" s="388"/>
      <c r="X161" s="388"/>
    </row>
    <row r="162" spans="1:24" ht="16">
      <c r="A162" s="1968"/>
      <c r="B162" s="3209"/>
      <c r="C162" s="3209"/>
      <c r="D162" s="3210"/>
      <c r="E162" s="2030"/>
      <c r="F162" s="3126"/>
      <c r="G162" s="3127"/>
      <c r="H162" s="3128"/>
      <c r="I162" s="388"/>
      <c r="P162" s="388"/>
      <c r="Q162" s="388"/>
      <c r="R162" s="388"/>
      <c r="S162" s="388"/>
      <c r="T162" s="388"/>
      <c r="U162" s="2372"/>
      <c r="V162" s="2380"/>
      <c r="W162" s="388"/>
      <c r="X162" s="388"/>
    </row>
    <row r="163" spans="1:24" ht="16">
      <c r="A163" s="1968"/>
      <c r="B163" s="3187"/>
      <c r="C163" s="3187"/>
      <c r="D163" s="3188"/>
      <c r="E163" s="656"/>
      <c r="F163" s="3126"/>
      <c r="G163" s="3127"/>
      <c r="H163" s="3128"/>
      <c r="I163" s="388"/>
      <c r="P163" s="388"/>
      <c r="Q163" s="388"/>
      <c r="R163" s="388"/>
      <c r="S163" s="388"/>
      <c r="T163" s="388"/>
      <c r="U163" s="2372"/>
      <c r="V163" s="2380"/>
      <c r="W163" s="388"/>
      <c r="X163" s="388"/>
    </row>
    <row r="164" spans="1:24" ht="17" thickBot="1">
      <c r="A164" s="1968"/>
      <c r="B164" s="3144"/>
      <c r="C164" s="3144"/>
      <c r="D164" s="3145"/>
      <c r="E164" s="2014"/>
      <c r="F164" s="3129"/>
      <c r="G164" s="3130"/>
      <c r="H164" s="3131"/>
      <c r="I164" s="388"/>
      <c r="P164" s="388"/>
      <c r="Q164" s="388"/>
      <c r="R164" s="388"/>
      <c r="S164" s="388"/>
      <c r="T164" s="388"/>
      <c r="U164" s="2372"/>
      <c r="V164" s="2380"/>
      <c r="W164" s="388"/>
      <c r="X164" s="388"/>
    </row>
    <row r="165" spans="1:24" ht="17" thickBot="1">
      <c r="A165" s="2018"/>
      <c r="B165" s="2024" t="s">
        <v>953</v>
      </c>
      <c r="C165" s="2024"/>
      <c r="D165" s="2024"/>
      <c r="E165" s="2031">
        <f>SUM(E156:E164)</f>
        <v>0</v>
      </c>
      <c r="F165" s="3138">
        <f t="shared" ref="F165" si="10">SUM(F156:F164)</f>
        <v>0</v>
      </c>
      <c r="G165" s="3139"/>
      <c r="H165" s="3140"/>
      <c r="I165" s="388"/>
      <c r="P165" s="388"/>
      <c r="Q165" s="388"/>
      <c r="R165" s="388"/>
      <c r="S165" s="388"/>
      <c r="T165" s="388"/>
      <c r="U165" s="2372"/>
      <c r="V165" s="2380"/>
      <c r="W165" s="388"/>
      <c r="X165" s="388"/>
    </row>
    <row r="166" spans="1:24" ht="17" thickBot="1">
      <c r="A166" s="3100"/>
      <c r="B166" s="3101"/>
      <c r="C166" s="3101"/>
      <c r="D166" s="3101"/>
      <c r="E166" s="3101"/>
      <c r="F166" s="3101"/>
      <c r="G166" s="3101"/>
      <c r="H166" s="3101"/>
      <c r="I166" s="388"/>
      <c r="P166" s="388"/>
      <c r="Q166" s="388"/>
      <c r="R166" s="388"/>
      <c r="S166" s="388"/>
      <c r="T166" s="388"/>
      <c r="U166" s="2372"/>
      <c r="V166" s="2380"/>
      <c r="W166" s="388"/>
      <c r="X166" s="388"/>
    </row>
    <row r="167" spans="1:24" ht="16">
      <c r="A167" s="2019" t="str">
        <f>A155</f>
        <v>Kto. nr.</v>
      </c>
      <c r="B167" s="3118" t="s">
        <v>954</v>
      </c>
      <c r="C167" s="3118"/>
      <c r="D167" s="3119"/>
      <c r="E167" s="2027">
        <f>budgetår</f>
        <v>2025</v>
      </c>
      <c r="F167" s="3123" t="str">
        <f>F155</f>
        <v xml:space="preserve">Ændringer  </v>
      </c>
      <c r="G167" s="3124"/>
      <c r="H167" s="3125"/>
      <c r="I167" s="388"/>
      <c r="P167" s="388"/>
      <c r="Q167" s="388"/>
      <c r="R167" s="388"/>
      <c r="S167" s="388"/>
      <c r="T167" s="388"/>
      <c r="U167" s="2372"/>
      <c r="V167" s="2380"/>
      <c r="W167" s="388"/>
      <c r="X167" s="388"/>
    </row>
    <row r="168" spans="1:24" ht="16">
      <c r="A168" s="1968"/>
      <c r="B168" s="3211" t="s">
        <v>838</v>
      </c>
      <c r="C168" s="3211"/>
      <c r="D168" s="3212"/>
      <c r="E168" s="2013"/>
      <c r="F168" s="3126"/>
      <c r="G168" s="3127"/>
      <c r="H168" s="3128"/>
      <c r="I168" s="388"/>
      <c r="P168" s="388"/>
      <c r="Q168" s="388"/>
      <c r="R168" s="388"/>
      <c r="S168" s="388"/>
      <c r="T168" s="388"/>
      <c r="U168" s="2372"/>
      <c r="V168" s="2380"/>
      <c r="W168" s="388"/>
      <c r="X168" s="388"/>
    </row>
    <row r="169" spans="1:24" ht="16">
      <c r="A169" s="1968"/>
      <c r="B169" s="3136"/>
      <c r="C169" s="3136"/>
      <c r="D169" s="3137"/>
      <c r="E169" s="2032"/>
      <c r="F169" s="3126"/>
      <c r="G169" s="3127"/>
      <c r="H169" s="3128"/>
      <c r="I169" s="388"/>
      <c r="P169" s="388"/>
      <c r="Q169" s="388"/>
      <c r="R169" s="388"/>
      <c r="S169" s="388"/>
      <c r="T169" s="388"/>
      <c r="U169" s="2372"/>
      <c r="V169" s="2380"/>
      <c r="W169" s="388"/>
      <c r="X169" s="388"/>
    </row>
    <row r="170" spans="1:24" ht="17" thickBot="1">
      <c r="A170" s="1968"/>
      <c r="B170" s="3136"/>
      <c r="C170" s="3136"/>
      <c r="D170" s="3137"/>
      <c r="E170" s="2028"/>
      <c r="F170" s="3129"/>
      <c r="G170" s="3130"/>
      <c r="H170" s="3131"/>
      <c r="I170" s="388"/>
      <c r="P170" s="388"/>
      <c r="Q170" s="388"/>
      <c r="R170" s="388"/>
      <c r="S170" s="388"/>
      <c r="T170" s="388"/>
      <c r="U170" s="2372"/>
      <c r="V170" s="2380"/>
      <c r="W170" s="388"/>
      <c r="X170" s="388"/>
    </row>
    <row r="171" spans="1:24" ht="17" thickBot="1">
      <c r="A171" s="2018"/>
      <c r="B171" s="2024" t="s">
        <v>318</v>
      </c>
      <c r="C171" s="2024"/>
      <c r="D171" s="2024"/>
      <c r="E171" s="2031">
        <f>SUM(E168:E170)</f>
        <v>0</v>
      </c>
      <c r="F171" s="3138">
        <f t="shared" ref="F171" si="11">SUM(F168:F170)</f>
        <v>0</v>
      </c>
      <c r="G171" s="3139"/>
      <c r="H171" s="3140"/>
      <c r="I171" s="388"/>
      <c r="P171" s="388"/>
      <c r="Q171" s="388"/>
      <c r="R171" s="388"/>
      <c r="S171" s="388"/>
      <c r="T171" s="388"/>
      <c r="U171" s="2372"/>
      <c r="V171" s="2380"/>
      <c r="W171" s="388"/>
      <c r="X171" s="388"/>
    </row>
    <row r="172" spans="1:24" ht="17" thickBot="1">
      <c r="A172" s="3100"/>
      <c r="B172" s="3101"/>
      <c r="C172" s="3101"/>
      <c r="D172" s="3101"/>
      <c r="E172" s="3101"/>
      <c r="F172" s="3101"/>
      <c r="G172" s="3101"/>
      <c r="H172" s="3101"/>
      <c r="I172" s="388"/>
      <c r="P172" s="388"/>
      <c r="Q172" s="388"/>
      <c r="R172" s="388"/>
      <c r="S172" s="388"/>
      <c r="T172" s="388"/>
      <c r="U172" s="2372"/>
      <c r="V172" s="2380"/>
      <c r="W172" s="388"/>
      <c r="X172" s="388"/>
    </row>
    <row r="173" spans="1:24" ht="16">
      <c r="A173" s="2019" t="str">
        <f>A167</f>
        <v>Kto. nr.</v>
      </c>
      <c r="B173" s="962" t="s">
        <v>955</v>
      </c>
      <c r="C173" s="962"/>
      <c r="D173" s="962"/>
      <c r="E173" s="2026">
        <f>budgetår</f>
        <v>2025</v>
      </c>
      <c r="F173" s="3141" t="str">
        <f>F167</f>
        <v xml:space="preserve">Ændringer  </v>
      </c>
      <c r="G173" s="3142"/>
      <c r="H173" s="3143"/>
      <c r="I173" s="388"/>
      <c r="P173" s="388"/>
      <c r="Q173" s="388"/>
      <c r="R173" s="388"/>
      <c r="S173" s="388"/>
      <c r="T173" s="388"/>
      <c r="U173" s="2372"/>
      <c r="V173" s="2380"/>
      <c r="W173" s="388"/>
      <c r="X173" s="388"/>
    </row>
    <row r="174" spans="1:24" ht="15" customHeight="1">
      <c r="A174" s="1968"/>
      <c r="B174" s="3136" t="s">
        <v>842</v>
      </c>
      <c r="C174" s="3136"/>
      <c r="D174" s="3137"/>
      <c r="E174" s="2013"/>
      <c r="F174" s="3126"/>
      <c r="G174" s="3127"/>
      <c r="H174" s="3128"/>
      <c r="I174" s="388"/>
      <c r="P174" s="388"/>
      <c r="Q174" s="388"/>
      <c r="R174" s="388"/>
      <c r="S174" s="388"/>
      <c r="T174" s="388"/>
      <c r="U174" s="2372"/>
      <c r="V174" s="2380"/>
      <c r="W174" s="388"/>
      <c r="X174" s="388"/>
    </row>
    <row r="175" spans="1:24" ht="16">
      <c r="A175" s="1968"/>
      <c r="B175" s="3151" t="s">
        <v>843</v>
      </c>
      <c r="C175" s="3151"/>
      <c r="D175" s="3152"/>
      <c r="E175" s="2013"/>
      <c r="F175" s="3126"/>
      <c r="G175" s="3127"/>
      <c r="H175" s="3128"/>
      <c r="I175" s="388"/>
      <c r="P175" s="388"/>
      <c r="Q175" s="388"/>
      <c r="R175" s="388"/>
      <c r="S175" s="388"/>
      <c r="T175" s="388"/>
      <c r="U175" s="2372"/>
      <c r="V175" s="2380"/>
      <c r="W175" s="388"/>
      <c r="X175" s="388"/>
    </row>
    <row r="176" spans="1:24" ht="16">
      <c r="A176" s="1968"/>
      <c r="B176" s="3153" t="s">
        <v>844</v>
      </c>
      <c r="C176" s="3153"/>
      <c r="D176" s="3154"/>
      <c r="E176" s="2013"/>
      <c r="F176" s="3126"/>
      <c r="G176" s="3127"/>
      <c r="H176" s="3128"/>
      <c r="I176" s="388"/>
      <c r="J176" s="388"/>
      <c r="K176" s="388"/>
      <c r="L176" s="388"/>
      <c r="M176" s="388"/>
      <c r="N176" s="388"/>
      <c r="O176" s="388"/>
      <c r="P176" s="388"/>
      <c r="Q176" s="388"/>
      <c r="R176" s="388"/>
      <c r="S176" s="388"/>
      <c r="T176" s="388"/>
      <c r="U176" s="2372"/>
      <c r="V176" s="2380"/>
      <c r="W176" s="388"/>
      <c r="X176" s="388"/>
    </row>
    <row r="177" spans="1:24" ht="17" thickBot="1">
      <c r="A177" s="1968"/>
      <c r="B177" s="3148"/>
      <c r="C177" s="3148"/>
      <c r="D177" s="3149"/>
      <c r="E177" s="2013"/>
      <c r="F177" s="3129"/>
      <c r="G177" s="3130"/>
      <c r="H177" s="3131"/>
      <c r="I177" s="388"/>
      <c r="J177" s="388"/>
      <c r="K177" s="388"/>
      <c r="L177" s="388"/>
      <c r="M177" s="388"/>
      <c r="N177" s="388"/>
      <c r="O177" s="388"/>
      <c r="P177" s="388"/>
      <c r="Q177" s="388"/>
      <c r="R177" s="388"/>
      <c r="S177" s="388"/>
      <c r="T177" s="388"/>
      <c r="U177" s="2372"/>
      <c r="V177" s="2380"/>
      <c r="W177" s="388"/>
      <c r="X177" s="388"/>
    </row>
    <row r="178" spans="1:24" ht="17" thickBot="1">
      <c r="A178" s="2018"/>
      <c r="B178" s="2024" t="s">
        <v>956</v>
      </c>
      <c r="C178" s="2024"/>
      <c r="D178" s="2025"/>
      <c r="E178" s="961">
        <f>SUM(E174:E177)</f>
        <v>0</v>
      </c>
      <c r="F178" s="3135">
        <f t="shared" ref="F178" si="12">SUM(F174:F177)</f>
        <v>0</v>
      </c>
      <c r="G178" s="3135"/>
      <c r="H178" s="3135"/>
      <c r="I178" s="388"/>
      <c r="J178" s="388"/>
      <c r="K178" s="388"/>
      <c r="L178" s="388"/>
      <c r="M178" s="388"/>
      <c r="N178" s="388"/>
      <c r="O178" s="388"/>
      <c r="P178" s="388"/>
      <c r="Q178" s="388"/>
      <c r="R178" s="388"/>
      <c r="S178" s="388"/>
      <c r="T178" s="388"/>
      <c r="U178" s="2372"/>
      <c r="V178" s="2380"/>
      <c r="W178" s="388"/>
      <c r="X178" s="388"/>
    </row>
    <row r="179" spans="1:24" ht="17" thickBot="1">
      <c r="A179" s="3100"/>
      <c r="B179" s="3101"/>
      <c r="C179" s="3101"/>
      <c r="D179" s="3101"/>
      <c r="E179" s="3101"/>
      <c r="F179" s="3101"/>
      <c r="G179" s="3101"/>
      <c r="H179" s="3101"/>
      <c r="I179" s="388"/>
      <c r="J179" s="388"/>
      <c r="K179" s="388"/>
      <c r="L179" s="388"/>
      <c r="M179" s="388"/>
      <c r="N179" s="388"/>
      <c r="O179" s="388"/>
      <c r="P179" s="388"/>
      <c r="Q179" s="388"/>
      <c r="R179" s="388"/>
      <c r="S179" s="388"/>
      <c r="T179" s="388"/>
      <c r="U179" s="2372"/>
      <c r="V179" s="2380"/>
      <c r="W179" s="388"/>
      <c r="X179" s="388"/>
    </row>
    <row r="180" spans="1:24" ht="16">
      <c r="A180" s="2019" t="str">
        <f>A173</f>
        <v>Kto. nr.</v>
      </c>
      <c r="B180" s="962" t="s">
        <v>957</v>
      </c>
      <c r="C180" s="962"/>
      <c r="D180" s="962"/>
      <c r="E180" s="2026">
        <f>budgetår</f>
        <v>2025</v>
      </c>
      <c r="F180" s="3123" t="str">
        <f>F173</f>
        <v xml:space="preserve">Ændringer  </v>
      </c>
      <c r="G180" s="3124"/>
      <c r="H180" s="3125"/>
      <c r="I180" s="388"/>
      <c r="J180" s="388"/>
      <c r="K180" s="388"/>
      <c r="L180" s="388"/>
      <c r="M180" s="388"/>
      <c r="N180" s="388"/>
      <c r="O180" s="388"/>
      <c r="P180" s="388"/>
      <c r="Q180" s="388"/>
      <c r="R180" s="388"/>
      <c r="S180" s="388"/>
      <c r="T180" s="388"/>
      <c r="U180" s="2372"/>
      <c r="V180" s="2380"/>
      <c r="W180" s="388"/>
      <c r="X180" s="388"/>
    </row>
    <row r="181" spans="1:24" ht="16">
      <c r="A181" s="1968"/>
      <c r="B181" s="3136" t="s">
        <v>852</v>
      </c>
      <c r="C181" s="3136"/>
      <c r="D181" s="3137"/>
      <c r="E181" s="2013"/>
      <c r="F181" s="3126"/>
      <c r="G181" s="3127"/>
      <c r="H181" s="3128"/>
      <c r="I181" s="388"/>
      <c r="J181" s="388"/>
      <c r="K181" s="388"/>
      <c r="L181" s="388"/>
      <c r="M181" s="388"/>
      <c r="N181" s="388"/>
      <c r="O181" s="388"/>
      <c r="P181" s="388"/>
      <c r="Q181" s="388"/>
      <c r="R181" s="388"/>
      <c r="S181" s="388"/>
      <c r="T181" s="388"/>
      <c r="U181" s="2372"/>
      <c r="V181" s="2380"/>
      <c r="W181" s="388"/>
      <c r="X181" s="388"/>
    </row>
    <row r="182" spans="1:24" ht="16">
      <c r="A182" s="1968"/>
      <c r="B182" s="3151" t="s">
        <v>939</v>
      </c>
      <c r="C182" s="3151"/>
      <c r="D182" s="3152"/>
      <c r="E182" s="2013"/>
      <c r="F182" s="3126"/>
      <c r="G182" s="3127"/>
      <c r="H182" s="3128"/>
      <c r="I182" s="388"/>
      <c r="J182" s="388"/>
      <c r="K182" s="388"/>
      <c r="L182" s="388"/>
      <c r="M182" s="388"/>
      <c r="N182" s="388"/>
      <c r="O182" s="388"/>
      <c r="P182" s="388"/>
      <c r="Q182" s="388"/>
      <c r="R182" s="388"/>
      <c r="S182" s="388"/>
      <c r="T182" s="388"/>
      <c r="U182" s="2372"/>
      <c r="V182" s="2380"/>
      <c r="W182" s="388"/>
      <c r="X182" s="388"/>
    </row>
    <row r="183" spans="1:24" ht="16">
      <c r="A183" s="1968"/>
      <c r="B183" s="3153"/>
      <c r="C183" s="3153"/>
      <c r="D183" s="3154"/>
      <c r="E183" s="2013"/>
      <c r="F183" s="3126"/>
      <c r="G183" s="3127"/>
      <c r="H183" s="3128"/>
      <c r="I183" s="388"/>
      <c r="J183" s="388"/>
      <c r="K183" s="388"/>
      <c r="L183" s="388"/>
      <c r="M183" s="388"/>
      <c r="N183" s="388"/>
      <c r="O183" s="388"/>
      <c r="P183" s="388"/>
      <c r="Q183" s="388"/>
      <c r="R183" s="388"/>
      <c r="S183" s="388"/>
      <c r="T183" s="388"/>
      <c r="U183" s="2372"/>
      <c r="V183" s="2380"/>
      <c r="W183" s="388"/>
      <c r="X183" s="388"/>
    </row>
    <row r="184" spans="1:24" ht="17" thickBot="1">
      <c r="A184" s="1968"/>
      <c r="B184" s="3148"/>
      <c r="C184" s="3148"/>
      <c r="D184" s="3149"/>
      <c r="E184" s="2013"/>
      <c r="F184" s="3129"/>
      <c r="G184" s="3130"/>
      <c r="H184" s="3131"/>
      <c r="I184" s="388"/>
      <c r="J184" s="388"/>
      <c r="K184" s="388"/>
      <c r="L184" s="388"/>
      <c r="M184" s="388"/>
      <c r="N184" s="388"/>
      <c r="O184" s="388"/>
      <c r="P184" s="388"/>
      <c r="Q184" s="388"/>
      <c r="R184" s="388"/>
      <c r="S184" s="388"/>
      <c r="T184" s="388"/>
      <c r="U184" s="2372"/>
      <c r="V184" s="2380"/>
      <c r="W184" s="388"/>
      <c r="X184" s="388"/>
    </row>
    <row r="185" spans="1:24" ht="16">
      <c r="A185" s="2033"/>
      <c r="B185" s="2034" t="s">
        <v>958</v>
      </c>
      <c r="C185" s="2034"/>
      <c r="D185" s="2035"/>
      <c r="E185" s="2036">
        <f>SUM(E181:E184)</f>
        <v>0</v>
      </c>
      <c r="F185" s="3132">
        <f t="shared" ref="F185" si="13">SUM(F181:F184)</f>
        <v>0</v>
      </c>
      <c r="G185" s="3132"/>
      <c r="H185" s="3132"/>
      <c r="I185" s="388"/>
      <c r="J185" s="388"/>
      <c r="K185" s="388"/>
      <c r="L185" s="388"/>
      <c r="M185" s="388"/>
      <c r="N185" s="388"/>
      <c r="O185" s="388"/>
      <c r="P185" s="388"/>
      <c r="Q185" s="388"/>
      <c r="R185" s="388"/>
      <c r="S185" s="388"/>
      <c r="T185" s="388"/>
      <c r="U185" s="2372"/>
      <c r="V185" s="2380"/>
      <c r="W185" s="388"/>
      <c r="X185" s="388"/>
    </row>
    <row r="186" spans="1:24" ht="37" customHeight="1">
      <c r="A186" s="2033"/>
      <c r="B186" s="3205" t="s">
        <v>959</v>
      </c>
      <c r="C186" s="3205"/>
      <c r="D186" s="3206"/>
      <c r="E186" s="425"/>
      <c r="F186" s="3133">
        <f>E125+E136+E146+E153+E165+E178+E185+E171</f>
        <v>0</v>
      </c>
      <c r="G186" s="3133"/>
      <c r="H186" s="3133"/>
      <c r="I186" s="388"/>
      <c r="J186" s="388"/>
      <c r="K186" s="388"/>
      <c r="L186" s="388"/>
      <c r="M186" s="388"/>
      <c r="N186" s="388"/>
      <c r="O186" s="388"/>
      <c r="P186" s="388"/>
      <c r="Q186" s="388"/>
      <c r="R186" s="388"/>
      <c r="S186" s="388"/>
      <c r="T186" s="388"/>
      <c r="U186" s="2372"/>
      <c r="V186" s="2380"/>
      <c r="W186" s="388"/>
      <c r="X186" s="388"/>
    </row>
    <row r="187" spans="1:24" ht="22" customHeight="1" thickBot="1">
      <c r="A187" s="2033"/>
      <c r="B187" s="3185" t="s">
        <v>960</v>
      </c>
      <c r="C187" s="3186"/>
      <c r="D187" s="3186"/>
      <c r="E187" s="3186"/>
      <c r="F187" s="3134">
        <f>S37+T37+S45+S53+S90+T90+S98+S106-E114-F186</f>
        <v>0</v>
      </c>
      <c r="G187" s="3134"/>
      <c r="H187" s="3133"/>
      <c r="I187" s="388"/>
      <c r="J187" s="388"/>
      <c r="K187" s="388"/>
      <c r="L187" s="388"/>
      <c r="M187" s="388"/>
      <c r="N187" s="388"/>
      <c r="O187" s="388"/>
      <c r="P187" s="388"/>
      <c r="Q187" s="388"/>
      <c r="R187" s="388"/>
      <c r="S187" s="388"/>
      <c r="T187" s="388"/>
      <c r="U187" s="2372"/>
      <c r="V187" s="2380"/>
      <c r="W187" s="388"/>
      <c r="X187" s="388"/>
    </row>
    <row r="188" spans="1:24" ht="16">
      <c r="A188" s="2008" t="str">
        <f>A180</f>
        <v>Kto. nr.</v>
      </c>
      <c r="B188" s="3203" t="s">
        <v>961</v>
      </c>
      <c r="C188" s="3203"/>
      <c r="D188" s="3213"/>
      <c r="E188" s="2037">
        <f>budgetår</f>
        <v>2025</v>
      </c>
      <c r="F188" s="3111"/>
      <c r="G188" s="3106"/>
      <c r="H188" s="3107"/>
      <c r="I188" s="388"/>
      <c r="J188" s="388"/>
      <c r="K188" s="388"/>
      <c r="L188" s="388"/>
      <c r="M188" s="388"/>
      <c r="N188" s="388"/>
      <c r="O188" s="388"/>
      <c r="P188" s="388"/>
      <c r="Q188" s="388"/>
      <c r="R188" s="388"/>
      <c r="S188" s="388"/>
      <c r="T188" s="388"/>
      <c r="U188" s="2372"/>
      <c r="V188" s="2380"/>
      <c r="W188" s="388"/>
      <c r="X188" s="388"/>
    </row>
    <row r="189" spans="1:24" ht="16">
      <c r="A189" s="2012"/>
      <c r="B189" s="3203" t="s">
        <v>962</v>
      </c>
      <c r="C189" s="3203"/>
      <c r="D189" s="3203"/>
      <c r="E189" s="2038">
        <f>Ejendom!I9</f>
        <v>0</v>
      </c>
      <c r="F189" s="3111"/>
      <c r="G189" s="3106"/>
      <c r="H189" s="3107"/>
      <c r="I189" s="388"/>
      <c r="J189" s="388"/>
      <c r="K189" s="388"/>
      <c r="L189" s="388"/>
      <c r="M189" s="388"/>
      <c r="N189" s="388"/>
      <c r="O189" s="388"/>
      <c r="P189" s="388"/>
      <c r="Q189" s="388"/>
      <c r="R189" s="388"/>
      <c r="S189" s="388"/>
      <c r="T189" s="388"/>
      <c r="U189" s="2372"/>
      <c r="V189" s="2380"/>
      <c r="W189" s="388"/>
      <c r="X189" s="388"/>
    </row>
    <row r="190" spans="1:24" ht="16">
      <c r="A190" s="2012"/>
      <c r="B190" s="3096" t="s">
        <v>963</v>
      </c>
      <c r="C190" s="3096"/>
      <c r="D190" s="3097"/>
      <c r="E190" s="2039">
        <f>Ejendom!I97</f>
        <v>0</v>
      </c>
      <c r="F190" s="3111"/>
      <c r="G190" s="3106"/>
      <c r="H190" s="3107"/>
      <c r="I190" s="388"/>
      <c r="J190" s="388"/>
      <c r="K190" s="388"/>
      <c r="L190" s="388"/>
      <c r="M190" s="388"/>
      <c r="N190" s="388"/>
      <c r="O190" s="388"/>
      <c r="P190" s="388"/>
      <c r="Q190" s="388"/>
      <c r="R190" s="388"/>
      <c r="S190" s="388"/>
      <c r="T190" s="388"/>
      <c r="U190" s="2372"/>
      <c r="V190" s="2380"/>
      <c r="W190" s="388"/>
      <c r="X190" s="388"/>
    </row>
    <row r="191" spans="1:24" ht="17" thickBot="1">
      <c r="A191" s="2040"/>
      <c r="B191" s="3098" t="s">
        <v>964</v>
      </c>
      <c r="C191" s="3098"/>
      <c r="D191" s="3099"/>
      <c r="E191" s="2041">
        <f>Administration!I122</f>
        <v>0</v>
      </c>
      <c r="F191" s="3112"/>
      <c r="G191" s="3113"/>
      <c r="H191" s="3114"/>
      <c r="I191" s="388"/>
      <c r="J191" s="388"/>
      <c r="K191" s="388"/>
      <c r="L191" s="388"/>
      <c r="M191" s="388"/>
      <c r="N191" s="388"/>
      <c r="O191" s="388"/>
      <c r="P191" s="388"/>
      <c r="Q191" s="388"/>
      <c r="R191" s="388"/>
      <c r="S191" s="388"/>
      <c r="T191" s="388"/>
      <c r="U191" s="2372"/>
      <c r="V191" s="2380"/>
      <c r="W191" s="388"/>
      <c r="X191" s="388"/>
    </row>
    <row r="192" spans="1:24" ht="17" thickBot="1">
      <c r="A192" s="963"/>
      <c r="B192" s="959" t="s">
        <v>965</v>
      </c>
      <c r="C192" s="959"/>
      <c r="D192" s="959"/>
      <c r="E192" s="960"/>
      <c r="F192" s="3115">
        <f>SUM(E189:E191)</f>
        <v>0</v>
      </c>
      <c r="G192" s="3109"/>
      <c r="H192" s="3110"/>
      <c r="I192" s="388"/>
      <c r="J192" s="388"/>
      <c r="K192" s="388"/>
      <c r="L192" s="388"/>
      <c r="M192" s="388"/>
      <c r="N192" s="388"/>
      <c r="O192" s="388"/>
      <c r="P192" s="388"/>
      <c r="Q192" s="388"/>
      <c r="R192" s="388"/>
      <c r="S192" s="388"/>
      <c r="T192" s="388"/>
      <c r="U192" s="2372"/>
      <c r="V192" s="2380"/>
      <c r="W192" s="388"/>
      <c r="X192" s="388"/>
    </row>
    <row r="193" spans="1:35" ht="17" thickBot="1">
      <c r="A193" s="3100"/>
      <c r="B193" s="3101"/>
      <c r="C193" s="3101"/>
      <c r="D193" s="3101"/>
      <c r="E193" s="3101"/>
      <c r="F193" s="3101"/>
      <c r="G193" s="3101"/>
      <c r="H193" s="3101"/>
      <c r="I193" s="388"/>
      <c r="J193" s="388"/>
      <c r="K193" s="388"/>
      <c r="L193" s="388"/>
      <c r="M193" s="388"/>
      <c r="N193" s="388"/>
      <c r="O193" s="388"/>
      <c r="P193" s="388"/>
      <c r="Q193" s="388"/>
      <c r="R193" s="388"/>
      <c r="S193" s="388"/>
      <c r="T193" s="388"/>
      <c r="U193" s="2372"/>
      <c r="V193" s="2380"/>
      <c r="W193" s="388"/>
      <c r="X193" s="388"/>
    </row>
    <row r="194" spans="1:35" ht="16">
      <c r="A194" s="2019" t="str">
        <f>A180</f>
        <v>Kto. nr.</v>
      </c>
      <c r="B194" s="3118" t="s">
        <v>966</v>
      </c>
      <c r="C194" s="3118"/>
      <c r="D194" s="3119"/>
      <c r="E194" s="2042">
        <f>budgetår</f>
        <v>2025</v>
      </c>
      <c r="F194" s="3102"/>
      <c r="G194" s="3103"/>
      <c r="H194" s="3104"/>
      <c r="I194" s="388"/>
      <c r="J194" s="388"/>
      <c r="K194" s="388"/>
      <c r="L194" s="388"/>
      <c r="M194" s="388"/>
      <c r="N194" s="388"/>
      <c r="O194" s="388"/>
      <c r="P194" s="388"/>
      <c r="Q194" s="388"/>
      <c r="R194" s="388"/>
      <c r="S194" s="388"/>
      <c r="T194" s="388"/>
      <c r="U194" s="2372"/>
      <c r="V194" s="2380"/>
      <c r="W194" s="388"/>
      <c r="X194" s="388"/>
    </row>
    <row r="195" spans="1:35" ht="16">
      <c r="A195" s="1968"/>
      <c r="B195" s="3116" t="s">
        <v>967</v>
      </c>
      <c r="C195" s="3116"/>
      <c r="D195" s="3117"/>
      <c r="E195" s="2043">
        <f>SUM(Administration!I129:I132)</f>
        <v>0</v>
      </c>
      <c r="F195" s="3111"/>
      <c r="G195" s="3106"/>
      <c r="H195" s="3107"/>
      <c r="I195" s="388"/>
      <c r="J195" s="388"/>
      <c r="K195" s="388"/>
      <c r="L195" s="388"/>
      <c r="M195" s="388"/>
      <c r="N195" s="388"/>
      <c r="O195" s="388"/>
      <c r="P195" s="388"/>
      <c r="Q195" s="388"/>
      <c r="R195" s="388"/>
      <c r="S195" s="388"/>
      <c r="T195" s="388"/>
      <c r="U195" s="2372"/>
      <c r="V195" s="2380"/>
      <c r="W195" s="388"/>
      <c r="X195" s="388"/>
    </row>
    <row r="196" spans="1:35" ht="16">
      <c r="A196" s="1968"/>
      <c r="B196" s="3116" t="s">
        <v>968</v>
      </c>
      <c r="C196" s="3116"/>
      <c r="D196" s="3117"/>
      <c r="E196" s="2043">
        <f>Administration!I139</f>
        <v>0</v>
      </c>
      <c r="F196" s="3111"/>
      <c r="G196" s="3106"/>
      <c r="H196" s="3107"/>
      <c r="I196" s="388"/>
      <c r="J196" s="388"/>
      <c r="K196" s="388"/>
      <c r="L196" s="388"/>
      <c r="M196" s="388"/>
      <c r="N196" s="388"/>
      <c r="O196" s="388"/>
      <c r="P196" s="388"/>
      <c r="Q196" s="388"/>
      <c r="R196" s="388"/>
      <c r="S196" s="388"/>
      <c r="T196" s="388"/>
      <c r="U196" s="2372"/>
      <c r="V196" s="2380"/>
      <c r="W196" s="388"/>
      <c r="X196" s="388"/>
    </row>
    <row r="197" spans="1:35" ht="16">
      <c r="A197" s="1968"/>
      <c r="B197" s="3116" t="s">
        <v>969</v>
      </c>
      <c r="C197" s="3116"/>
      <c r="D197" s="3117"/>
      <c r="E197" s="2044">
        <f>Administration!I151</f>
        <v>0</v>
      </c>
      <c r="F197" s="3111"/>
      <c r="G197" s="3106"/>
      <c r="H197" s="3107"/>
      <c r="I197" s="388"/>
      <c r="J197" s="388"/>
      <c r="K197" s="388"/>
      <c r="L197" s="388"/>
      <c r="M197" s="388"/>
      <c r="N197" s="388"/>
      <c r="O197" s="388"/>
      <c r="P197" s="388"/>
      <c r="Q197" s="388"/>
      <c r="R197" s="388"/>
      <c r="S197" s="388"/>
      <c r="T197" s="388"/>
      <c r="U197" s="2372"/>
      <c r="V197" s="2380"/>
      <c r="W197" s="388"/>
      <c r="X197" s="388"/>
    </row>
    <row r="198" spans="1:35" ht="17" thickBot="1">
      <c r="A198" s="2018"/>
      <c r="B198" s="2045" t="s">
        <v>970</v>
      </c>
      <c r="C198" s="2045"/>
      <c r="D198" s="2045"/>
      <c r="E198" s="2046"/>
      <c r="F198" s="3115">
        <f>SUM(E195:E197)</f>
        <v>0</v>
      </c>
      <c r="G198" s="3109"/>
      <c r="H198" s="3110"/>
      <c r="I198" s="388"/>
      <c r="J198" s="388"/>
      <c r="K198" s="388"/>
      <c r="L198" s="388"/>
      <c r="M198" s="388"/>
      <c r="N198" s="388"/>
      <c r="O198" s="388"/>
      <c r="P198" s="388"/>
      <c r="Q198" s="388"/>
      <c r="R198" s="388"/>
      <c r="S198" s="388"/>
      <c r="T198" s="388"/>
      <c r="U198" s="2372"/>
      <c r="V198" s="2380"/>
      <c r="W198" s="388"/>
      <c r="X198" s="388"/>
    </row>
    <row r="199" spans="1:35" ht="17" thickBot="1">
      <c r="A199" s="3100"/>
      <c r="B199" s="3101"/>
      <c r="C199" s="3101"/>
      <c r="D199" s="3101"/>
      <c r="E199" s="3101"/>
      <c r="F199" s="3101"/>
      <c r="G199" s="3101"/>
      <c r="H199" s="3101"/>
      <c r="I199" s="388"/>
      <c r="J199" s="388"/>
      <c r="K199" s="388"/>
      <c r="L199" s="388"/>
      <c r="M199" s="388"/>
      <c r="N199" s="388"/>
      <c r="O199" s="388"/>
      <c r="P199" s="388"/>
      <c r="Q199" s="388"/>
      <c r="R199" s="388"/>
      <c r="S199" s="388"/>
      <c r="T199" s="388"/>
      <c r="U199" s="2372"/>
      <c r="V199" s="2380"/>
      <c r="W199" s="388"/>
      <c r="X199" s="388"/>
    </row>
    <row r="200" spans="1:35" ht="16">
      <c r="A200" s="2019" t="str">
        <f>A194</f>
        <v>Kto. nr.</v>
      </c>
      <c r="B200" s="3118" t="s">
        <v>971</v>
      </c>
      <c r="C200" s="3118"/>
      <c r="D200" s="3119"/>
      <c r="E200" s="2047">
        <f>budgetår</f>
        <v>2025</v>
      </c>
      <c r="F200" s="3102"/>
      <c r="G200" s="3103"/>
      <c r="H200" s="3104"/>
      <c r="I200" s="388"/>
      <c r="J200" s="388"/>
      <c r="K200" s="388"/>
      <c r="L200" s="388"/>
      <c r="M200" s="388"/>
      <c r="N200" s="388"/>
      <c r="O200" s="388"/>
      <c r="P200" s="388"/>
      <c r="Q200" s="388"/>
      <c r="R200" s="388"/>
      <c r="S200" s="388"/>
      <c r="T200" s="388"/>
      <c r="U200" s="2372"/>
      <c r="V200" s="2380"/>
      <c r="W200" s="388"/>
      <c r="X200" s="388"/>
    </row>
    <row r="201" spans="1:35" ht="34" customHeight="1">
      <c r="A201" s="1968"/>
      <c r="B201" s="3121" t="s">
        <v>972</v>
      </c>
      <c r="C201" s="3121"/>
      <c r="D201" s="3122"/>
      <c r="E201" s="2048"/>
      <c r="F201" s="3105"/>
      <c r="G201" s="3106"/>
      <c r="H201" s="3107"/>
      <c r="I201" s="388"/>
      <c r="J201" s="388"/>
      <c r="K201" s="388"/>
      <c r="L201" s="388"/>
      <c r="M201" s="388"/>
      <c r="N201" s="388"/>
      <c r="O201" s="388"/>
      <c r="P201" s="388"/>
      <c r="Q201" s="388"/>
      <c r="R201" s="388"/>
      <c r="S201" s="388"/>
      <c r="T201" s="388"/>
      <c r="U201" s="2372"/>
      <c r="V201" s="2380"/>
      <c r="W201" s="388"/>
      <c r="X201" s="388"/>
    </row>
    <row r="202" spans="1:35" ht="32" customHeight="1">
      <c r="A202" s="1968"/>
      <c r="B202" s="3120" t="s">
        <v>973</v>
      </c>
      <c r="C202" s="3121"/>
      <c r="D202" s="3122"/>
      <c r="E202" s="2049"/>
      <c r="F202" s="3105"/>
      <c r="G202" s="3106"/>
      <c r="H202" s="3107"/>
      <c r="I202" s="388"/>
      <c r="J202" s="388"/>
      <c r="K202" s="388"/>
      <c r="L202" s="388"/>
      <c r="M202" s="388"/>
      <c r="N202" s="388"/>
      <c r="O202" s="388"/>
      <c r="P202" s="388"/>
      <c r="Q202" s="388"/>
      <c r="R202" s="388"/>
      <c r="S202" s="388"/>
      <c r="T202" s="388"/>
      <c r="U202" s="2372"/>
      <c r="V202" s="2380"/>
      <c r="W202" s="388"/>
      <c r="X202" s="388"/>
    </row>
    <row r="203" spans="1:35" ht="31" customHeight="1">
      <c r="A203" s="1968"/>
      <c r="B203" s="3120" t="s">
        <v>974</v>
      </c>
      <c r="C203" s="3121"/>
      <c r="D203" s="3122"/>
      <c r="E203" s="2050"/>
      <c r="F203" s="3105"/>
      <c r="G203" s="3106"/>
      <c r="H203" s="3107"/>
      <c r="I203" s="388"/>
      <c r="J203" s="388"/>
      <c r="K203" s="388"/>
      <c r="L203" s="388"/>
      <c r="M203" s="388"/>
      <c r="N203" s="388"/>
      <c r="O203" s="388"/>
      <c r="P203" s="388"/>
      <c r="Q203" s="388"/>
      <c r="R203" s="388"/>
      <c r="S203" s="388"/>
      <c r="T203" s="388"/>
      <c r="U203" s="2372"/>
      <c r="V203" s="2380"/>
      <c r="W203" s="388"/>
      <c r="X203" s="388"/>
    </row>
    <row r="204" spans="1:35" ht="17" thickBot="1">
      <c r="A204" s="2018"/>
      <c r="B204" s="2045" t="s">
        <v>975</v>
      </c>
      <c r="C204" s="2045"/>
      <c r="D204" s="2046"/>
      <c r="E204" s="2051"/>
      <c r="F204" s="3108">
        <f>SUM(E201:E203)</f>
        <v>0</v>
      </c>
      <c r="G204" s="3109"/>
      <c r="H204" s="3110"/>
      <c r="I204" s="388"/>
      <c r="J204" s="388"/>
      <c r="K204" s="388"/>
      <c r="L204" s="388"/>
      <c r="M204" s="388"/>
      <c r="N204" s="388"/>
      <c r="O204" s="388"/>
      <c r="P204" s="388"/>
      <c r="Q204" s="388"/>
      <c r="R204" s="388"/>
      <c r="S204" s="388"/>
      <c r="T204" s="388"/>
      <c r="U204" s="2372"/>
      <c r="V204" s="2380"/>
      <c r="W204" s="388"/>
      <c r="X204" s="388"/>
    </row>
    <row r="205" spans="1:35" ht="17" thickBot="1">
      <c r="A205" s="3100"/>
      <c r="B205" s="3101"/>
      <c r="C205" s="3101"/>
      <c r="D205" s="3101"/>
      <c r="E205" s="3101"/>
      <c r="F205" s="3101"/>
      <c r="G205" s="3101"/>
      <c r="H205" s="3101"/>
      <c r="I205" s="388"/>
      <c r="J205" s="388"/>
      <c r="K205" s="388"/>
      <c r="L205" s="388"/>
      <c r="M205" s="388"/>
      <c r="N205" s="388"/>
      <c r="O205" s="388"/>
      <c r="P205" s="388"/>
      <c r="Q205" s="388"/>
      <c r="R205" s="388"/>
      <c r="S205" s="388"/>
      <c r="T205" s="388"/>
      <c r="U205" s="2372"/>
      <c r="V205" s="2380"/>
      <c r="W205" s="388"/>
      <c r="X205" s="388"/>
    </row>
    <row r="206" spans="1:35" ht="16">
      <c r="A206" s="2052"/>
      <c r="B206" s="964" t="s">
        <v>976</v>
      </c>
      <c r="C206" s="964"/>
      <c r="D206" s="964"/>
      <c r="E206" s="2053">
        <f>F204+F198+F192+F186+E114</f>
        <v>0</v>
      </c>
      <c r="F206" s="3074"/>
      <c r="G206" s="3074"/>
      <c r="H206" s="3075"/>
      <c r="I206" s="388"/>
      <c r="J206" s="388"/>
      <c r="K206" s="388"/>
      <c r="L206" s="388"/>
      <c r="M206" s="388"/>
      <c r="N206" s="388"/>
      <c r="O206" s="388"/>
      <c r="P206" s="388"/>
      <c r="Q206" s="388"/>
      <c r="R206" s="388"/>
      <c r="S206" s="388"/>
      <c r="T206" s="388"/>
      <c r="U206" s="2372"/>
      <c r="V206" s="2380"/>
      <c r="W206" s="388"/>
      <c r="X206" s="388"/>
    </row>
    <row r="207" spans="1:35" ht="17" thickBot="1">
      <c r="A207" s="2033"/>
      <c r="B207" s="959" t="s">
        <v>977</v>
      </c>
      <c r="C207" s="959"/>
      <c r="D207" s="965"/>
      <c r="E207" s="966">
        <f>S37+T37+S53+S90+T90+S98+S106-E206+S45</f>
        <v>0</v>
      </c>
      <c r="F207" s="3076"/>
      <c r="G207" s="3076"/>
      <c r="H207" s="3077"/>
      <c r="I207" s="388"/>
      <c r="J207" s="388"/>
      <c r="K207" s="388"/>
      <c r="L207" s="388"/>
      <c r="M207" s="388"/>
      <c r="N207" s="388"/>
      <c r="O207" s="388"/>
      <c r="P207" s="388"/>
      <c r="Q207" s="388"/>
      <c r="R207" s="388"/>
      <c r="S207" s="388"/>
      <c r="T207" s="388"/>
      <c r="U207" s="2372"/>
      <c r="V207" s="2380"/>
      <c r="W207" s="388"/>
      <c r="X207" s="388"/>
    </row>
    <row r="208" spans="1:35" ht="17" thickBot="1">
      <c r="A208" s="2054"/>
      <c r="B208" s="967" t="str">
        <f>"Ændring i "&amp;E200+1&amp;" i forhold til "&amp;E200&amp;" i alt:"</f>
        <v>Ændring i 2026 i forhold til 2025 i alt:</v>
      </c>
      <c r="C208" s="967"/>
      <c r="D208" s="967"/>
      <c r="E208" s="967"/>
      <c r="F208" s="3219">
        <f>SUM(F118:H124)+SUM(F128:H135)+SUM(F139:H145)+SUM(F149:H152)+SUM(F156:H164)+SUM(F168:H170)+SUM(F174:H177)+SUM(F181:H184)</f>
        <v>0</v>
      </c>
      <c r="G208" s="3220"/>
      <c r="H208" s="3221"/>
      <c r="I208" s="388"/>
      <c r="J208" s="388"/>
      <c r="K208" s="388"/>
      <c r="L208" s="388"/>
      <c r="M208" s="388"/>
      <c r="N208" s="388"/>
      <c r="O208" s="388"/>
      <c r="P208" s="388"/>
      <c r="Q208" s="388"/>
      <c r="R208" s="388"/>
      <c r="S208" s="388"/>
      <c r="T208" s="388"/>
      <c r="U208" s="2372"/>
      <c r="V208" s="2380"/>
      <c r="W208" s="388"/>
      <c r="X208" s="388"/>
      <c r="Y208" s="388"/>
      <c r="Z208" s="388"/>
      <c r="AA208" s="388"/>
      <c r="AB208" s="388"/>
      <c r="AC208" s="388"/>
      <c r="AD208" s="388"/>
      <c r="AE208" s="388"/>
      <c r="AF208" s="388"/>
      <c r="AG208" s="388"/>
      <c r="AH208" s="388"/>
      <c r="AI208" s="388"/>
    </row>
    <row r="209" spans="1:35" ht="16">
      <c r="A209" s="388"/>
      <c r="B209" s="388"/>
      <c r="C209" s="388"/>
      <c r="D209" s="388"/>
      <c r="E209" s="388"/>
      <c r="F209" s="388"/>
      <c r="G209" s="388"/>
      <c r="H209" s="388"/>
      <c r="I209" s="388"/>
      <c r="J209" s="388"/>
      <c r="K209" s="388"/>
      <c r="L209" s="388"/>
      <c r="M209" s="388"/>
      <c r="N209" s="388"/>
      <c r="O209" s="388"/>
      <c r="P209" s="388"/>
      <c r="Q209" s="388"/>
      <c r="R209" s="388"/>
      <c r="S209" s="388"/>
      <c r="T209" s="388"/>
      <c r="U209" s="2372"/>
      <c r="V209" s="2380"/>
      <c r="W209" s="388"/>
      <c r="X209" s="388"/>
      <c r="Y209" s="388"/>
      <c r="Z209" s="388"/>
      <c r="AA209" s="388"/>
      <c r="AB209" s="388"/>
      <c r="AC209" s="388"/>
      <c r="AD209" s="388"/>
      <c r="AE209" s="388"/>
      <c r="AF209" s="388"/>
      <c r="AG209" s="388"/>
      <c r="AH209" s="388"/>
      <c r="AI209" s="388"/>
    </row>
    <row r="210" spans="1:35" ht="16">
      <c r="A210" s="388"/>
      <c r="B210" s="388"/>
      <c r="C210" s="388"/>
      <c r="D210" s="388"/>
      <c r="E210" s="388"/>
      <c r="F210" s="388"/>
      <c r="G210" s="388"/>
      <c r="H210" s="388"/>
      <c r="I210" s="388"/>
      <c r="J210" s="388"/>
      <c r="K210" s="388"/>
      <c r="L210" s="388"/>
      <c r="M210" s="388"/>
      <c r="N210" s="388"/>
      <c r="O210" s="388"/>
      <c r="P210" s="388"/>
      <c r="Q210" s="388"/>
      <c r="R210" s="388"/>
      <c r="S210" s="388"/>
      <c r="T210" s="388"/>
      <c r="U210" s="2372"/>
      <c r="V210" s="2380"/>
      <c r="W210" s="388"/>
      <c r="X210" s="388"/>
      <c r="Y210" s="388"/>
      <c r="Z210" s="388"/>
      <c r="AA210" s="388"/>
      <c r="AB210" s="388"/>
      <c r="AC210" s="388"/>
      <c r="AD210" s="388"/>
      <c r="AE210" s="388"/>
      <c r="AF210" s="388"/>
      <c r="AG210" s="388"/>
      <c r="AH210" s="388"/>
      <c r="AI210" s="388"/>
    </row>
    <row r="211" spans="1:35" ht="16">
      <c r="A211" s="388"/>
      <c r="B211" s="388"/>
      <c r="C211" s="388"/>
      <c r="D211" s="388"/>
      <c r="E211" s="388"/>
      <c r="F211" s="388"/>
      <c r="G211" s="388"/>
      <c r="H211" s="388"/>
      <c r="I211" s="388"/>
      <c r="J211" s="388"/>
      <c r="K211" s="388"/>
      <c r="L211" s="388"/>
      <c r="M211" s="388"/>
      <c r="N211" s="388"/>
      <c r="O211" s="388"/>
      <c r="P211" s="388"/>
      <c r="Q211" s="388"/>
      <c r="R211" s="388"/>
      <c r="S211" s="388"/>
      <c r="T211" s="388"/>
      <c r="U211" s="2372"/>
      <c r="V211" s="2380"/>
      <c r="W211" s="388"/>
      <c r="X211" s="388"/>
      <c r="Y211" s="388"/>
      <c r="Z211" s="388"/>
      <c r="AA211" s="388"/>
      <c r="AB211" s="388"/>
      <c r="AC211" s="388"/>
      <c r="AD211" s="388"/>
      <c r="AE211" s="388"/>
      <c r="AF211" s="388"/>
      <c r="AG211" s="388"/>
      <c r="AH211" s="388"/>
      <c r="AI211" s="388"/>
    </row>
    <row r="212" spans="1:35" ht="16">
      <c r="A212" s="388"/>
      <c r="B212" s="388"/>
      <c r="C212" s="388"/>
      <c r="D212" s="388"/>
      <c r="E212" s="388"/>
      <c r="F212" s="388"/>
      <c r="G212" s="388"/>
      <c r="H212" s="388"/>
      <c r="I212" s="388"/>
      <c r="J212" s="388"/>
      <c r="K212" s="388"/>
      <c r="L212" s="388"/>
      <c r="M212" s="388"/>
      <c r="N212" s="388"/>
      <c r="O212" s="388"/>
      <c r="P212" s="388"/>
      <c r="Q212" s="388"/>
      <c r="R212" s="388"/>
      <c r="S212" s="388"/>
      <c r="T212" s="388"/>
      <c r="U212" s="2372"/>
      <c r="V212" s="2380"/>
      <c r="W212" s="388"/>
      <c r="X212" s="388"/>
      <c r="Y212" s="388"/>
      <c r="Z212" s="388"/>
      <c r="AA212" s="388"/>
      <c r="AB212" s="388"/>
      <c r="AC212" s="388"/>
      <c r="AD212" s="388"/>
      <c r="AE212" s="388"/>
      <c r="AF212" s="388"/>
      <c r="AG212" s="388"/>
      <c r="AH212" s="388"/>
      <c r="AI212" s="388"/>
    </row>
    <row r="213" spans="1:35" ht="16">
      <c r="A213" s="388"/>
      <c r="B213" s="388"/>
      <c r="C213" s="388"/>
      <c r="D213" s="388"/>
      <c r="E213" s="388"/>
      <c r="F213" s="388"/>
      <c r="G213" s="388"/>
      <c r="H213" s="388"/>
      <c r="I213" s="388"/>
      <c r="J213" s="388"/>
      <c r="K213" s="388"/>
      <c r="L213" s="388"/>
      <c r="M213" s="388"/>
      <c r="N213" s="388"/>
      <c r="O213" s="388"/>
      <c r="P213" s="388"/>
      <c r="Q213" s="388"/>
      <c r="R213" s="388"/>
      <c r="S213" s="388"/>
      <c r="T213" s="388"/>
      <c r="U213" s="2372"/>
      <c r="V213" s="2380"/>
      <c r="W213" s="388"/>
      <c r="X213" s="388"/>
      <c r="Y213" s="388"/>
      <c r="Z213" s="388"/>
      <c r="AA213" s="388"/>
      <c r="AB213" s="388"/>
      <c r="AC213" s="388"/>
      <c r="AD213" s="388"/>
      <c r="AE213" s="388"/>
      <c r="AF213" s="388"/>
      <c r="AG213" s="388"/>
      <c r="AH213" s="388"/>
      <c r="AI213" s="388"/>
    </row>
    <row r="214" spans="1:35" ht="16">
      <c r="A214" s="388"/>
      <c r="B214" s="388"/>
      <c r="C214" s="388"/>
      <c r="D214" s="388"/>
      <c r="E214" s="388"/>
      <c r="F214" s="388"/>
      <c r="G214" s="388"/>
      <c r="H214" s="388"/>
      <c r="I214" s="388"/>
      <c r="J214" s="388"/>
      <c r="K214" s="388"/>
      <c r="L214" s="388"/>
      <c r="M214" s="388"/>
      <c r="N214" s="388"/>
      <c r="O214" s="388"/>
      <c r="P214" s="388"/>
      <c r="Q214" s="388"/>
      <c r="R214" s="388"/>
      <c r="S214" s="388"/>
      <c r="T214" s="388"/>
      <c r="U214" s="2372"/>
      <c r="V214" s="2380"/>
      <c r="W214" s="388"/>
      <c r="X214" s="388"/>
      <c r="Y214" s="388"/>
      <c r="Z214" s="388"/>
      <c r="AA214" s="388"/>
      <c r="AB214" s="388"/>
      <c r="AC214" s="388"/>
      <c r="AD214" s="388"/>
      <c r="AE214" s="388"/>
      <c r="AF214" s="388"/>
      <c r="AG214" s="388"/>
      <c r="AH214" s="388"/>
      <c r="AI214" s="388"/>
    </row>
    <row r="215" spans="1:35" ht="16">
      <c r="A215" s="388"/>
      <c r="B215" s="388"/>
      <c r="C215" s="388"/>
      <c r="D215" s="388"/>
      <c r="E215" s="388"/>
      <c r="F215" s="388"/>
      <c r="G215" s="388"/>
      <c r="H215" s="388"/>
      <c r="I215" s="388"/>
      <c r="J215" s="388"/>
      <c r="K215" s="388"/>
      <c r="L215" s="388"/>
      <c r="M215" s="388"/>
      <c r="N215" s="388"/>
      <c r="O215" s="388"/>
      <c r="P215" s="388"/>
      <c r="Q215" s="388"/>
      <c r="R215" s="388"/>
      <c r="S215" s="388"/>
      <c r="T215" s="388"/>
      <c r="U215" s="2372"/>
      <c r="V215" s="2380"/>
      <c r="W215" s="388"/>
      <c r="X215" s="388"/>
      <c r="Y215" s="388"/>
      <c r="Z215" s="388"/>
      <c r="AA215" s="388"/>
      <c r="AB215" s="388"/>
      <c r="AC215" s="388"/>
      <c r="AD215" s="388"/>
      <c r="AE215" s="388"/>
      <c r="AF215" s="388"/>
      <c r="AG215" s="388"/>
      <c r="AH215" s="388"/>
      <c r="AI215" s="388"/>
    </row>
    <row r="216" spans="1:35" ht="16">
      <c r="A216" s="388"/>
      <c r="B216" s="388"/>
      <c r="C216" s="388"/>
      <c r="D216" s="388"/>
      <c r="E216" s="388"/>
      <c r="F216" s="388"/>
      <c r="G216" s="388"/>
      <c r="H216" s="388"/>
      <c r="I216" s="388"/>
      <c r="J216" s="388"/>
      <c r="K216" s="388"/>
      <c r="L216" s="388"/>
      <c r="M216" s="388"/>
      <c r="N216" s="388"/>
      <c r="O216" s="388"/>
      <c r="P216" s="388"/>
      <c r="Q216" s="388"/>
      <c r="R216" s="388"/>
      <c r="S216" s="388"/>
      <c r="T216" s="388"/>
      <c r="U216" s="2372"/>
      <c r="V216" s="2380"/>
      <c r="W216" s="388"/>
      <c r="X216" s="388"/>
      <c r="Y216" s="388"/>
      <c r="Z216" s="388"/>
      <c r="AA216" s="388"/>
      <c r="AB216" s="388"/>
      <c r="AC216" s="388"/>
      <c r="AD216" s="388"/>
      <c r="AE216" s="388"/>
      <c r="AF216" s="388"/>
      <c r="AG216" s="388"/>
      <c r="AH216" s="388"/>
      <c r="AI216" s="388"/>
    </row>
    <row r="217" spans="1:35" ht="16">
      <c r="A217" s="388"/>
      <c r="B217" s="388"/>
      <c r="C217" s="388"/>
      <c r="D217" s="388"/>
      <c r="E217" s="388"/>
      <c r="F217" s="388"/>
      <c r="G217" s="388"/>
      <c r="H217" s="388"/>
      <c r="I217" s="388"/>
      <c r="J217" s="388"/>
      <c r="K217" s="388"/>
      <c r="L217" s="388"/>
      <c r="M217" s="388"/>
      <c r="N217" s="388"/>
      <c r="O217" s="388"/>
      <c r="P217" s="388"/>
      <c r="Q217" s="388"/>
      <c r="R217" s="388"/>
      <c r="S217" s="388"/>
      <c r="T217" s="388"/>
      <c r="U217" s="2372"/>
      <c r="V217" s="2380"/>
      <c r="W217" s="388"/>
      <c r="X217" s="388"/>
      <c r="Y217" s="388"/>
      <c r="Z217" s="388"/>
      <c r="AA217" s="388"/>
      <c r="AB217" s="388"/>
      <c r="AC217" s="388"/>
      <c r="AD217" s="388"/>
      <c r="AE217" s="388"/>
      <c r="AF217" s="388"/>
      <c r="AG217" s="388"/>
      <c r="AH217" s="388"/>
      <c r="AI217" s="388"/>
    </row>
    <row r="218" spans="1:35" ht="16">
      <c r="A218" s="388"/>
      <c r="B218" s="388"/>
      <c r="C218" s="388"/>
      <c r="D218" s="388"/>
      <c r="E218" s="388"/>
      <c r="F218" s="388"/>
      <c r="G218" s="388"/>
      <c r="H218" s="388"/>
      <c r="I218" s="388"/>
      <c r="J218" s="388"/>
      <c r="K218" s="388"/>
      <c r="L218" s="388"/>
      <c r="M218" s="388"/>
      <c r="N218" s="388"/>
      <c r="O218" s="388"/>
      <c r="P218" s="388"/>
      <c r="Q218" s="388"/>
      <c r="R218" s="388"/>
      <c r="S218" s="388"/>
      <c r="T218" s="388"/>
      <c r="U218" s="2372"/>
      <c r="V218" s="2380"/>
      <c r="W218" s="388"/>
      <c r="X218" s="388"/>
      <c r="Y218" s="388"/>
      <c r="Z218" s="388"/>
      <c r="AA218" s="388"/>
      <c r="AB218" s="388"/>
      <c r="AC218" s="388"/>
      <c r="AD218" s="388"/>
      <c r="AE218" s="388"/>
      <c r="AF218" s="388"/>
      <c r="AG218" s="388"/>
      <c r="AH218" s="388"/>
      <c r="AI218" s="388"/>
    </row>
    <row r="219" spans="1:35" ht="16">
      <c r="A219" s="388"/>
      <c r="B219" s="388"/>
      <c r="C219" s="388"/>
      <c r="D219" s="388"/>
      <c r="E219" s="388"/>
      <c r="F219" s="388"/>
      <c r="G219" s="388"/>
      <c r="H219" s="388"/>
      <c r="I219" s="388"/>
      <c r="J219" s="388"/>
      <c r="K219" s="388"/>
      <c r="L219" s="388"/>
      <c r="M219" s="388"/>
      <c r="N219" s="388"/>
      <c r="O219" s="388"/>
      <c r="P219" s="388"/>
      <c r="Q219" s="388"/>
      <c r="R219" s="388"/>
      <c r="S219" s="388"/>
      <c r="T219" s="388"/>
      <c r="U219" s="2372"/>
      <c r="V219" s="2380"/>
      <c r="W219" s="388"/>
      <c r="X219" s="388"/>
      <c r="Y219" s="388"/>
      <c r="Z219" s="388"/>
      <c r="AA219" s="388"/>
      <c r="AB219" s="388"/>
      <c r="AC219" s="388"/>
      <c r="AD219" s="388"/>
      <c r="AE219" s="388"/>
      <c r="AF219" s="388"/>
      <c r="AG219" s="388"/>
      <c r="AH219" s="388"/>
      <c r="AI219" s="388"/>
    </row>
    <row r="220" spans="1:35" ht="16">
      <c r="A220" s="388"/>
      <c r="B220" s="388"/>
      <c r="C220" s="388"/>
      <c r="D220" s="388"/>
      <c r="E220" s="388"/>
      <c r="F220" s="388"/>
      <c r="G220" s="388"/>
      <c r="H220" s="388"/>
      <c r="I220" s="388"/>
      <c r="J220" s="388"/>
      <c r="K220" s="388"/>
      <c r="L220" s="388"/>
      <c r="M220" s="388"/>
      <c r="N220" s="388"/>
      <c r="O220" s="388"/>
      <c r="P220" s="388"/>
      <c r="Q220" s="388"/>
      <c r="R220" s="388"/>
      <c r="S220" s="388"/>
      <c r="T220" s="388"/>
      <c r="U220" s="2372"/>
      <c r="V220" s="2380"/>
      <c r="W220" s="388"/>
      <c r="X220" s="388"/>
      <c r="Y220" s="388"/>
      <c r="Z220" s="388"/>
      <c r="AA220" s="388"/>
      <c r="AB220" s="388"/>
      <c r="AC220" s="388"/>
      <c r="AD220" s="388"/>
      <c r="AE220" s="388"/>
      <c r="AF220" s="388"/>
      <c r="AG220" s="388"/>
      <c r="AH220" s="388"/>
      <c r="AI220" s="388"/>
    </row>
    <row r="221" spans="1:35" ht="16">
      <c r="J221" s="388"/>
      <c r="K221" s="388"/>
      <c r="L221" s="388"/>
      <c r="M221" s="388"/>
      <c r="N221" s="388"/>
      <c r="O221" s="388"/>
      <c r="P221" s="388"/>
      <c r="Q221" s="388"/>
    </row>
    <row r="222" spans="1:35" ht="16">
      <c r="J222" s="388"/>
      <c r="K222" s="388"/>
      <c r="L222" s="388"/>
      <c r="M222" s="388"/>
      <c r="N222" s="388"/>
      <c r="O222" s="388"/>
      <c r="P222" s="388"/>
      <c r="Q222" s="388"/>
    </row>
    <row r="223" spans="1:35" ht="16">
      <c r="J223" s="388"/>
      <c r="K223" s="388"/>
      <c r="L223" s="388"/>
      <c r="M223" s="388"/>
      <c r="N223" s="388"/>
      <c r="O223" s="388"/>
      <c r="P223" s="388"/>
      <c r="Q223" s="388"/>
    </row>
    <row r="224" spans="1:35" ht="16">
      <c r="J224" s="388"/>
      <c r="K224" s="388"/>
      <c r="L224" s="388"/>
      <c r="M224" s="388"/>
      <c r="N224" s="388"/>
      <c r="O224" s="388"/>
      <c r="P224" s="388"/>
      <c r="Q224" s="388"/>
    </row>
    <row r="225" spans="10:17" ht="16">
      <c r="J225" s="388"/>
      <c r="K225" s="388"/>
      <c r="L225" s="388"/>
      <c r="M225" s="388"/>
      <c r="N225" s="388"/>
      <c r="O225" s="388"/>
      <c r="P225" s="388"/>
      <c r="Q225" s="388"/>
    </row>
    <row r="226" spans="10:17" ht="16">
      <c r="J226" s="388"/>
      <c r="K226" s="388"/>
      <c r="L226" s="388"/>
      <c r="M226" s="388"/>
      <c r="N226" s="388"/>
      <c r="O226" s="388"/>
      <c r="P226" s="388"/>
      <c r="Q226" s="388"/>
    </row>
    <row r="227" spans="10:17" ht="16">
      <c r="J227" s="388"/>
      <c r="K227" s="388"/>
      <c r="L227" s="388"/>
      <c r="M227" s="388"/>
      <c r="N227" s="388"/>
      <c r="O227" s="388"/>
      <c r="P227" s="388"/>
      <c r="Q227" s="388"/>
    </row>
    <row r="228" spans="10:17" ht="16">
      <c r="J228" s="388"/>
      <c r="K228" s="388"/>
      <c r="L228" s="388"/>
      <c r="M228" s="388"/>
      <c r="N228" s="388"/>
      <c r="O228" s="388"/>
      <c r="P228" s="388"/>
      <c r="Q228" s="388"/>
    </row>
    <row r="229" spans="10:17" ht="16">
      <c r="J229" s="388"/>
      <c r="K229" s="388"/>
      <c r="L229" s="388"/>
      <c r="M229" s="388"/>
      <c r="N229" s="388"/>
      <c r="O229" s="388"/>
      <c r="P229" s="388"/>
      <c r="Q229" s="388"/>
    </row>
    <row r="230" spans="10:17" ht="16">
      <c r="J230" s="388"/>
      <c r="K230" s="388"/>
      <c r="L230" s="388"/>
      <c r="M230" s="388"/>
      <c r="N230" s="388"/>
      <c r="O230" s="388"/>
      <c r="P230" s="388"/>
      <c r="Q230" s="388"/>
    </row>
    <row r="231" spans="10:17" ht="16">
      <c r="J231" s="388"/>
      <c r="K231" s="388"/>
      <c r="L231" s="388"/>
      <c r="M231" s="388"/>
      <c r="N231" s="388"/>
      <c r="O231" s="388"/>
      <c r="P231" s="388"/>
      <c r="Q231" s="388"/>
    </row>
    <row r="232" spans="10:17" ht="16">
      <c r="J232" s="388"/>
      <c r="K232" s="388"/>
      <c r="L232" s="388"/>
      <c r="M232" s="388"/>
      <c r="N232" s="388"/>
      <c r="O232" s="388"/>
      <c r="P232" s="388"/>
      <c r="Q232" s="388"/>
    </row>
    <row r="233" spans="10:17" ht="16">
      <c r="J233" s="388"/>
      <c r="K233" s="388"/>
      <c r="L233" s="388"/>
      <c r="M233" s="388"/>
      <c r="N233" s="388"/>
      <c r="O233" s="388"/>
      <c r="P233" s="388"/>
    </row>
    <row r="234" spans="10:17" ht="16">
      <c r="J234" s="388"/>
      <c r="K234" s="388"/>
      <c r="L234" s="388"/>
      <c r="M234" s="388"/>
      <c r="N234" s="388"/>
      <c r="O234" s="388"/>
    </row>
  </sheetData>
  <sheetProtection sheet="1" formatCells="0" formatColumns="0" formatRows="0"/>
  <mergeCells count="267">
    <mergeCell ref="J124:P124"/>
    <mergeCell ref="J109:Q113"/>
    <mergeCell ref="J122:P122"/>
    <mergeCell ref="J121:P121"/>
    <mergeCell ref="J119:P119"/>
    <mergeCell ref="A63:T63"/>
    <mergeCell ref="A72:T72"/>
    <mergeCell ref="A81:T81"/>
    <mergeCell ref="A10:T10"/>
    <mergeCell ref="A19:T19"/>
    <mergeCell ref="A28:T28"/>
    <mergeCell ref="A116:E116"/>
    <mergeCell ref="S95:T95"/>
    <mergeCell ref="S96:T96"/>
    <mergeCell ref="S97:T97"/>
    <mergeCell ref="S98:T98"/>
    <mergeCell ref="A100:T100"/>
    <mergeCell ref="F111:H111"/>
    <mergeCell ref="F113:H113"/>
    <mergeCell ref="F114:H114"/>
    <mergeCell ref="A99:T99"/>
    <mergeCell ref="S101:T101"/>
    <mergeCell ref="S102:T102"/>
    <mergeCell ref="S103:T103"/>
    <mergeCell ref="J125:P126"/>
    <mergeCell ref="Q125:Q126"/>
    <mergeCell ref="J127:P127"/>
    <mergeCell ref="J128:P128"/>
    <mergeCell ref="F208:H208"/>
    <mergeCell ref="F112:H112"/>
    <mergeCell ref="F116:H116"/>
    <mergeCell ref="F117:H117"/>
    <mergeCell ref="F118:H118"/>
    <mergeCell ref="F119:H119"/>
    <mergeCell ref="F120:H120"/>
    <mergeCell ref="F121:H121"/>
    <mergeCell ref="F122:H122"/>
    <mergeCell ref="F123:H123"/>
    <mergeCell ref="F124:H124"/>
    <mergeCell ref="F140:H140"/>
    <mergeCell ref="F141:H141"/>
    <mergeCell ref="F142:H142"/>
    <mergeCell ref="F139:H139"/>
    <mergeCell ref="F143:H143"/>
    <mergeCell ref="F144:H144"/>
    <mergeCell ref="F145:H145"/>
    <mergeCell ref="F146:H146"/>
    <mergeCell ref="A147:H147"/>
    <mergeCell ref="F129:H129"/>
    <mergeCell ref="B129:D129"/>
    <mergeCell ref="B130:D130"/>
    <mergeCell ref="B127:D127"/>
    <mergeCell ref="F167:H167"/>
    <mergeCell ref="F125:H125"/>
    <mergeCell ref="F127:H127"/>
    <mergeCell ref="B119:D119"/>
    <mergeCell ref="B140:D140"/>
    <mergeCell ref="B141:D141"/>
    <mergeCell ref="B128:D128"/>
    <mergeCell ref="F148:H148"/>
    <mergeCell ref="F149:H149"/>
    <mergeCell ref="F150:H150"/>
    <mergeCell ref="F151:H151"/>
    <mergeCell ref="B122:D122"/>
    <mergeCell ref="A126:H126"/>
    <mergeCell ref="B123:D123"/>
    <mergeCell ref="B124:D124"/>
    <mergeCell ref="F156:H156"/>
    <mergeCell ref="F157:H157"/>
    <mergeCell ref="F158:H158"/>
    <mergeCell ref="F159:H159"/>
    <mergeCell ref="B189:D189"/>
    <mergeCell ref="B138:D138"/>
    <mergeCell ref="B142:D142"/>
    <mergeCell ref="B143:D143"/>
    <mergeCell ref="B186:D186"/>
    <mergeCell ref="B181:D181"/>
    <mergeCell ref="B182:D182"/>
    <mergeCell ref="B183:D183"/>
    <mergeCell ref="B161:D161"/>
    <mergeCell ref="B162:D162"/>
    <mergeCell ref="B158:D158"/>
    <mergeCell ref="B159:D159"/>
    <mergeCell ref="B156:D156"/>
    <mergeCell ref="B157:D157"/>
    <mergeCell ref="B160:D160"/>
    <mergeCell ref="B188:D188"/>
    <mergeCell ref="B168:D168"/>
    <mergeCell ref="B169:D169"/>
    <mergeCell ref="B170:D170"/>
    <mergeCell ref="B144:D144"/>
    <mergeCell ref="B145:D145"/>
    <mergeCell ref="B184:D184"/>
    <mergeCell ref="B175:D175"/>
    <mergeCell ref="B176:D176"/>
    <mergeCell ref="B187:E187"/>
    <mergeCell ref="B163:D163"/>
    <mergeCell ref="B155:D155"/>
    <mergeCell ref="F160:H160"/>
    <mergeCell ref="F163:H163"/>
    <mergeCell ref="F161:H161"/>
    <mergeCell ref="S104:T104"/>
    <mergeCell ref="S105:T105"/>
    <mergeCell ref="S106:T106"/>
    <mergeCell ref="B111:D111"/>
    <mergeCell ref="J117:P117"/>
    <mergeCell ref="J123:P123"/>
    <mergeCell ref="J118:Q118"/>
    <mergeCell ref="J120:P120"/>
    <mergeCell ref="A115:F115"/>
    <mergeCell ref="B114:D114"/>
    <mergeCell ref="J114:Q114"/>
    <mergeCell ref="J115:P115"/>
    <mergeCell ref="J116:P116"/>
    <mergeCell ref="B118:D118"/>
    <mergeCell ref="B117:D117"/>
    <mergeCell ref="B120:D120"/>
    <mergeCell ref="B121:D121"/>
    <mergeCell ref="F128:H128"/>
    <mergeCell ref="A94:R94"/>
    <mergeCell ref="A95:R95"/>
    <mergeCell ref="A96:R96"/>
    <mergeCell ref="A97:R97"/>
    <mergeCell ref="A98:R98"/>
    <mergeCell ref="A91:T91"/>
    <mergeCell ref="A92:T92"/>
    <mergeCell ref="S93:T93"/>
    <mergeCell ref="S94:T94"/>
    <mergeCell ref="A101:R101"/>
    <mergeCell ref="A102:R102"/>
    <mergeCell ref="A103:R103"/>
    <mergeCell ref="A104:R104"/>
    <mergeCell ref="A105:R105"/>
    <mergeCell ref="A106:R106"/>
    <mergeCell ref="A109:H109"/>
    <mergeCell ref="F110:H110"/>
    <mergeCell ref="B113:D113"/>
    <mergeCell ref="B110:D110"/>
    <mergeCell ref="A2:T2"/>
    <mergeCell ref="A5:T5"/>
    <mergeCell ref="A55:T55"/>
    <mergeCell ref="A56:D56"/>
    <mergeCell ref="F56:S56"/>
    <mergeCell ref="C6:E6"/>
    <mergeCell ref="A41:R41"/>
    <mergeCell ref="A42:R42"/>
    <mergeCell ref="A57:D57"/>
    <mergeCell ref="F57:S57"/>
    <mergeCell ref="A46:T46"/>
    <mergeCell ref="A47:T47"/>
    <mergeCell ref="S48:T48"/>
    <mergeCell ref="S49:T49"/>
    <mergeCell ref="S50:T50"/>
    <mergeCell ref="S51:T51"/>
    <mergeCell ref="A3:D3"/>
    <mergeCell ref="A4:D4"/>
    <mergeCell ref="F3:S3"/>
    <mergeCell ref="F4:S4"/>
    <mergeCell ref="S52:T52"/>
    <mergeCell ref="S53:T53"/>
    <mergeCell ref="A52:R52"/>
    <mergeCell ref="A53:R53"/>
    <mergeCell ref="F152:H152"/>
    <mergeCell ref="F153:H153"/>
    <mergeCell ref="A154:H154"/>
    <mergeCell ref="F155:H155"/>
    <mergeCell ref="B152:D152"/>
    <mergeCell ref="F130:H130"/>
    <mergeCell ref="F131:H131"/>
    <mergeCell ref="F138:H138"/>
    <mergeCell ref="B131:D131"/>
    <mergeCell ref="B132:D132"/>
    <mergeCell ref="F132:H132"/>
    <mergeCell ref="F133:H133"/>
    <mergeCell ref="F134:H134"/>
    <mergeCell ref="F135:H135"/>
    <mergeCell ref="F136:H136"/>
    <mergeCell ref="A137:H137"/>
    <mergeCell ref="B133:D133"/>
    <mergeCell ref="B134:D134"/>
    <mergeCell ref="B135:D135"/>
    <mergeCell ref="B139:D139"/>
    <mergeCell ref="B149:D149"/>
    <mergeCell ref="B150:D150"/>
    <mergeCell ref="B151:D151"/>
    <mergeCell ref="F162:H162"/>
    <mergeCell ref="F168:H168"/>
    <mergeCell ref="A166:H166"/>
    <mergeCell ref="F175:H175"/>
    <mergeCell ref="F176:H176"/>
    <mergeCell ref="F177:H177"/>
    <mergeCell ref="F178:H178"/>
    <mergeCell ref="A179:H179"/>
    <mergeCell ref="B174:D174"/>
    <mergeCell ref="F171:H171"/>
    <mergeCell ref="A172:H172"/>
    <mergeCell ref="F173:H173"/>
    <mergeCell ref="F174:H174"/>
    <mergeCell ref="B167:D167"/>
    <mergeCell ref="B164:D164"/>
    <mergeCell ref="F164:H164"/>
    <mergeCell ref="F170:H170"/>
    <mergeCell ref="F169:H169"/>
    <mergeCell ref="F165:H165"/>
    <mergeCell ref="B177:D177"/>
    <mergeCell ref="F180:H180"/>
    <mergeCell ref="F181:H181"/>
    <mergeCell ref="F182:H182"/>
    <mergeCell ref="F183:H183"/>
    <mergeCell ref="F184:H184"/>
    <mergeCell ref="F185:H185"/>
    <mergeCell ref="F186:H186"/>
    <mergeCell ref="F188:H188"/>
    <mergeCell ref="F189:H189"/>
    <mergeCell ref="F187:H187"/>
    <mergeCell ref="F190:H190"/>
    <mergeCell ref="F191:H191"/>
    <mergeCell ref="A205:H205"/>
    <mergeCell ref="F192:H192"/>
    <mergeCell ref="A193:H193"/>
    <mergeCell ref="F194:H194"/>
    <mergeCell ref="F195:H195"/>
    <mergeCell ref="F196:H196"/>
    <mergeCell ref="F197:H197"/>
    <mergeCell ref="F198:H198"/>
    <mergeCell ref="B196:D196"/>
    <mergeCell ref="B194:D194"/>
    <mergeCell ref="B195:D195"/>
    <mergeCell ref="B202:D202"/>
    <mergeCell ref="B203:D203"/>
    <mergeCell ref="B197:D197"/>
    <mergeCell ref="B200:D200"/>
    <mergeCell ref="B201:D201"/>
    <mergeCell ref="F206:H206"/>
    <mergeCell ref="F207:H207"/>
    <mergeCell ref="A48:R48"/>
    <mergeCell ref="A49:R49"/>
    <mergeCell ref="A50:R50"/>
    <mergeCell ref="A51:R51"/>
    <mergeCell ref="S45:T45"/>
    <mergeCell ref="A38:T38"/>
    <mergeCell ref="A39:T39"/>
    <mergeCell ref="S40:T40"/>
    <mergeCell ref="S41:T41"/>
    <mergeCell ref="S42:T42"/>
    <mergeCell ref="S43:T43"/>
    <mergeCell ref="S44:T44"/>
    <mergeCell ref="A43:R43"/>
    <mergeCell ref="A44:R44"/>
    <mergeCell ref="B190:D190"/>
    <mergeCell ref="B191:D191"/>
    <mergeCell ref="A199:H199"/>
    <mergeCell ref="F200:H200"/>
    <mergeCell ref="F201:H201"/>
    <mergeCell ref="F202:H202"/>
    <mergeCell ref="F203:H203"/>
    <mergeCell ref="F204:H204"/>
    <mergeCell ref="C7:E7"/>
    <mergeCell ref="C8:E8"/>
    <mergeCell ref="F6:R8"/>
    <mergeCell ref="S6:T8"/>
    <mergeCell ref="C59:E59"/>
    <mergeCell ref="F59:R61"/>
    <mergeCell ref="S59:T61"/>
    <mergeCell ref="C60:E60"/>
    <mergeCell ref="C61:E61"/>
    <mergeCell ref="A58:T58"/>
  </mergeCells>
  <phoneticPr fontId="55" type="noConversion"/>
  <conditionalFormatting sqref="Q128">
    <cfRule type="expression" dxfId="1" priority="1">
      <formula>OR($Q$128="Ja",)</formula>
    </cfRule>
    <cfRule type="expression" dxfId="0" priority="2">
      <formula>OR($Q$128="Nej",)</formula>
    </cfRule>
  </conditionalFormatting>
  <dataValidations count="1">
    <dataValidation type="decimal" allowBlank="1" showInputMessage="1" showErrorMessage="1" sqref="Q125:Q126" xr:uid="{919956C0-7621-9E4A-A6AB-1C033DA9AA03}">
      <formula1>-500</formula1>
      <formula2>0</formula2>
    </dataValidation>
  </dataValidations>
  <printOptions horizontalCentered="1"/>
  <pageMargins left="0.25" right="0.25" top="0.75" bottom="0.75" header="0.3" footer="0.3"/>
  <pageSetup paperSize="9" scale="45" orientation="landscape" horizontalDpi="4294967292" verticalDpi="4294967292"/>
  <headerFooter alignWithMargins="0">
    <oddFooter>&amp;L&amp;G&amp;R
&amp;D
&amp;A</oddFooter>
  </headerFooter>
  <rowBreaks count="3" manualBreakCount="3">
    <brk id="53" max="16383" man="1"/>
    <brk id="106" max="16383" man="1"/>
    <brk id="207" max="16383" man="1"/>
  </rowBreaks>
  <colBreaks count="1" manualBreakCount="1">
    <brk id="20" max="1048575" man="1"/>
  </colBreaks>
  <drawing r:id="rId1"/>
  <legacy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8">
    <tabColor rgb="FFFFFF00"/>
  </sheetPr>
  <dimension ref="A1:I100"/>
  <sheetViews>
    <sheetView topLeftCell="A69" zoomScaleNormal="100" zoomScaleSheetLayoutView="100" workbookViewId="0">
      <selection activeCell="H92" sqref="H92"/>
    </sheetView>
  </sheetViews>
  <sheetFormatPr baseColWidth="10" defaultColWidth="11.5" defaultRowHeight="13"/>
  <cols>
    <col min="1" max="1" width="3.5" style="2" customWidth="1"/>
    <col min="2" max="2" width="9.5" style="2" customWidth="1"/>
    <col min="3" max="3" width="53.5" customWidth="1"/>
    <col min="4" max="5" width="12.5" customWidth="1"/>
    <col min="6" max="6" width="35" customWidth="1"/>
    <col min="8" max="8" width="14.5" customWidth="1"/>
    <col min="9" max="9" width="22.5" customWidth="1"/>
  </cols>
  <sheetData>
    <row r="1" spans="1:9" s="99" customFormat="1" ht="27" customHeight="1" thickBot="1">
      <c r="A1" s="2"/>
      <c r="B1" s="2"/>
      <c r="C1"/>
      <c r="D1"/>
      <c r="E1"/>
      <c r="F1"/>
      <c r="G1"/>
      <c r="H1"/>
      <c r="I1"/>
    </row>
    <row r="2" spans="1:9" s="31" customFormat="1" ht="124" customHeight="1" thickBot="1">
      <c r="A2" s="3250" t="s">
        <v>978</v>
      </c>
      <c r="B2" s="3251"/>
      <c r="C2" s="3251"/>
      <c r="D2" s="2055" t="s">
        <v>979</v>
      </c>
      <c r="E2" s="2056" t="s">
        <v>778</v>
      </c>
      <c r="F2" s="2057" t="str">
        <f>'Undervisning-SFO udgifter'!F2</f>
        <v>Ændringer i budgetår 2026 i forhold til 2025. Hvis ekstra udgifter påfør udgiften som et positivt tal. Hvis en lavere udgift, påfør den lavere udgift med et negativt tal. Tallene skal ses i forhold til Budgetåret 2025.</v>
      </c>
      <c r="G2" s="372"/>
      <c r="H2" s="3248" t="str">
        <f>"Heraf daginstitutionens andel vedr. budgetår "&amp;E3&amp;": (kun til brug for retvisende budget for daginstitutionene)"</f>
        <v>Heraf daginstitutionens andel vedr. budgetår 2025: (kun til brug for retvisende budget for daginstitutionene)</v>
      </c>
      <c r="I2" s="3249"/>
    </row>
    <row r="3" spans="1:9" s="3" customFormat="1" ht="18" customHeight="1">
      <c r="A3" s="2058" t="s">
        <v>432</v>
      </c>
      <c r="B3" s="2059" t="s">
        <v>925</v>
      </c>
      <c r="C3" s="2060" t="s">
        <v>980</v>
      </c>
      <c r="D3" s="2061">
        <f>budgetår-1</f>
        <v>2024</v>
      </c>
      <c r="E3" s="2062">
        <f>budgetår</f>
        <v>2025</v>
      </c>
      <c r="F3" s="1890" t="str">
        <f>'Undervisning-SFO udgifter'!F3</f>
        <v>Ændringer til 2026</v>
      </c>
      <c r="G3" s="141"/>
      <c r="H3" s="386" t="s">
        <v>981</v>
      </c>
      <c r="I3" s="387" t="s">
        <v>675</v>
      </c>
    </row>
    <row r="4" spans="1:9" ht="18" customHeight="1">
      <c r="A4" s="644">
        <v>1</v>
      </c>
      <c r="B4" s="485"/>
      <c r="C4" s="384" t="s">
        <v>982</v>
      </c>
      <c r="D4" s="385"/>
      <c r="E4" s="402"/>
      <c r="F4" s="2063"/>
      <c r="G4" s="388"/>
      <c r="H4" s="389"/>
      <c r="I4" s="390">
        <f>E4*H4</f>
        <v>0</v>
      </c>
    </row>
    <row r="5" spans="1:9" ht="18" customHeight="1">
      <c r="A5" s="644">
        <v>2</v>
      </c>
      <c r="B5" s="485"/>
      <c r="C5" s="384"/>
      <c r="D5" s="385"/>
      <c r="E5" s="402"/>
      <c r="F5" s="2063"/>
      <c r="G5" s="388"/>
      <c r="H5" s="389"/>
      <c r="I5" s="390">
        <f t="shared" ref="I5:I54" si="0">E5*H5</f>
        <v>0</v>
      </c>
    </row>
    <row r="6" spans="1:9" ht="18" customHeight="1">
      <c r="A6" s="644">
        <v>3</v>
      </c>
      <c r="B6" s="485"/>
      <c r="C6" s="384" t="s">
        <v>983</v>
      </c>
      <c r="D6" s="385"/>
      <c r="E6" s="402"/>
      <c r="F6" s="2063"/>
      <c r="G6" s="388"/>
      <c r="H6" s="389"/>
      <c r="I6" s="390">
        <f t="shared" si="0"/>
        <v>0</v>
      </c>
    </row>
    <row r="7" spans="1:9" ht="18" customHeight="1">
      <c r="A7" s="644">
        <v>4</v>
      </c>
      <c r="B7" s="485"/>
      <c r="C7" s="384"/>
      <c r="D7" s="385"/>
      <c r="E7" s="402"/>
      <c r="F7" s="2063"/>
      <c r="G7" s="388"/>
      <c r="H7" s="389"/>
      <c r="I7" s="390">
        <f t="shared" si="0"/>
        <v>0</v>
      </c>
    </row>
    <row r="8" spans="1:9" ht="18" customHeight="1">
      <c r="A8" s="644">
        <v>5</v>
      </c>
      <c r="B8" s="485"/>
      <c r="C8" s="384"/>
      <c r="D8" s="385"/>
      <c r="E8" s="402"/>
      <c r="F8" s="2063"/>
      <c r="G8" s="388"/>
      <c r="H8" s="391"/>
      <c r="I8" s="392">
        <f t="shared" si="0"/>
        <v>0</v>
      </c>
    </row>
    <row r="9" spans="1:9" ht="18" customHeight="1">
      <c r="A9" s="2064" t="s">
        <v>984</v>
      </c>
      <c r="B9" s="2065"/>
      <c r="C9" s="2066"/>
      <c r="D9" s="2067">
        <f>SUM(D4:D8)</f>
        <v>0</v>
      </c>
      <c r="E9" s="2068">
        <f>SUM(E4:E8)</f>
        <v>0</v>
      </c>
      <c r="F9" s="676">
        <f>SUM(F4:F8)</f>
        <v>0</v>
      </c>
      <c r="G9" s="388"/>
      <c r="H9" s="2069" t="s">
        <v>985</v>
      </c>
      <c r="I9" s="2070">
        <f>SUM(I4:I8)</f>
        <v>0</v>
      </c>
    </row>
    <row r="10" spans="1:9" s="3" customFormat="1" ht="18" customHeight="1">
      <c r="A10" s="2071" t="s">
        <v>432</v>
      </c>
      <c r="B10" s="2072" t="str">
        <f>B3</f>
        <v>Kto. nr.</v>
      </c>
      <c r="C10" s="2073" t="s">
        <v>986</v>
      </c>
      <c r="D10" s="2074">
        <f>budgetår-1</f>
        <v>2024</v>
      </c>
      <c r="E10" s="2075">
        <f>budgetår</f>
        <v>2025</v>
      </c>
      <c r="F10" s="677" t="str">
        <f>F3</f>
        <v>Ændringer til 2026</v>
      </c>
      <c r="G10" s="141"/>
      <c r="H10" s="2076"/>
      <c r="I10" s="2077"/>
    </row>
    <row r="11" spans="1:9" ht="18" customHeight="1">
      <c r="A11" s="644">
        <v>1</v>
      </c>
      <c r="B11" s="485"/>
      <c r="C11" s="384" t="s">
        <v>987</v>
      </c>
      <c r="D11" s="2078"/>
      <c r="E11" s="2079"/>
      <c r="F11" s="1869"/>
      <c r="G11" s="388"/>
      <c r="H11" s="393"/>
      <c r="I11" s="394">
        <f t="shared" si="0"/>
        <v>0</v>
      </c>
    </row>
    <row r="12" spans="1:9" ht="18" customHeight="1">
      <c r="A12" s="644">
        <v>2</v>
      </c>
      <c r="B12" s="485"/>
      <c r="C12" s="384" t="s">
        <v>988</v>
      </c>
      <c r="D12" s="385"/>
      <c r="E12" s="402"/>
      <c r="F12" s="1869"/>
      <c r="G12" s="388"/>
      <c r="H12" s="389"/>
      <c r="I12" s="390">
        <f t="shared" si="0"/>
        <v>0</v>
      </c>
    </row>
    <row r="13" spans="1:9" ht="18" customHeight="1">
      <c r="A13" s="644">
        <v>3</v>
      </c>
      <c r="B13" s="485"/>
      <c r="C13" s="384" t="s">
        <v>989</v>
      </c>
      <c r="D13" s="385"/>
      <c r="E13" s="402"/>
      <c r="F13" s="1869"/>
      <c r="G13" s="388"/>
      <c r="H13" s="389"/>
      <c r="I13" s="390">
        <f t="shared" si="0"/>
        <v>0</v>
      </c>
    </row>
    <row r="14" spans="1:9" ht="18" customHeight="1">
      <c r="A14" s="644">
        <v>4</v>
      </c>
      <c r="B14" s="485"/>
      <c r="C14" s="384"/>
      <c r="D14" s="385"/>
      <c r="E14" s="402"/>
      <c r="F14" s="1869"/>
      <c r="G14" s="388"/>
      <c r="H14" s="389"/>
      <c r="I14" s="390">
        <f t="shared" si="0"/>
        <v>0</v>
      </c>
    </row>
    <row r="15" spans="1:9" ht="18" customHeight="1">
      <c r="A15" s="644">
        <v>5</v>
      </c>
      <c r="B15" s="485"/>
      <c r="C15" s="384"/>
      <c r="D15" s="385"/>
      <c r="E15" s="402"/>
      <c r="F15" s="1869"/>
      <c r="G15" s="388"/>
      <c r="H15" s="391"/>
      <c r="I15" s="392">
        <f t="shared" si="0"/>
        <v>0</v>
      </c>
    </row>
    <row r="16" spans="1:9" ht="18" customHeight="1" thickBot="1">
      <c r="A16" s="2064" t="s">
        <v>990</v>
      </c>
      <c r="B16" s="2065"/>
      <c r="C16" s="2066"/>
      <c r="D16" s="2067">
        <f>SUM(D11:D15)</f>
        <v>0</v>
      </c>
      <c r="E16" s="2068">
        <f>SUM(E11:E15)</f>
        <v>0</v>
      </c>
      <c r="F16" s="678">
        <f>SUM(F11:F15)</f>
        <v>0</v>
      </c>
      <c r="G16" s="388"/>
      <c r="H16" s="2076"/>
      <c r="I16" s="2077"/>
    </row>
    <row r="17" spans="1:9" ht="24" customHeight="1" thickBot="1">
      <c r="A17" s="2080" t="str">
        <f>"Lejeudgifter i alt til hovedskema lin. 47"</f>
        <v>Lejeudgifter i alt til hovedskema lin. 47</v>
      </c>
      <c r="B17" s="2081"/>
      <c r="C17" s="2082"/>
      <c r="D17" s="2083"/>
      <c r="E17" s="2084">
        <f>E9+E16</f>
        <v>0</v>
      </c>
      <c r="F17" s="968"/>
      <c r="G17" s="388"/>
      <c r="H17" s="2076"/>
      <c r="I17" s="2077"/>
    </row>
    <row r="18" spans="1:9" s="3" customFormat="1" ht="18" customHeight="1" thickBot="1">
      <c r="A18" s="395"/>
      <c r="B18" s="395"/>
      <c r="C18" s="141"/>
      <c r="D18" s="141"/>
      <c r="E18" s="141"/>
      <c r="F18" s="141"/>
      <c r="G18" s="388"/>
      <c r="H18" s="2076"/>
      <c r="I18" s="2077"/>
    </row>
    <row r="19" spans="1:9" ht="18" customHeight="1">
      <c r="A19" s="2085" t="s">
        <v>432</v>
      </c>
      <c r="B19" s="2086" t="str">
        <f>B10</f>
        <v>Kto. nr.</v>
      </c>
      <c r="C19" s="2087" t="s">
        <v>991</v>
      </c>
      <c r="D19" s="2088">
        <f>budgetår-1</f>
        <v>2024</v>
      </c>
      <c r="E19" s="2089">
        <f>budgetår</f>
        <v>2025</v>
      </c>
      <c r="F19" s="2090" t="str">
        <f>F10</f>
        <v>Ændringer til 2026</v>
      </c>
      <c r="G19" s="141"/>
      <c r="H19" s="396"/>
      <c r="I19" s="397"/>
    </row>
    <row r="20" spans="1:9" ht="18" customHeight="1">
      <c r="A20" s="644">
        <v>1</v>
      </c>
      <c r="B20" s="482"/>
      <c r="C20" s="398" t="s">
        <v>991</v>
      </c>
      <c r="D20" s="385"/>
      <c r="E20" s="2079"/>
      <c r="F20" s="2063"/>
      <c r="G20" s="388"/>
      <c r="H20" s="389"/>
      <c r="I20" s="390">
        <f t="shared" si="0"/>
        <v>0</v>
      </c>
    </row>
    <row r="21" spans="1:9" ht="18" customHeight="1">
      <c r="A21" s="644">
        <v>2</v>
      </c>
      <c r="B21" s="482"/>
      <c r="C21" s="398"/>
      <c r="D21" s="399"/>
      <c r="E21" s="413"/>
      <c r="F21" s="2063"/>
      <c r="G21" s="388"/>
      <c r="H21" s="389"/>
      <c r="I21" s="390">
        <f t="shared" si="0"/>
        <v>0</v>
      </c>
    </row>
    <row r="22" spans="1:9" ht="18" customHeight="1">
      <c r="A22" s="644">
        <v>3</v>
      </c>
      <c r="B22" s="482"/>
      <c r="C22" s="398"/>
      <c r="D22" s="399"/>
      <c r="E22" s="413"/>
      <c r="F22" s="2063"/>
      <c r="G22" s="388"/>
      <c r="H22" s="389"/>
      <c r="I22" s="390">
        <f t="shared" si="0"/>
        <v>0</v>
      </c>
    </row>
    <row r="23" spans="1:9" ht="18" customHeight="1">
      <c r="A23" s="644">
        <v>4</v>
      </c>
      <c r="B23" s="482"/>
      <c r="C23" s="398"/>
      <c r="D23" s="399"/>
      <c r="E23" s="413"/>
      <c r="F23" s="2063"/>
      <c r="G23" s="388"/>
      <c r="H23" s="389"/>
      <c r="I23" s="390">
        <f t="shared" si="0"/>
        <v>0</v>
      </c>
    </row>
    <row r="24" spans="1:9" ht="18" customHeight="1">
      <c r="A24" s="644">
        <v>5</v>
      </c>
      <c r="B24" s="485"/>
      <c r="C24" s="384"/>
      <c r="D24" s="399"/>
      <c r="E24" s="413"/>
      <c r="F24" s="2063"/>
      <c r="G24" s="388"/>
      <c r="H24" s="391"/>
      <c r="I24" s="392">
        <f t="shared" si="0"/>
        <v>0</v>
      </c>
    </row>
    <row r="25" spans="1:9" s="3" customFormat="1" ht="18" customHeight="1">
      <c r="A25" s="2064" t="s">
        <v>992</v>
      </c>
      <c r="B25" s="2065"/>
      <c r="C25" s="2066"/>
      <c r="D25" s="2067">
        <f>SUM(D20:D24)</f>
        <v>0</v>
      </c>
      <c r="E25" s="2067">
        <f>SUM(E20:E24)</f>
        <v>0</v>
      </c>
      <c r="F25" s="679">
        <f>SUM(F20:F24)</f>
        <v>0</v>
      </c>
      <c r="G25" s="401"/>
      <c r="H25" s="2076"/>
      <c r="I25" s="2077"/>
    </row>
    <row r="26" spans="1:9" ht="18" customHeight="1">
      <c r="A26" s="2071" t="s">
        <v>432</v>
      </c>
      <c r="B26" s="2072" t="str">
        <f>B19</f>
        <v>Kto. nr.</v>
      </c>
      <c r="C26" s="2073" t="s">
        <v>993</v>
      </c>
      <c r="D26" s="2074">
        <f>budgetår-1</f>
        <v>2024</v>
      </c>
      <c r="E26" s="2075">
        <f>budgetår</f>
        <v>2025</v>
      </c>
      <c r="F26" s="677" t="str">
        <f>F10</f>
        <v>Ændringer til 2026</v>
      </c>
      <c r="G26" s="141"/>
      <c r="H26" s="2076"/>
      <c r="I26" s="2077"/>
    </row>
    <row r="27" spans="1:9" ht="18" customHeight="1">
      <c r="A27" s="644">
        <v>1</v>
      </c>
      <c r="B27" s="485"/>
      <c r="C27" s="384" t="s">
        <v>994</v>
      </c>
      <c r="D27" s="385"/>
      <c r="E27" s="402"/>
      <c r="F27" s="1869"/>
      <c r="G27" s="388"/>
      <c r="H27" s="393"/>
      <c r="I27" s="394">
        <f t="shared" si="0"/>
        <v>0</v>
      </c>
    </row>
    <row r="28" spans="1:9" ht="18" customHeight="1">
      <c r="A28" s="644">
        <v>2</v>
      </c>
      <c r="B28" s="485"/>
      <c r="C28" s="384" t="s">
        <v>995</v>
      </c>
      <c r="D28" s="385"/>
      <c r="E28" s="402"/>
      <c r="F28" s="1869"/>
      <c r="G28" s="388"/>
      <c r="H28" s="389"/>
      <c r="I28" s="390">
        <f t="shared" si="0"/>
        <v>0</v>
      </c>
    </row>
    <row r="29" spans="1:9" ht="18" customHeight="1">
      <c r="A29" s="644">
        <v>3</v>
      </c>
      <c r="B29" s="485"/>
      <c r="C29" s="384" t="s">
        <v>996</v>
      </c>
      <c r="D29" s="385"/>
      <c r="E29" s="402"/>
      <c r="F29" s="1869"/>
      <c r="G29" s="388"/>
      <c r="H29" s="389"/>
      <c r="I29" s="390">
        <f t="shared" si="0"/>
        <v>0</v>
      </c>
    </row>
    <row r="30" spans="1:9" ht="18" customHeight="1">
      <c r="A30" s="644">
        <v>4</v>
      </c>
      <c r="B30" s="485"/>
      <c r="C30" s="384"/>
      <c r="D30" s="385"/>
      <c r="E30" s="402"/>
      <c r="F30" s="1869"/>
      <c r="G30" s="388"/>
      <c r="H30" s="389"/>
      <c r="I30" s="390">
        <f t="shared" si="0"/>
        <v>0</v>
      </c>
    </row>
    <row r="31" spans="1:9" ht="18" customHeight="1" thickBot="1">
      <c r="A31" s="644">
        <v>5</v>
      </c>
      <c r="B31" s="485"/>
      <c r="C31" s="384"/>
      <c r="D31" s="385"/>
      <c r="E31" s="402"/>
      <c r="F31" s="2091"/>
      <c r="G31" s="388"/>
      <c r="H31" s="391"/>
      <c r="I31" s="392">
        <f t="shared" si="0"/>
        <v>0</v>
      </c>
    </row>
    <row r="32" spans="1:9" ht="18" customHeight="1" thickBot="1">
      <c r="A32" s="2064" t="s">
        <v>997</v>
      </c>
      <c r="B32" s="2065"/>
      <c r="C32" s="2066"/>
      <c r="D32" s="2067">
        <f>SUM(D27:D31)</f>
        <v>0</v>
      </c>
      <c r="E32" s="2092">
        <f>SUM(E27:E31)</f>
        <v>0</v>
      </c>
      <c r="F32" s="658">
        <f>SUM(F27:F31)</f>
        <v>0</v>
      </c>
      <c r="G32" s="388"/>
      <c r="H32" s="2076"/>
      <c r="I32" s="2077"/>
    </row>
    <row r="33" spans="1:9" ht="24" customHeight="1" thickBot="1">
      <c r="A33" s="2080" t="str">
        <f>"Ejendomsskatter og forsikringer  i alt til hovedskema lin. 48"</f>
        <v>Ejendomsskatter og forsikringer  i alt til hovedskema lin. 48</v>
      </c>
      <c r="B33" s="2081"/>
      <c r="C33" s="2082"/>
      <c r="D33" s="2083"/>
      <c r="E33" s="2084">
        <f>E32+E25</f>
        <v>0</v>
      </c>
      <c r="F33" s="968"/>
      <c r="G33" s="388"/>
      <c r="H33" s="2076"/>
      <c r="I33" s="2077"/>
    </row>
    <row r="34" spans="1:9" ht="17" thickBot="1">
      <c r="A34" s="395"/>
      <c r="B34" s="395"/>
      <c r="C34" s="141"/>
      <c r="D34" s="141"/>
      <c r="E34" s="141"/>
      <c r="F34" s="141"/>
      <c r="G34" s="388"/>
      <c r="H34" s="2076"/>
      <c r="I34" s="2077"/>
    </row>
    <row r="35" spans="1:9" ht="16">
      <c r="A35" s="2085" t="s">
        <v>432</v>
      </c>
      <c r="B35" s="2086" t="str">
        <f>B26</f>
        <v>Kto. nr.</v>
      </c>
      <c r="C35" s="2087" t="s">
        <v>998</v>
      </c>
      <c r="D35" s="2093">
        <f>D26</f>
        <v>2024</v>
      </c>
      <c r="E35" s="2093">
        <f>E26</f>
        <v>2025</v>
      </c>
      <c r="F35" s="2094" t="str">
        <f>F26</f>
        <v>Ændringer til 2026</v>
      </c>
      <c r="G35" s="388"/>
      <c r="H35" s="2076"/>
      <c r="I35" s="2077"/>
    </row>
    <row r="36" spans="1:9" ht="16">
      <c r="A36" s="644">
        <v>1</v>
      </c>
      <c r="B36" s="482"/>
      <c r="C36" s="402" t="s">
        <v>998</v>
      </c>
      <c r="D36" s="385"/>
      <c r="E36" s="2079"/>
      <c r="F36" s="1870"/>
      <c r="G36" s="388"/>
      <c r="H36" s="393"/>
      <c r="I36" s="394">
        <f t="shared" si="0"/>
        <v>0</v>
      </c>
    </row>
    <row r="37" spans="1:9" ht="16">
      <c r="A37" s="644">
        <v>2</v>
      </c>
      <c r="B37" s="482"/>
      <c r="C37" s="402" t="s">
        <v>999</v>
      </c>
      <c r="D37" s="385"/>
      <c r="E37" s="402"/>
      <c r="F37" s="1870"/>
      <c r="G37" s="388"/>
      <c r="H37" s="391"/>
      <c r="I37" s="392">
        <f t="shared" si="0"/>
        <v>0</v>
      </c>
    </row>
    <row r="38" spans="1:9" ht="16">
      <c r="A38" s="2095" t="s">
        <v>1000</v>
      </c>
      <c r="B38" s="2096"/>
      <c r="C38" s="2097"/>
      <c r="D38" s="2067">
        <f>SUM(D36:D37)</f>
        <v>0</v>
      </c>
      <c r="E38" s="2067">
        <f>SUM(E36:E37)</f>
        <v>0</v>
      </c>
      <c r="F38" s="679">
        <f>SUM(F36:F37)</f>
        <v>0</v>
      </c>
      <c r="G38" s="388"/>
      <c r="H38" s="2076"/>
      <c r="I38" s="2077"/>
    </row>
    <row r="39" spans="1:9" ht="16">
      <c r="A39" s="2071" t="s">
        <v>432</v>
      </c>
      <c r="B39" s="2072" t="str">
        <f>B35</f>
        <v>Kto. nr.</v>
      </c>
      <c r="C39" s="2098" t="s">
        <v>1001</v>
      </c>
      <c r="D39" s="2099">
        <f>D35</f>
        <v>2024</v>
      </c>
      <c r="E39" s="2099">
        <f>E35</f>
        <v>2025</v>
      </c>
      <c r="F39" s="2100" t="str">
        <f>F35</f>
        <v>Ændringer til 2026</v>
      </c>
      <c r="G39" s="388"/>
      <c r="H39" s="2076"/>
      <c r="I39" s="2077"/>
    </row>
    <row r="40" spans="1:9" ht="16">
      <c r="A40" s="644">
        <v>1</v>
      </c>
      <c r="B40" s="482"/>
      <c r="C40" s="402" t="s">
        <v>1002</v>
      </c>
      <c r="D40" s="385"/>
      <c r="E40" s="657"/>
      <c r="F40" s="2101"/>
      <c r="G40" s="388"/>
      <c r="H40" s="393"/>
      <c r="I40" s="394">
        <f t="shared" si="0"/>
        <v>0</v>
      </c>
    </row>
    <row r="41" spans="1:9" ht="16">
      <c r="A41" s="644">
        <v>2</v>
      </c>
      <c r="B41" s="482"/>
      <c r="C41" s="402"/>
      <c r="D41" s="385"/>
      <c r="E41" s="402"/>
      <c r="F41" s="2101"/>
      <c r="G41" s="388"/>
      <c r="H41" s="391"/>
      <c r="I41" s="392">
        <f t="shared" si="0"/>
        <v>0</v>
      </c>
    </row>
    <row r="42" spans="1:9" ht="16">
      <c r="A42" s="2095" t="s">
        <v>1003</v>
      </c>
      <c r="B42" s="2096"/>
      <c r="C42" s="2097"/>
      <c r="D42" s="2067">
        <f>SUM(D40:D41)</f>
        <v>0</v>
      </c>
      <c r="E42" s="2102">
        <f>SUM(E40:E41)</f>
        <v>0</v>
      </c>
      <c r="F42" s="679">
        <f>SUM(F40:F41)</f>
        <v>0</v>
      </c>
      <c r="G42" s="388"/>
      <c r="H42" s="2076"/>
      <c r="I42" s="2077"/>
    </row>
    <row r="43" spans="1:9" ht="16">
      <c r="A43" s="2071" t="s">
        <v>432</v>
      </c>
      <c r="B43" s="2072" t="str">
        <f>B35</f>
        <v>Kto. nr.</v>
      </c>
      <c r="C43" s="2098" t="s">
        <v>1004</v>
      </c>
      <c r="D43" s="2099">
        <f>D39</f>
        <v>2024</v>
      </c>
      <c r="E43" s="2099">
        <f>E39</f>
        <v>2025</v>
      </c>
      <c r="F43" s="2100" t="str">
        <f>F39</f>
        <v>Ændringer til 2026</v>
      </c>
      <c r="G43" s="388"/>
      <c r="H43" s="2076"/>
      <c r="I43" s="2077"/>
    </row>
    <row r="44" spans="1:9" ht="16">
      <c r="A44" s="644">
        <v>1</v>
      </c>
      <c r="B44" s="482"/>
      <c r="C44" s="402" t="s">
        <v>1004</v>
      </c>
      <c r="D44" s="385"/>
      <c r="E44" s="402"/>
      <c r="F44" s="2101"/>
      <c r="G44" s="388"/>
      <c r="H44" s="393"/>
      <c r="I44" s="394">
        <f t="shared" si="0"/>
        <v>0</v>
      </c>
    </row>
    <row r="45" spans="1:9" ht="16">
      <c r="A45" s="644">
        <v>2</v>
      </c>
      <c r="B45" s="482"/>
      <c r="C45" s="402" t="s">
        <v>1005</v>
      </c>
      <c r="D45" s="385"/>
      <c r="E45" s="402"/>
      <c r="F45" s="2101"/>
      <c r="G45" s="388"/>
      <c r="H45" s="391"/>
      <c r="I45" s="392">
        <f t="shared" si="0"/>
        <v>0</v>
      </c>
    </row>
    <row r="46" spans="1:9" ht="17" thickBot="1">
      <c r="A46" s="2103" t="s">
        <v>1006</v>
      </c>
      <c r="B46" s="2104"/>
      <c r="C46" s="2105"/>
      <c r="D46" s="2106">
        <f>SUM(D44:D45)</f>
        <v>0</v>
      </c>
      <c r="E46" s="2106">
        <f>SUM(E44:E45)</f>
        <v>0</v>
      </c>
      <c r="F46" s="680">
        <f>SUM(F44:F45)</f>
        <v>0</v>
      </c>
      <c r="G46" s="388"/>
      <c r="H46" s="2076"/>
      <c r="I46" s="2077"/>
    </row>
    <row r="47" spans="1:9" ht="17" thickBot="1">
      <c r="A47" s="404"/>
      <c r="B47" s="404"/>
      <c r="C47" s="405"/>
      <c r="D47" s="400"/>
      <c r="E47" s="400"/>
      <c r="F47" s="400"/>
      <c r="G47" s="388"/>
      <c r="H47" s="2076"/>
      <c r="I47" s="2077"/>
    </row>
    <row r="48" spans="1:9" ht="16">
      <c r="A48" s="2085" t="s">
        <v>432</v>
      </c>
      <c r="B48" s="2086" t="str">
        <f>B43</f>
        <v>Kto. nr.</v>
      </c>
      <c r="C48" s="2087" t="s">
        <v>1007</v>
      </c>
      <c r="D48" s="2093">
        <f>D43</f>
        <v>2024</v>
      </c>
      <c r="E48" s="2093">
        <f>E43</f>
        <v>2025</v>
      </c>
      <c r="F48" s="2094" t="str">
        <f>F43</f>
        <v>Ændringer til 2026</v>
      </c>
      <c r="G48" s="388"/>
      <c r="H48" s="2076"/>
      <c r="I48" s="2077"/>
    </row>
    <row r="49" spans="1:9" ht="16">
      <c r="A49" s="644">
        <v>1</v>
      </c>
      <c r="B49" s="482"/>
      <c r="C49" s="398" t="s">
        <v>1008</v>
      </c>
      <c r="D49" s="385"/>
      <c r="E49" s="402"/>
      <c r="F49" s="2107"/>
      <c r="G49" s="388"/>
      <c r="H49" s="393"/>
      <c r="I49" s="394">
        <f t="shared" si="0"/>
        <v>0</v>
      </c>
    </row>
    <row r="50" spans="1:9" ht="16">
      <c r="A50" s="644">
        <v>2</v>
      </c>
      <c r="B50" s="485"/>
      <c r="C50" s="406" t="s">
        <v>1009</v>
      </c>
      <c r="D50" s="385"/>
      <c r="E50" s="402"/>
      <c r="F50" s="2107"/>
      <c r="G50" s="388"/>
      <c r="H50" s="389"/>
      <c r="I50" s="390">
        <f t="shared" si="0"/>
        <v>0</v>
      </c>
    </row>
    <row r="51" spans="1:9" ht="16">
      <c r="A51" s="644">
        <v>3</v>
      </c>
      <c r="B51" s="485"/>
      <c r="C51" s="406"/>
      <c r="D51" s="385"/>
      <c r="E51" s="402"/>
      <c r="F51" s="2107"/>
      <c r="G51" s="388"/>
      <c r="H51" s="389"/>
      <c r="I51" s="390">
        <f t="shared" si="0"/>
        <v>0</v>
      </c>
    </row>
    <row r="52" spans="1:9" ht="16">
      <c r="A52" s="644">
        <v>4</v>
      </c>
      <c r="B52" s="485"/>
      <c r="C52" s="406"/>
      <c r="D52" s="385"/>
      <c r="E52" s="402"/>
      <c r="F52" s="2107"/>
      <c r="G52" s="388"/>
      <c r="H52" s="389"/>
      <c r="I52" s="390">
        <f t="shared" si="0"/>
        <v>0</v>
      </c>
    </row>
    <row r="53" spans="1:9" ht="16">
      <c r="A53" s="644">
        <v>5</v>
      </c>
      <c r="B53" s="482"/>
      <c r="C53" s="398"/>
      <c r="D53" s="385"/>
      <c r="E53" s="402"/>
      <c r="F53" s="2107"/>
      <c r="G53" s="388"/>
      <c r="H53" s="389"/>
      <c r="I53" s="390">
        <f t="shared" si="0"/>
        <v>0</v>
      </c>
    </row>
    <row r="54" spans="1:9" ht="17" thickBot="1">
      <c r="A54" s="644">
        <v>6</v>
      </c>
      <c r="B54" s="482"/>
      <c r="C54" s="402"/>
      <c r="D54" s="385"/>
      <c r="E54" s="402"/>
      <c r="F54" s="1934"/>
      <c r="G54" s="388"/>
      <c r="H54" s="391"/>
      <c r="I54" s="392">
        <f t="shared" si="0"/>
        <v>0</v>
      </c>
    </row>
    <row r="55" spans="1:9" ht="17" thickBot="1">
      <c r="A55" s="2108" t="s">
        <v>1010</v>
      </c>
      <c r="B55" s="2109"/>
      <c r="C55" s="2110"/>
      <c r="D55" s="2111">
        <f>SUM(D49:D54)</f>
        <v>0</v>
      </c>
      <c r="E55" s="2112">
        <f>SUM(E49:E54)</f>
        <v>0</v>
      </c>
      <c r="F55" s="658">
        <f>SUM(F49:F54)</f>
        <v>0</v>
      </c>
      <c r="G55" s="388"/>
      <c r="H55" s="2076"/>
      <c r="I55" s="2077"/>
    </row>
    <row r="56" spans="1:9" ht="24" customHeight="1" thickBot="1">
      <c r="A56" s="2080" t="str">
        <f>"Varme, el, vand, rengøring og renovation  i alt til hovedskema lin. 49"</f>
        <v>Varme, el, vand, rengøring og renovation  i alt til hovedskema lin. 49</v>
      </c>
      <c r="B56" s="2081"/>
      <c r="C56" s="2082"/>
      <c r="D56" s="2083"/>
      <c r="E56" s="2084">
        <f>E38+E42+E46+E55</f>
        <v>0</v>
      </c>
      <c r="F56" s="968"/>
      <c r="G56" s="388"/>
      <c r="H56" s="2076"/>
      <c r="I56" s="2077"/>
    </row>
    <row r="57" spans="1:9" ht="17" thickBot="1">
      <c r="A57" s="407"/>
      <c r="B57" s="407"/>
      <c r="C57" s="388"/>
      <c r="D57" s="388"/>
      <c r="E57" s="388"/>
      <c r="F57" s="388"/>
      <c r="G57" s="388"/>
      <c r="H57" s="2076"/>
      <c r="I57" s="2077"/>
    </row>
    <row r="58" spans="1:9" ht="16">
      <c r="A58" s="2085" t="s">
        <v>432</v>
      </c>
      <c r="B58" s="2086" t="str">
        <f>B48</f>
        <v>Kto. nr.</v>
      </c>
      <c r="C58" s="2087" t="s">
        <v>1011</v>
      </c>
      <c r="D58" s="2088">
        <f>budgetår-1</f>
        <v>2024</v>
      </c>
      <c r="E58" s="2089">
        <f>budgetår</f>
        <v>2025</v>
      </c>
      <c r="F58" s="2094" t="str">
        <f>F48</f>
        <v>Ændringer til 2026</v>
      </c>
      <c r="G58" s="388"/>
      <c r="H58" s="408"/>
      <c r="I58" s="409"/>
    </row>
    <row r="59" spans="1:9" ht="16">
      <c r="A59" s="644">
        <v>1</v>
      </c>
      <c r="B59" s="482"/>
      <c r="C59" s="398" t="s">
        <v>1012</v>
      </c>
      <c r="D59" s="385"/>
      <c r="E59" s="2079"/>
      <c r="F59" s="2107"/>
      <c r="G59" s="388"/>
      <c r="H59" s="389"/>
      <c r="I59" s="390">
        <f t="shared" ref="I59:I64" si="1">E59*H59</f>
        <v>0</v>
      </c>
    </row>
    <row r="60" spans="1:9" ht="16">
      <c r="A60" s="644">
        <v>2</v>
      </c>
      <c r="B60" s="482"/>
      <c r="C60" s="398" t="s">
        <v>1013</v>
      </c>
      <c r="D60" s="385"/>
      <c r="E60" s="402"/>
      <c r="F60" s="2107"/>
      <c r="G60" s="388"/>
      <c r="H60" s="389"/>
      <c r="I60" s="390">
        <f t="shared" si="1"/>
        <v>0</v>
      </c>
    </row>
    <row r="61" spans="1:9" ht="16">
      <c r="A61" s="644">
        <v>3</v>
      </c>
      <c r="B61" s="482"/>
      <c r="C61" s="398" t="s">
        <v>937</v>
      </c>
      <c r="D61" s="385"/>
      <c r="E61" s="402"/>
      <c r="F61" s="2107"/>
      <c r="G61" s="388"/>
      <c r="H61" s="389"/>
      <c r="I61" s="390">
        <f t="shared" si="1"/>
        <v>0</v>
      </c>
    </row>
    <row r="62" spans="1:9" ht="16">
      <c r="A62" s="644">
        <v>4</v>
      </c>
      <c r="B62" s="482"/>
      <c r="C62" s="398" t="s">
        <v>1014</v>
      </c>
      <c r="D62" s="385"/>
      <c r="E62" s="402"/>
      <c r="F62" s="2107"/>
      <c r="G62" s="388"/>
      <c r="H62" s="389"/>
      <c r="I62" s="390">
        <f t="shared" si="1"/>
        <v>0</v>
      </c>
    </row>
    <row r="63" spans="1:9" ht="16">
      <c r="A63" s="644">
        <v>5</v>
      </c>
      <c r="B63" s="482"/>
      <c r="C63" s="402" t="s">
        <v>1015</v>
      </c>
      <c r="D63" s="385"/>
      <c r="E63" s="402"/>
      <c r="F63" s="2107"/>
      <c r="G63" s="388"/>
      <c r="H63" s="389"/>
      <c r="I63" s="390">
        <f t="shared" si="1"/>
        <v>0</v>
      </c>
    </row>
    <row r="64" spans="1:9" ht="17" thickBot="1">
      <c r="A64" s="644">
        <v>6</v>
      </c>
      <c r="B64" s="482"/>
      <c r="C64" s="402" t="s">
        <v>1016</v>
      </c>
      <c r="D64" s="385"/>
      <c r="E64" s="402"/>
      <c r="F64" s="1934"/>
      <c r="G64" s="388"/>
      <c r="H64" s="389"/>
      <c r="I64" s="390">
        <f t="shared" si="1"/>
        <v>0</v>
      </c>
    </row>
    <row r="65" spans="1:9" ht="17" thickBot="1">
      <c r="A65" s="2103" t="s">
        <v>1017</v>
      </c>
      <c r="B65" s="2104"/>
      <c r="C65" s="2105"/>
      <c r="D65" s="2106">
        <f>SUM(D59:D64)</f>
        <v>0</v>
      </c>
      <c r="E65" s="2113">
        <f>SUM(E59:E64)</f>
        <v>0</v>
      </c>
      <c r="F65" s="969">
        <f>SUM(F59:F64)</f>
        <v>0</v>
      </c>
      <c r="G65" s="388"/>
      <c r="H65" s="408"/>
      <c r="I65" s="409"/>
    </row>
    <row r="66" spans="1:9" ht="17" thickBot="1">
      <c r="A66" s="2114"/>
      <c r="B66" s="404"/>
      <c r="C66" s="405"/>
      <c r="D66" s="2115"/>
      <c r="E66" s="2116"/>
      <c r="F66" s="400"/>
      <c r="G66" s="403"/>
      <c r="H66" s="408"/>
      <c r="I66" s="409"/>
    </row>
    <row r="67" spans="1:9" ht="16">
      <c r="A67" s="2085" t="s">
        <v>432</v>
      </c>
      <c r="B67" s="2086" t="str">
        <f>B58</f>
        <v>Kto. nr.</v>
      </c>
      <c r="C67" s="2087" t="s">
        <v>851</v>
      </c>
      <c r="D67" s="2088">
        <f>budgetår-1</f>
        <v>2024</v>
      </c>
      <c r="E67" s="2089">
        <f>budgetår</f>
        <v>2025</v>
      </c>
      <c r="F67" s="2094" t="str">
        <f>F58</f>
        <v>Ændringer til 2026</v>
      </c>
      <c r="G67" s="388"/>
      <c r="H67" s="408"/>
      <c r="I67" s="409"/>
    </row>
    <row r="68" spans="1:9" ht="16">
      <c r="A68" s="644">
        <v>1</v>
      </c>
      <c r="B68" s="482"/>
      <c r="C68" s="402" t="s">
        <v>961</v>
      </c>
      <c r="D68" s="385"/>
      <c r="E68" s="402"/>
      <c r="F68" s="1870"/>
      <c r="G68" s="388"/>
      <c r="H68" s="389"/>
      <c r="I68" s="390">
        <f>E68*H68</f>
        <v>0</v>
      </c>
    </row>
    <row r="69" spans="1:9" ht="16">
      <c r="A69" s="644">
        <v>2</v>
      </c>
      <c r="B69" s="482"/>
      <c r="C69" s="402" t="s">
        <v>1018</v>
      </c>
      <c r="D69" s="385"/>
      <c r="E69" s="402"/>
      <c r="F69" s="1870"/>
      <c r="G69" s="388"/>
      <c r="H69" s="389"/>
      <c r="I69" s="390">
        <f>E69*H69</f>
        <v>0</v>
      </c>
    </row>
    <row r="70" spans="1:9" ht="16">
      <c r="A70" s="644">
        <v>3</v>
      </c>
      <c r="B70" s="482"/>
      <c r="C70" s="402"/>
      <c r="D70" s="385"/>
      <c r="E70" s="636"/>
      <c r="F70" s="1870"/>
      <c r="G70" s="388"/>
      <c r="H70" s="391"/>
      <c r="I70" s="392">
        <f>E70*H70</f>
        <v>0</v>
      </c>
    </row>
    <row r="71" spans="1:9" ht="17" thickBot="1">
      <c r="A71" s="2103" t="s">
        <v>1019</v>
      </c>
      <c r="B71" s="2104"/>
      <c r="C71" s="2105"/>
      <c r="D71" s="2106">
        <f>SUM(D68:D70)</f>
        <v>0</v>
      </c>
      <c r="E71" s="2106">
        <f>SUM(E68:E70)</f>
        <v>0</v>
      </c>
      <c r="F71" s="678">
        <f>SUM(F68:F70)</f>
        <v>0</v>
      </c>
      <c r="G71" s="388"/>
      <c r="H71" s="2076"/>
      <c r="I71" s="2077"/>
    </row>
    <row r="72" spans="1:9" s="334" customFormat="1" ht="17" thickBot="1">
      <c r="A72" s="407"/>
      <c r="B72" s="407"/>
      <c r="C72" s="388"/>
      <c r="D72" s="388"/>
      <c r="E72" s="410"/>
      <c r="F72" s="403"/>
      <c r="G72" s="388"/>
      <c r="H72" s="2076"/>
      <c r="I72" s="2077"/>
    </row>
    <row r="73" spans="1:9" ht="20" customHeight="1">
      <c r="A73" s="2085" t="s">
        <v>432</v>
      </c>
      <c r="B73" s="2086" t="str">
        <f>B67</f>
        <v>Kto. nr.</v>
      </c>
      <c r="C73" s="2087" t="s">
        <v>1020</v>
      </c>
      <c r="D73" s="2117" t="str">
        <f xml:space="preserve">
""&amp;budgetår-1</f>
        <v>2024</v>
      </c>
      <c r="E73" s="2117" t="str">
        <f xml:space="preserve">
""&amp;budgetår</f>
        <v>2025</v>
      </c>
      <c r="F73" s="2094" t="str">
        <f>F67</f>
        <v>Ændringer til 2026</v>
      </c>
      <c r="G73" s="388"/>
      <c r="H73" s="2076"/>
      <c r="I73" s="2077"/>
    </row>
    <row r="74" spans="1:9" ht="16">
      <c r="A74" s="644">
        <v>1</v>
      </c>
      <c r="B74" s="482"/>
      <c r="C74" s="402" t="s">
        <v>1021</v>
      </c>
      <c r="D74" s="385"/>
      <c r="E74" s="2079"/>
      <c r="F74" s="2118"/>
      <c r="G74" s="388"/>
      <c r="H74" s="393"/>
      <c r="I74" s="394">
        <f>E74*H74</f>
        <v>0</v>
      </c>
    </row>
    <row r="75" spans="1:9" ht="16">
      <c r="A75" s="644">
        <v>2</v>
      </c>
      <c r="B75" s="482"/>
      <c r="C75" s="402"/>
      <c r="D75" s="385"/>
      <c r="E75" s="402"/>
      <c r="F75" s="2118"/>
      <c r="G75" s="388"/>
      <c r="H75" s="391"/>
      <c r="I75" s="392">
        <f>E75*H75</f>
        <v>0</v>
      </c>
    </row>
    <row r="76" spans="1:9" ht="17" thickBot="1">
      <c r="A76" s="2103" t="s">
        <v>1022</v>
      </c>
      <c r="B76" s="2104"/>
      <c r="C76" s="2105"/>
      <c r="D76" s="2106">
        <f>SUM(D74:D75)</f>
        <v>0</v>
      </c>
      <c r="E76" s="2106">
        <f>SUM(E74:E75)</f>
        <v>0</v>
      </c>
      <c r="F76" s="678">
        <f>SUM(F74:F75)</f>
        <v>0</v>
      </c>
      <c r="G76" s="388"/>
      <c r="H76" s="2076"/>
      <c r="I76" s="2077"/>
    </row>
    <row r="77" spans="1:9" s="334" customFormat="1" ht="17" thickBot="1">
      <c r="A77" s="404"/>
      <c r="B77" s="404"/>
      <c r="C77" s="405"/>
      <c r="D77" s="400"/>
      <c r="E77" s="400"/>
      <c r="F77" s="400"/>
      <c r="G77" s="403"/>
      <c r="H77" s="2076"/>
      <c r="I77" s="2077"/>
    </row>
    <row r="78" spans="1:9" ht="21" customHeight="1">
      <c r="A78" s="2085" t="s">
        <v>432</v>
      </c>
      <c r="B78" s="2086" t="str">
        <f>B73</f>
        <v>Kto. nr.</v>
      </c>
      <c r="C78" s="2087" t="s">
        <v>828</v>
      </c>
      <c r="D78" s="2117" t="str">
        <f>D73</f>
        <v>2024</v>
      </c>
      <c r="E78" s="2117" t="str">
        <f>E73</f>
        <v>2025</v>
      </c>
      <c r="F78" s="2094" t="str">
        <f>F73</f>
        <v>Ændringer til 2026</v>
      </c>
      <c r="G78" s="388"/>
      <c r="H78" s="2076"/>
      <c r="I78" s="2077"/>
    </row>
    <row r="79" spans="1:9" ht="16">
      <c r="A79" s="644">
        <v>1</v>
      </c>
      <c r="B79" s="482"/>
      <c r="C79" s="402"/>
      <c r="D79" s="385"/>
      <c r="E79" s="657"/>
      <c r="F79" s="2118"/>
      <c r="G79" s="388"/>
      <c r="H79" s="393"/>
      <c r="I79" s="394">
        <f>E79*H79</f>
        <v>0</v>
      </c>
    </row>
    <row r="80" spans="1:9" ht="16">
      <c r="A80" s="644">
        <v>2</v>
      </c>
      <c r="B80" s="482"/>
      <c r="C80" s="402"/>
      <c r="D80" s="385"/>
      <c r="E80" s="402"/>
      <c r="F80" s="2118"/>
      <c r="G80" s="388"/>
      <c r="H80" s="391"/>
      <c r="I80" s="392">
        <f>E80*H80</f>
        <v>0</v>
      </c>
    </row>
    <row r="81" spans="1:9" ht="17" thickBot="1">
      <c r="A81" s="2103" t="s">
        <v>830</v>
      </c>
      <c r="B81" s="2104"/>
      <c r="C81" s="2105"/>
      <c r="D81" s="2106">
        <f>SUM(D79:D80)</f>
        <v>0</v>
      </c>
      <c r="E81" s="2106">
        <f>SUM(E79:E80)</f>
        <v>0</v>
      </c>
      <c r="F81" s="678">
        <f>SUM(F79:F80)</f>
        <v>0</v>
      </c>
      <c r="G81" s="388"/>
      <c r="H81" s="2076"/>
      <c r="I81" s="2077"/>
    </row>
    <row r="82" spans="1:9" s="334" customFormat="1" ht="17" thickBot="1">
      <c r="A82" s="2119"/>
      <c r="B82" s="411"/>
      <c r="C82" s="351"/>
      <c r="D82" s="2120"/>
      <c r="E82" s="2120"/>
      <c r="F82" s="400"/>
      <c r="G82" s="388"/>
      <c r="H82" s="2076"/>
      <c r="I82" s="2077"/>
    </row>
    <row r="83" spans="1:9" ht="16" customHeight="1">
      <c r="A83" s="2085" t="s">
        <v>432</v>
      </c>
      <c r="B83" s="2086" t="str">
        <f>B78</f>
        <v>Kto. nr.</v>
      </c>
      <c r="C83" s="2087" t="s">
        <v>831</v>
      </c>
      <c r="D83" s="2088">
        <f>budgetår-1</f>
        <v>2024</v>
      </c>
      <c r="E83" s="2089">
        <f>budgetår</f>
        <v>2025</v>
      </c>
      <c r="F83" s="2094" t="str">
        <f>F78</f>
        <v>Ændringer til 2026</v>
      </c>
      <c r="G83" s="388"/>
      <c r="H83" s="2076"/>
      <c r="I83" s="2077"/>
    </row>
    <row r="84" spans="1:9" ht="16">
      <c r="A84" s="644">
        <v>1</v>
      </c>
      <c r="B84" s="482"/>
      <c r="C84" s="398" t="s">
        <v>951</v>
      </c>
      <c r="D84" s="385"/>
      <c r="E84" s="2079"/>
      <c r="F84" s="2118"/>
      <c r="G84" s="388"/>
      <c r="H84" s="393"/>
      <c r="I84" s="394">
        <f>E84*H84</f>
        <v>0</v>
      </c>
    </row>
    <row r="85" spans="1:9" ht="16">
      <c r="A85" s="644">
        <v>2</v>
      </c>
      <c r="B85" s="482"/>
      <c r="C85" s="398" t="s">
        <v>952</v>
      </c>
      <c r="D85" s="385"/>
      <c r="E85" s="402"/>
      <c r="F85" s="2118"/>
      <c r="G85" s="388"/>
      <c r="H85" s="389"/>
      <c r="I85" s="390">
        <f>E85*H85</f>
        <v>0</v>
      </c>
    </row>
    <row r="86" spans="1:9" ht="16">
      <c r="A86" s="644">
        <v>3</v>
      </c>
      <c r="B86" s="482"/>
      <c r="C86" s="402"/>
      <c r="D86" s="385"/>
      <c r="E86" s="402"/>
      <c r="F86" s="2118"/>
      <c r="G86" s="388"/>
      <c r="H86" s="389"/>
      <c r="I86" s="390">
        <f>E86*H86</f>
        <v>0</v>
      </c>
    </row>
    <row r="87" spans="1:9" ht="16">
      <c r="A87" s="644">
        <v>4</v>
      </c>
      <c r="B87" s="482"/>
      <c r="C87" s="402"/>
      <c r="D87" s="385"/>
      <c r="E87" s="402"/>
      <c r="F87" s="2118"/>
      <c r="G87" s="388"/>
      <c r="H87" s="389"/>
      <c r="I87" s="390">
        <f>E87*H87</f>
        <v>0</v>
      </c>
    </row>
    <row r="88" spans="1:9" ht="16">
      <c r="A88" s="2095" t="s">
        <v>1023</v>
      </c>
      <c r="B88" s="2096"/>
      <c r="C88" s="2097"/>
      <c r="D88" s="2067">
        <f>SUM(D84:D87)</f>
        <v>0</v>
      </c>
      <c r="E88" s="2067">
        <f>SUM(E84:E87)</f>
        <v>0</v>
      </c>
      <c r="F88" s="2121">
        <f>SUM(F84:F87)</f>
        <v>0</v>
      </c>
      <c r="G88" s="388"/>
      <c r="H88" s="408"/>
      <c r="I88" s="409"/>
    </row>
    <row r="89" spans="1:9" ht="17" thickBot="1">
      <c r="A89" s="2103" t="s">
        <v>1024</v>
      </c>
      <c r="B89" s="2104"/>
      <c r="C89" s="2105"/>
      <c r="D89" s="2106"/>
      <c r="E89" s="2106">
        <f>E88+E81+E76+E71</f>
        <v>0</v>
      </c>
      <c r="F89" s="681"/>
      <c r="G89" s="388"/>
      <c r="H89" s="408"/>
      <c r="I89" s="409"/>
    </row>
    <row r="90" spans="1:9" ht="17" thickBot="1">
      <c r="A90" s="2114"/>
      <c r="B90" s="404"/>
      <c r="C90" s="405"/>
      <c r="D90" s="2115"/>
      <c r="E90" s="2116"/>
      <c r="F90" s="400"/>
      <c r="G90" s="403"/>
      <c r="H90" s="408"/>
      <c r="I90" s="409"/>
    </row>
    <row r="91" spans="1:9" ht="17" thickBot="1">
      <c r="A91" s="2122" t="s">
        <v>432</v>
      </c>
      <c r="B91" s="970" t="str">
        <f>B83</f>
        <v>Kto. nr.</v>
      </c>
      <c r="C91" s="2123" t="s">
        <v>1025</v>
      </c>
      <c r="D91" s="2124">
        <f>budgetår-1</f>
        <v>2024</v>
      </c>
      <c r="E91" s="2125">
        <f>budgetår</f>
        <v>2025</v>
      </c>
      <c r="F91" s="2094" t="str">
        <f>F83</f>
        <v>Ændringer til 2026</v>
      </c>
      <c r="G91" s="388"/>
      <c r="H91" s="2076"/>
      <c r="I91" s="2077"/>
    </row>
    <row r="92" spans="1:9" ht="16">
      <c r="A92" s="2126">
        <v>1</v>
      </c>
      <c r="B92" s="2127"/>
      <c r="C92" s="2128" t="s">
        <v>1026</v>
      </c>
      <c r="D92" s="2129"/>
      <c r="E92" s="2130"/>
      <c r="F92" s="1870"/>
      <c r="G92" s="388"/>
      <c r="H92" s="393"/>
      <c r="I92" s="394">
        <f>E92*H92</f>
        <v>0</v>
      </c>
    </row>
    <row r="93" spans="1:9" ht="16">
      <c r="A93" s="643">
        <v>2</v>
      </c>
      <c r="B93" s="484"/>
      <c r="C93" s="412"/>
      <c r="D93" s="413"/>
      <c r="E93" s="413"/>
      <c r="F93" s="1870"/>
      <c r="G93" s="388"/>
      <c r="H93" s="389"/>
      <c r="I93" s="390">
        <f>E93*H93</f>
        <v>0</v>
      </c>
    </row>
    <row r="94" spans="1:9" ht="16">
      <c r="A94" s="644">
        <v>3</v>
      </c>
      <c r="B94" s="482"/>
      <c r="C94" s="402"/>
      <c r="D94" s="385"/>
      <c r="E94" s="413"/>
      <c r="F94" s="1870"/>
      <c r="G94" s="388"/>
      <c r="H94" s="389"/>
      <c r="I94" s="390">
        <f>E94*H94</f>
        <v>0</v>
      </c>
    </row>
    <row r="95" spans="1:9" ht="16">
      <c r="A95" s="644">
        <v>4</v>
      </c>
      <c r="B95" s="482"/>
      <c r="C95" s="402"/>
      <c r="D95" s="385"/>
      <c r="E95" s="402"/>
      <c r="F95" s="1870"/>
      <c r="G95" s="388"/>
      <c r="H95" s="389"/>
      <c r="I95" s="390">
        <f>E95*H95</f>
        <v>0</v>
      </c>
    </row>
    <row r="96" spans="1:9" ht="17" thickBot="1">
      <c r="A96" s="414">
        <v>5</v>
      </c>
      <c r="B96" s="483"/>
      <c r="C96" s="415"/>
      <c r="D96" s="416"/>
      <c r="E96" s="415"/>
      <c r="F96" s="1870"/>
      <c r="G96" s="388"/>
      <c r="H96" s="389"/>
      <c r="I96" s="390">
        <f>E96*H96</f>
        <v>0</v>
      </c>
    </row>
    <row r="97" spans="1:9" ht="17" thickBot="1">
      <c r="A97" s="2131" t="s">
        <v>1027</v>
      </c>
      <c r="B97" s="2132"/>
      <c r="C97" s="2133"/>
      <c r="D97" s="2134">
        <f>SUM(D92:D96)</f>
        <v>0</v>
      </c>
      <c r="E97" s="2135">
        <f>SUM(E92:E96)</f>
        <v>0</v>
      </c>
      <c r="F97" s="678">
        <f>SUM(F92:F96)</f>
        <v>0</v>
      </c>
      <c r="G97" s="388"/>
      <c r="H97" s="3244" t="s">
        <v>1028</v>
      </c>
      <c r="I97" s="3246">
        <f>SUM(I11:I96)</f>
        <v>0</v>
      </c>
    </row>
    <row r="98" spans="1:9" ht="29" customHeight="1" thickBot="1">
      <c r="A98" s="2080" t="s">
        <v>1029</v>
      </c>
      <c r="B98" s="2081"/>
      <c r="C98" s="2081"/>
      <c r="D98" s="2083"/>
      <c r="E98" s="2136">
        <f>E97</f>
        <v>0</v>
      </c>
      <c r="F98" s="968"/>
      <c r="G98" s="388"/>
      <c r="H98" s="3245"/>
      <c r="I98" s="3247"/>
    </row>
    <row r="100" spans="1:9" ht="20">
      <c r="A100"/>
      <c r="B100"/>
      <c r="E100" s="4"/>
      <c r="F100" s="2"/>
    </row>
  </sheetData>
  <sheetProtection sheet="1" objects="1" scenarios="1" formatCells="0" formatColumns="0" formatRows="0" insertColumns="0" selectLockedCells="1"/>
  <mergeCells count="4">
    <mergeCell ref="H97:H98"/>
    <mergeCell ref="I97:I98"/>
    <mergeCell ref="H2:I2"/>
    <mergeCell ref="A2:C2"/>
  </mergeCells>
  <phoneticPr fontId="55" type="noConversion"/>
  <printOptions horizontalCentered="1"/>
  <pageMargins left="0.79" right="0.67" top="0.98" bottom="0.83" header="0.51" footer="0.51"/>
  <pageSetup paperSize="9" scale="54" fitToHeight="0" orientation="portrait"/>
  <headerFooter alignWithMargins="0">
    <oddHeader>&amp;C&amp;"Arial,Fed"&amp;12UDGIFTER VEDR. BYGNINGER</oddHeader>
    <oddFooter>&amp;L&amp;G&amp;R
&amp;D
&amp;A</oddFooter>
  </headerFooter>
  <rowBreaks count="1" manualBreakCount="1">
    <brk id="56" max="16383" man="1"/>
  </rowBreaks>
  <colBreaks count="1" manualBreakCount="1">
    <brk id="9" max="1048575" man="1"/>
  </colBreaks>
  <drawing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1">
    <tabColor rgb="FFFFFF00"/>
    <pageSetUpPr fitToPage="1"/>
  </sheetPr>
  <dimension ref="A1:G46"/>
  <sheetViews>
    <sheetView zoomScaleNormal="100" zoomScaleSheetLayoutView="100" workbookViewId="0">
      <selection activeCell="G43" sqref="G43"/>
    </sheetView>
  </sheetViews>
  <sheetFormatPr baseColWidth="10" defaultColWidth="11.5" defaultRowHeight="13"/>
  <cols>
    <col min="1" max="1" width="4.5" customWidth="1"/>
    <col min="2" max="2" width="9.5" style="190" customWidth="1"/>
    <col min="3" max="3" width="49.5" customWidth="1"/>
    <col min="4" max="4" width="17.5" customWidth="1"/>
    <col min="5" max="5" width="20.1640625" customWidth="1"/>
    <col min="6" max="6" width="23.5" customWidth="1"/>
    <col min="7" max="7" width="12" customWidth="1"/>
  </cols>
  <sheetData>
    <row r="1" spans="1:7" s="99" customFormat="1" ht="25.5" customHeight="1" thickBot="1">
      <c r="A1" s="948"/>
      <c r="B1" s="971"/>
      <c r="C1" s="948"/>
      <c r="D1" s="948"/>
      <c r="E1" s="948"/>
      <c r="F1" s="948"/>
      <c r="G1" s="948"/>
    </row>
    <row r="2" spans="1:7" ht="50" customHeight="1" thickBot="1">
      <c r="A2" s="3255" t="s">
        <v>1030</v>
      </c>
      <c r="B2" s="3256"/>
      <c r="C2" s="3256"/>
      <c r="D2" s="2055" t="s">
        <v>777</v>
      </c>
      <c r="E2" s="2137" t="s">
        <v>778</v>
      </c>
      <c r="F2" s="2138" t="str">
        <f>"Ændring "&amp;E3+1&amp;" i forhold til "&amp;E3&amp;""</f>
        <v>Ændring 2026 i forhold til 2025</v>
      </c>
    </row>
    <row r="3" spans="1:7" ht="16">
      <c r="A3" s="2139" t="s">
        <v>432</v>
      </c>
      <c r="B3" s="2140" t="s">
        <v>925</v>
      </c>
      <c r="C3" s="2141" t="s">
        <v>1031</v>
      </c>
      <c r="D3" s="2061">
        <f>budgetår-1</f>
        <v>2024</v>
      </c>
      <c r="E3" s="2062">
        <f>budgetår</f>
        <v>2025</v>
      </c>
      <c r="F3" s="2142" t="s">
        <v>1032</v>
      </c>
      <c r="G3" s="32"/>
    </row>
    <row r="4" spans="1:7" ht="16">
      <c r="A4" s="426">
        <v>1</v>
      </c>
      <c r="B4" s="485"/>
      <c r="C4" s="427"/>
      <c r="D4" s="427"/>
      <c r="E4" s="659"/>
      <c r="F4" s="2143"/>
    </row>
    <row r="5" spans="1:7" ht="16">
      <c r="A5" s="426">
        <v>2</v>
      </c>
      <c r="B5" s="485"/>
      <c r="C5" s="384"/>
      <c r="D5" s="427"/>
      <c r="E5" s="659"/>
      <c r="F5" s="2143"/>
      <c r="G5" s="32"/>
    </row>
    <row r="6" spans="1:7" ht="16">
      <c r="A6" s="426">
        <v>3</v>
      </c>
      <c r="B6" s="485"/>
      <c r="C6" s="384"/>
      <c r="D6" s="427"/>
      <c r="E6" s="659"/>
      <c r="F6" s="2143"/>
      <c r="G6" s="32"/>
    </row>
    <row r="7" spans="1:7" ht="16">
      <c r="A7" s="426">
        <v>4</v>
      </c>
      <c r="B7" s="485"/>
      <c r="C7" s="384"/>
      <c r="D7" s="427"/>
      <c r="E7" s="659"/>
      <c r="F7" s="2143"/>
      <c r="G7" s="32"/>
    </row>
    <row r="8" spans="1:7" ht="16">
      <c r="A8" s="426">
        <v>5</v>
      </c>
      <c r="B8" s="485"/>
      <c r="C8" s="427"/>
      <c r="D8" s="427"/>
      <c r="E8" s="659"/>
      <c r="F8" s="2143"/>
      <c r="G8" s="32"/>
    </row>
    <row r="9" spans="1:7" ht="17" thickBot="1">
      <c r="A9" s="426">
        <v>6</v>
      </c>
      <c r="B9" s="485"/>
      <c r="C9" s="428" t="s">
        <v>1033</v>
      </c>
      <c r="D9" s="427"/>
      <c r="E9" s="659"/>
      <c r="F9" s="2144"/>
    </row>
    <row r="10" spans="1:7" ht="17" thickBot="1">
      <c r="A10" s="2145" t="str">
        <f>"SUM, "&amp;LOWER(C3)</f>
        <v>SUM, madvarer</v>
      </c>
      <c r="B10" s="2109"/>
      <c r="C10" s="2146"/>
      <c r="D10" s="2147">
        <f>SUM(D4:D9)</f>
        <v>0</v>
      </c>
      <c r="E10" s="2147">
        <f>SUM(E4:E9)</f>
        <v>0</v>
      </c>
      <c r="F10" s="2147">
        <f>SUM(F4:F9)</f>
        <v>0</v>
      </c>
    </row>
    <row r="11" spans="1:7" ht="16">
      <c r="A11" s="2148" t="s">
        <v>432</v>
      </c>
      <c r="B11" s="2149" t="str">
        <f>B3</f>
        <v>Kto. nr.</v>
      </c>
      <c r="C11" s="2073" t="s">
        <v>1034</v>
      </c>
      <c r="D11" s="2074">
        <f>budgetår-1</f>
        <v>2024</v>
      </c>
      <c r="E11" s="2075">
        <f>budgetår</f>
        <v>2025</v>
      </c>
      <c r="F11" s="2150" t="s">
        <v>1032</v>
      </c>
    </row>
    <row r="12" spans="1:7" ht="16">
      <c r="A12" s="426">
        <v>1</v>
      </c>
      <c r="B12" s="485"/>
      <c r="C12" s="384"/>
      <c r="D12" s="427"/>
      <c r="E12" s="659"/>
      <c r="F12" s="2143"/>
    </row>
    <row r="13" spans="1:7" ht="16">
      <c r="A13" s="426">
        <v>2</v>
      </c>
      <c r="B13" s="485"/>
      <c r="C13" s="427"/>
      <c r="D13" s="427"/>
      <c r="E13" s="659"/>
      <c r="F13" s="2143"/>
    </row>
    <row r="14" spans="1:7" ht="17" thickBot="1">
      <c r="A14" s="426">
        <v>3</v>
      </c>
      <c r="B14" s="485"/>
      <c r="C14" s="427"/>
      <c r="D14" s="427"/>
      <c r="E14" s="659"/>
      <c r="F14" s="2144"/>
    </row>
    <row r="15" spans="1:7" ht="17" thickBot="1">
      <c r="A15" s="2145" t="str">
        <f>"SUM, "&amp;LOWER(C11)</f>
        <v>SUM, fritidsaktiviteter/weekendarrangementer</v>
      </c>
      <c r="B15" s="2109"/>
      <c r="C15" s="2146"/>
      <c r="D15" s="2147">
        <f>SUM(D12:D14)</f>
        <v>0</v>
      </c>
      <c r="E15" s="2147">
        <f t="shared" ref="E15:F15" si="0">SUM(E12:E14)</f>
        <v>0</v>
      </c>
      <c r="F15" s="2147">
        <f t="shared" si="0"/>
        <v>0</v>
      </c>
    </row>
    <row r="16" spans="1:7" ht="16">
      <c r="A16" s="2148" t="s">
        <v>432</v>
      </c>
      <c r="B16" s="2149" t="str">
        <f>B11</f>
        <v>Kto. nr.</v>
      </c>
      <c r="C16" s="2073" t="s">
        <v>1020</v>
      </c>
      <c r="D16" s="2074">
        <f>budgetår-1</f>
        <v>2024</v>
      </c>
      <c r="E16" s="2075">
        <f>budgetår</f>
        <v>2025</v>
      </c>
      <c r="F16" s="2151" t="s">
        <v>1032</v>
      </c>
    </row>
    <row r="17" spans="1:7" ht="16">
      <c r="A17" s="426">
        <v>1</v>
      </c>
      <c r="B17" s="485"/>
      <c r="C17" s="427"/>
      <c r="D17" s="385"/>
      <c r="E17" s="402"/>
      <c r="F17" s="2143"/>
    </row>
    <row r="18" spans="1:7" ht="17" thickBot="1">
      <c r="A18" s="426">
        <v>2</v>
      </c>
      <c r="B18" s="485"/>
      <c r="C18" s="427"/>
      <c r="D18" s="427"/>
      <c r="E18" s="659"/>
      <c r="F18" s="2144"/>
    </row>
    <row r="19" spans="1:7" ht="17" thickBot="1">
      <c r="A19" s="2145" t="str">
        <f>"SUM, "&amp;LOWER(C16)</f>
        <v>SUM, kurser</v>
      </c>
      <c r="B19" s="2109"/>
      <c r="C19" s="2146"/>
      <c r="D19" s="2147">
        <f>SUM(D17:D18)</f>
        <v>0</v>
      </c>
      <c r="E19" s="2147">
        <f t="shared" ref="E19:F19" si="1">SUM(E17:E18)</f>
        <v>0</v>
      </c>
      <c r="F19" s="2147">
        <f t="shared" si="1"/>
        <v>0</v>
      </c>
    </row>
    <row r="20" spans="1:7" ht="16">
      <c r="A20" s="2148" t="s">
        <v>432</v>
      </c>
      <c r="B20" s="2149" t="str">
        <f>B16</f>
        <v>Kto. nr.</v>
      </c>
      <c r="C20" s="2073" t="s">
        <v>828</v>
      </c>
      <c r="D20" s="2074">
        <f>budgetår-1</f>
        <v>2024</v>
      </c>
      <c r="E20" s="2075">
        <f>budgetår</f>
        <v>2025</v>
      </c>
      <c r="F20" s="2151" t="s">
        <v>1032</v>
      </c>
    </row>
    <row r="21" spans="1:7" ht="16">
      <c r="A21" s="426">
        <v>1</v>
      </c>
      <c r="B21" s="485"/>
      <c r="C21" s="384"/>
      <c r="D21" s="427"/>
      <c r="E21" s="659"/>
      <c r="F21" s="2143"/>
    </row>
    <row r="22" spans="1:7" ht="16">
      <c r="A22" s="426">
        <v>2</v>
      </c>
      <c r="B22" s="485"/>
      <c r="C22" s="384"/>
      <c r="D22" s="427"/>
      <c r="E22" s="659"/>
      <c r="F22" s="2143"/>
      <c r="G22" s="32"/>
    </row>
    <row r="23" spans="1:7" ht="16">
      <c r="A23" s="426">
        <v>3</v>
      </c>
      <c r="B23" s="485"/>
      <c r="C23" s="384"/>
      <c r="D23" s="427"/>
      <c r="E23" s="659"/>
      <c r="F23" s="2143"/>
      <c r="G23" s="32"/>
    </row>
    <row r="24" spans="1:7" ht="16">
      <c r="A24" s="426">
        <v>4</v>
      </c>
      <c r="B24" s="485"/>
      <c r="C24" s="384"/>
      <c r="D24" s="427"/>
      <c r="E24" s="659"/>
      <c r="F24" s="2143"/>
      <c r="G24" s="32"/>
    </row>
    <row r="25" spans="1:7" ht="16">
      <c r="A25" s="426">
        <v>5</v>
      </c>
      <c r="B25" s="485"/>
      <c r="C25" s="427"/>
      <c r="D25" s="427"/>
      <c r="E25" s="659"/>
      <c r="F25" s="2143"/>
      <c r="G25" s="32"/>
    </row>
    <row r="26" spans="1:7" ht="17" thickBot="1">
      <c r="A26" s="426">
        <v>6</v>
      </c>
      <c r="B26" s="493"/>
      <c r="C26" s="429"/>
      <c r="D26" s="427"/>
      <c r="E26" s="659"/>
      <c r="F26" s="2144"/>
      <c r="G26" s="32"/>
    </row>
    <row r="27" spans="1:7" ht="17" thickBot="1">
      <c r="A27" s="2145" t="str">
        <f>"SUM, "&amp;LOWER(C20)</f>
        <v>SUM, tjenesterejser</v>
      </c>
      <c r="B27" s="2109"/>
      <c r="C27" s="2146"/>
      <c r="D27" s="2147">
        <f>SUM(D21:D26)</f>
        <v>0</v>
      </c>
      <c r="E27" s="2147">
        <f t="shared" ref="E27:F27" si="2">SUM(E21:E26)</f>
        <v>0</v>
      </c>
      <c r="F27" s="2147">
        <f t="shared" si="2"/>
        <v>0</v>
      </c>
      <c r="G27" s="32"/>
    </row>
    <row r="28" spans="1:7" ht="16">
      <c r="A28" s="2148" t="s">
        <v>432</v>
      </c>
      <c r="B28" s="2149" t="str">
        <f>B20</f>
        <v>Kto. nr.</v>
      </c>
      <c r="C28" s="2098" t="s">
        <v>831</v>
      </c>
      <c r="D28" s="2074">
        <f>budgetår-1</f>
        <v>2024</v>
      </c>
      <c r="E28" s="2075">
        <f>budgetår</f>
        <v>2025</v>
      </c>
      <c r="F28" s="2151" t="s">
        <v>1032</v>
      </c>
      <c r="G28" s="32"/>
    </row>
    <row r="29" spans="1:7" ht="16">
      <c r="A29" s="426">
        <v>1</v>
      </c>
      <c r="B29" s="485"/>
      <c r="C29" s="427" t="s">
        <v>951</v>
      </c>
      <c r="D29" s="427"/>
      <c r="E29" s="659"/>
      <c r="F29" s="2143"/>
      <c r="G29" s="32"/>
    </row>
    <row r="30" spans="1:7" ht="16">
      <c r="A30" s="426">
        <v>2</v>
      </c>
      <c r="B30" s="485"/>
      <c r="C30" s="427" t="s">
        <v>952</v>
      </c>
      <c r="D30" s="427"/>
      <c r="E30" s="659"/>
      <c r="F30" s="2143"/>
      <c r="G30" s="32"/>
    </row>
    <row r="31" spans="1:7" ht="16">
      <c r="A31" s="426">
        <v>3</v>
      </c>
      <c r="B31" s="485"/>
      <c r="C31" s="427" t="s">
        <v>245</v>
      </c>
      <c r="D31" s="427"/>
      <c r="E31" s="659"/>
      <c r="F31" s="2143"/>
      <c r="G31" s="32"/>
    </row>
    <row r="32" spans="1:7" ht="16">
      <c r="A32" s="426">
        <v>4</v>
      </c>
      <c r="B32" s="485"/>
      <c r="C32" s="427" t="s">
        <v>838</v>
      </c>
      <c r="D32" s="427"/>
      <c r="E32" s="659"/>
      <c r="F32" s="2143"/>
      <c r="G32" s="32"/>
    </row>
    <row r="33" spans="1:7" ht="16">
      <c r="A33" s="426">
        <v>5</v>
      </c>
      <c r="B33" s="485"/>
      <c r="C33" s="427"/>
      <c r="D33" s="427"/>
      <c r="E33" s="659"/>
      <c r="F33" s="2143"/>
      <c r="G33" s="32"/>
    </row>
    <row r="34" spans="1:7" ht="17" thickBot="1">
      <c r="A34" s="426">
        <v>6</v>
      </c>
      <c r="B34" s="485"/>
      <c r="C34" s="427"/>
      <c r="D34" s="427"/>
      <c r="E34" s="659"/>
      <c r="F34" s="2144"/>
      <c r="G34" s="32"/>
    </row>
    <row r="35" spans="1:7" ht="17" thickBot="1">
      <c r="A35" s="2145" t="str">
        <f>"SUM, "&amp;LOWER(C28)</f>
        <v>SUM, inventar og udstyr</v>
      </c>
      <c r="B35" s="2109"/>
      <c r="C35" s="2146"/>
      <c r="D35" s="2147">
        <f>SUM(D29:D34)</f>
        <v>0</v>
      </c>
      <c r="E35" s="2147">
        <f t="shared" ref="E35" si="3">SUM(E29:E34)</f>
        <v>0</v>
      </c>
      <c r="F35" s="2147">
        <f>SUM(F29:F34)</f>
        <v>0</v>
      </c>
      <c r="G35" s="32"/>
    </row>
    <row r="36" spans="1:7" ht="16">
      <c r="A36" s="2148" t="s">
        <v>432</v>
      </c>
      <c r="B36" s="2149" t="str">
        <f>B28</f>
        <v>Kto. nr.</v>
      </c>
      <c r="C36" s="2098" t="s">
        <v>1035</v>
      </c>
      <c r="D36" s="2074">
        <f>budgetår-1</f>
        <v>2024</v>
      </c>
      <c r="E36" s="2075">
        <f>budgetår</f>
        <v>2025</v>
      </c>
      <c r="F36" s="2151" t="s">
        <v>1032</v>
      </c>
    </row>
    <row r="37" spans="1:7" ht="16">
      <c r="A37" s="426">
        <v>1</v>
      </c>
      <c r="B37" s="485"/>
      <c r="C37" s="385"/>
      <c r="D37" s="385"/>
      <c r="E37" s="402"/>
      <c r="F37" s="1869"/>
    </row>
    <row r="38" spans="1:7" ht="17" thickBot="1">
      <c r="A38" s="426">
        <v>2</v>
      </c>
      <c r="B38" s="485"/>
      <c r="C38" s="385"/>
      <c r="D38" s="385"/>
      <c r="E38" s="402"/>
      <c r="F38" s="2091"/>
    </row>
    <row r="39" spans="1:7" ht="17" thickBot="1">
      <c r="A39" s="2145" t="str">
        <f>"SUM, "&amp;LOWER(C32)</f>
        <v>SUM, afskrivning</v>
      </c>
      <c r="B39" s="2109"/>
      <c r="C39" s="2146" t="s">
        <v>958</v>
      </c>
      <c r="D39" s="2147">
        <f>SUM(D37:D38)</f>
        <v>0</v>
      </c>
      <c r="E39" s="2147">
        <f t="shared" ref="E39:F39" si="4">SUM(E37:E38)</f>
        <v>0</v>
      </c>
      <c r="F39" s="2147">
        <f t="shared" si="4"/>
        <v>0</v>
      </c>
      <c r="G39" s="32"/>
    </row>
    <row r="40" spans="1:7" ht="31" customHeight="1" thickBot="1">
      <c r="A40" s="3252" t="s">
        <v>1036</v>
      </c>
      <c r="B40" s="3253"/>
      <c r="C40" s="3254"/>
      <c r="D40" s="2152">
        <f>D39+D35+D27+D19+D15+D10</f>
        <v>0</v>
      </c>
      <c r="E40" s="2152">
        <f>E39+E35+E27+E19+E15+E10</f>
        <v>0</v>
      </c>
      <c r="F40" s="2152">
        <f>F39+F35+F27+F19+F15+F10</f>
        <v>0</v>
      </c>
    </row>
    <row r="41" spans="1:7" ht="17" thickBot="1">
      <c r="A41" s="388"/>
      <c r="B41" s="463"/>
      <c r="C41" s="388"/>
      <c r="D41" s="388"/>
      <c r="E41" s="388"/>
      <c r="F41" s="2153"/>
    </row>
    <row r="42" spans="1:7" ht="16">
      <c r="A42" s="2154" t="s">
        <v>432</v>
      </c>
      <c r="B42" s="2155" t="str">
        <f>B36</f>
        <v>Kto. nr.</v>
      </c>
      <c r="C42" s="2156" t="s">
        <v>1037</v>
      </c>
      <c r="D42" s="2088">
        <f>budgetår-1</f>
        <v>2024</v>
      </c>
      <c r="E42" s="2089">
        <f>budgetår</f>
        <v>2025</v>
      </c>
      <c r="F42" s="2151" t="s">
        <v>1032</v>
      </c>
    </row>
    <row r="43" spans="1:7" ht="16">
      <c r="A43" s="644">
        <v>1</v>
      </c>
      <c r="B43" s="485"/>
      <c r="C43" s="384"/>
      <c r="D43" s="430"/>
      <c r="E43" s="660"/>
      <c r="F43" s="1870"/>
    </row>
    <row r="44" spans="1:7" ht="17" thickBot="1">
      <c r="A44" s="644">
        <v>2</v>
      </c>
      <c r="B44" s="485"/>
      <c r="C44" s="384"/>
      <c r="D44" s="430"/>
      <c r="E44" s="431"/>
      <c r="F44" s="1934"/>
    </row>
    <row r="45" spans="1:7" ht="17" thickBot="1">
      <c r="A45" s="2103" t="s">
        <v>1038</v>
      </c>
      <c r="B45" s="2104"/>
      <c r="C45" s="2157"/>
      <c r="D45" s="2158">
        <f>SUM(D43:D44)</f>
        <v>0</v>
      </c>
      <c r="E45" s="2158">
        <f t="shared" ref="E45:F45" si="5">SUM(E43:E44)</f>
        <v>0</v>
      </c>
      <c r="F45" s="2158">
        <f t="shared" si="5"/>
        <v>0</v>
      </c>
    </row>
    <row r="46" spans="1:7" ht="17" thickBot="1">
      <c r="A46" s="2159"/>
      <c r="B46" s="2160" t="str">
        <f>"Ændring Kostafdeling "&amp;E42+1&amp;" i forhold til "&amp;E42&amp;" i alt:"</f>
        <v>Ændring Kostafdeling 2026 i forhold til 2025 i alt:</v>
      </c>
      <c r="C46" s="2161"/>
      <c r="D46" s="2161"/>
      <c r="E46" s="2161"/>
      <c r="F46" s="2162">
        <f>SUM(F43:F44)+SUM(F37:F38)+SUM(F29:F34)+SUM(F21:F26)+SUM(F17:F18)+SUM(F12:F14)+SUM(F4:F9)</f>
        <v>0</v>
      </c>
    </row>
  </sheetData>
  <sheetProtection sheet="1" objects="1" scenarios="1" formatCells="0" formatColumns="0" formatRows="0"/>
  <mergeCells count="2">
    <mergeCell ref="A40:C40"/>
    <mergeCell ref="A2:C2"/>
  </mergeCells>
  <phoneticPr fontId="55" type="noConversion"/>
  <dataValidations count="1">
    <dataValidation type="whole" allowBlank="1" showInputMessage="1" showErrorMessage="1" sqref="E9" xr:uid="{00000000-0002-0000-0D00-000000000000}">
      <formula1>-1000000</formula1>
      <formula2>0</formula2>
    </dataValidation>
  </dataValidations>
  <printOptions horizontalCentered="1"/>
  <pageMargins left="0.79" right="0.67" top="0.98" bottom="0.83" header="0.51" footer="0.51"/>
  <pageSetup paperSize="9" scale="71" orientation="portrait" horizontalDpi="4294967292" verticalDpi="4294967292"/>
  <headerFooter alignWithMargins="0">
    <oddHeader>&amp;C&amp;"Arial,Fed"&amp;16Mad / Kantine</oddHeader>
    <oddFooter>&amp;L&amp;G&amp;R
&amp;D
&amp;A</oddFooter>
  </headerFooter>
  <drawing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9">
    <tabColor rgb="FFFFFF00"/>
  </sheetPr>
  <dimension ref="A1:AB291"/>
  <sheetViews>
    <sheetView topLeftCell="A59" zoomScaleNormal="100" zoomScalePageLayoutView="244" workbookViewId="0">
      <selection activeCell="E85" sqref="E85"/>
    </sheetView>
  </sheetViews>
  <sheetFormatPr baseColWidth="10" defaultColWidth="11.5" defaultRowHeight="13"/>
  <cols>
    <col min="1" max="1" width="5.1640625" style="2" customWidth="1"/>
    <col min="2" max="2" width="9" style="190" customWidth="1"/>
    <col min="3" max="3" width="48.5" customWidth="1"/>
    <col min="4" max="4" width="15" customWidth="1"/>
    <col min="5" max="5" width="15.5" customWidth="1"/>
    <col min="6" max="6" width="38.1640625" customWidth="1"/>
    <col min="8" max="8" width="16.1640625" customWidth="1"/>
    <col min="9" max="9" width="15" customWidth="1"/>
  </cols>
  <sheetData>
    <row r="1" spans="1:28" s="99" customFormat="1" ht="24.75" customHeight="1" thickBot="1">
      <c r="A1" s="2"/>
      <c r="B1" s="190"/>
      <c r="C1"/>
      <c r="D1"/>
      <c r="E1"/>
      <c r="F1"/>
      <c r="G1"/>
      <c r="H1"/>
      <c r="I1"/>
      <c r="J1"/>
      <c r="K1"/>
      <c r="L1"/>
      <c r="M1"/>
      <c r="N1"/>
      <c r="O1"/>
      <c r="P1"/>
      <c r="Q1"/>
      <c r="R1"/>
      <c r="S1"/>
      <c r="T1"/>
      <c r="U1" s="948"/>
      <c r="V1" s="948"/>
      <c r="W1" s="948"/>
      <c r="X1" s="948"/>
      <c r="Y1" s="948"/>
      <c r="Z1" s="948"/>
      <c r="AA1" s="948"/>
      <c r="AB1" s="948"/>
    </row>
    <row r="2" spans="1:28" ht="73" customHeight="1" thickBot="1">
      <c r="A2" s="3261" t="s">
        <v>1039</v>
      </c>
      <c r="B2" s="3262"/>
      <c r="C2" s="3262"/>
      <c r="D2" s="972" t="s">
        <v>777</v>
      </c>
      <c r="E2" s="973" t="s">
        <v>778</v>
      </c>
      <c r="F2" s="2163" t="str">
        <f>Ejendom!F2</f>
        <v>Ændringer i budgetår 2026 i forhold til 2025. Hvis ekstra udgifter påfør udgiften som et positivt tal. Hvis en lavere udgift, påfør den lavere udgift med et negativt tal. Tallene skal ses i forhold til Budgetåret 2025.</v>
      </c>
      <c r="G2" s="139"/>
      <c r="H2" s="3263" t="str">
        <f>"Heraf daginstitutionens andel vedr. budgetår "&amp;E3&amp;":"</f>
        <v>Heraf daginstitutionens andel vedr. budgetår 2025:</v>
      </c>
      <c r="I2" s="3264"/>
    </row>
    <row r="3" spans="1:28" ht="16">
      <c r="A3" s="2154" t="s">
        <v>432</v>
      </c>
      <c r="B3" s="2155" t="s">
        <v>925</v>
      </c>
      <c r="C3" s="2156" t="s">
        <v>1040</v>
      </c>
      <c r="D3" s="2088">
        <f>budgetår-1</f>
        <v>2024</v>
      </c>
      <c r="E3" s="2089">
        <f>budgetår</f>
        <v>2025</v>
      </c>
      <c r="F3" s="2164" t="s">
        <v>932</v>
      </c>
      <c r="G3" s="388"/>
      <c r="H3" s="873" t="s">
        <v>981</v>
      </c>
      <c r="I3" s="481" t="s">
        <v>675</v>
      </c>
    </row>
    <row r="4" spans="1:28" ht="16">
      <c r="A4" s="644">
        <v>1</v>
      </c>
      <c r="B4" s="485"/>
      <c r="C4" s="427" t="s">
        <v>1040</v>
      </c>
      <c r="D4" s="427"/>
      <c r="E4" s="659"/>
      <c r="F4" s="2143"/>
      <c r="G4" s="388"/>
      <c r="H4" s="2165"/>
      <c r="I4" s="2166">
        <f>E4*H4</f>
        <v>0</v>
      </c>
    </row>
    <row r="5" spans="1:28" ht="16">
      <c r="A5" s="644">
        <v>2</v>
      </c>
      <c r="B5" s="485"/>
      <c r="C5" s="427"/>
      <c r="D5" s="427"/>
      <c r="E5" s="659"/>
      <c r="F5" s="2143"/>
      <c r="G5" s="388"/>
      <c r="H5" s="2165"/>
      <c r="I5" s="2166">
        <f t="shared" ref="I5:I68" si="0">E5*H5</f>
        <v>0</v>
      </c>
    </row>
    <row r="6" spans="1:28" ht="16">
      <c r="A6" s="2108" t="str">
        <f>"SUM, "&amp;LOWER(C3)</f>
        <v>SUM, revision</v>
      </c>
      <c r="B6" s="2109"/>
      <c r="C6" s="2146"/>
      <c r="D6" s="2147">
        <f>SUM(D4:D5)</f>
        <v>0</v>
      </c>
      <c r="E6" s="2147">
        <f t="shared" ref="E6" si="1">SUM(E4:E5)</f>
        <v>0</v>
      </c>
      <c r="F6" s="2147">
        <f>SUM(F4:F5)</f>
        <v>0</v>
      </c>
      <c r="G6" s="388"/>
      <c r="H6" s="2076"/>
      <c r="I6" s="2167"/>
    </row>
    <row r="7" spans="1:28" ht="16">
      <c r="A7" s="2071" t="s">
        <v>432</v>
      </c>
      <c r="B7" s="2149" t="str">
        <f>B3</f>
        <v>Kto. nr.</v>
      </c>
      <c r="C7" s="2073" t="s">
        <v>1041</v>
      </c>
      <c r="D7" s="2074">
        <f>budgetår-1</f>
        <v>2024</v>
      </c>
      <c r="E7" s="2075">
        <f>budgetår</f>
        <v>2025</v>
      </c>
      <c r="F7" s="682" t="s">
        <v>932</v>
      </c>
      <c r="G7" s="388"/>
      <c r="H7" s="2076"/>
      <c r="I7" s="2167"/>
    </row>
    <row r="8" spans="1:28" ht="16">
      <c r="A8" s="644">
        <v>1</v>
      </c>
      <c r="B8" s="485"/>
      <c r="C8" s="384" t="s">
        <v>1042</v>
      </c>
      <c r="D8" s="427"/>
      <c r="E8" s="659"/>
      <c r="F8" s="2143"/>
      <c r="G8" s="388"/>
      <c r="H8" s="2165"/>
      <c r="I8" s="2166">
        <f t="shared" si="0"/>
        <v>0</v>
      </c>
    </row>
    <row r="9" spans="1:28" ht="16">
      <c r="A9" s="644">
        <v>2</v>
      </c>
      <c r="B9" s="485"/>
      <c r="C9" s="427" t="s">
        <v>1043</v>
      </c>
      <c r="D9" s="427"/>
      <c r="E9" s="659"/>
      <c r="F9" s="2143"/>
      <c r="G9" s="388"/>
      <c r="H9" s="2165"/>
      <c r="I9" s="2166">
        <f t="shared" si="0"/>
        <v>0</v>
      </c>
    </row>
    <row r="10" spans="1:28" ht="16">
      <c r="A10" s="644">
        <v>3</v>
      </c>
      <c r="B10" s="485"/>
      <c r="C10" s="427"/>
      <c r="D10" s="427"/>
      <c r="E10" s="659"/>
      <c r="F10" s="2143"/>
      <c r="G10" s="388"/>
      <c r="H10" s="2165"/>
      <c r="I10" s="2166">
        <f t="shared" si="0"/>
        <v>0</v>
      </c>
    </row>
    <row r="11" spans="1:28" ht="16">
      <c r="A11" s="2108" t="str">
        <f>"SUM, "&amp;LOWER(C7)</f>
        <v>SUM, regnskabsmæssig assistance</v>
      </c>
      <c r="B11" s="2109"/>
      <c r="C11" s="2146"/>
      <c r="D11" s="2147">
        <f>SUM(D8:D10)</f>
        <v>0</v>
      </c>
      <c r="E11" s="2147">
        <f t="shared" ref="E11:F11" si="2">SUM(E8:E10)</f>
        <v>0</v>
      </c>
      <c r="F11" s="2147">
        <f t="shared" si="2"/>
        <v>0</v>
      </c>
      <c r="G11" s="388"/>
      <c r="H11" s="2076"/>
      <c r="I11" s="2167"/>
    </row>
    <row r="12" spans="1:28" ht="16">
      <c r="A12" s="2071" t="s">
        <v>432</v>
      </c>
      <c r="B12" s="2149" t="str">
        <f>B7</f>
        <v>Kto. nr.</v>
      </c>
      <c r="C12" s="2073" t="s">
        <v>1044</v>
      </c>
      <c r="D12" s="2074">
        <f>budgetår-1</f>
        <v>2024</v>
      </c>
      <c r="E12" s="2075">
        <f>budgetår</f>
        <v>2025</v>
      </c>
      <c r="F12" s="682" t="s">
        <v>932</v>
      </c>
      <c r="G12" s="388"/>
      <c r="H12" s="2076"/>
      <c r="I12" s="2167"/>
      <c r="AB12" s="2168"/>
    </row>
    <row r="13" spans="1:28" ht="16">
      <c r="A13" s="644">
        <v>1</v>
      </c>
      <c r="B13" s="485"/>
      <c r="C13" s="427" t="s">
        <v>1045</v>
      </c>
      <c r="D13" s="385"/>
      <c r="E13" s="402"/>
      <c r="F13" s="2143"/>
      <c r="G13" s="388"/>
      <c r="H13" s="2165"/>
      <c r="I13" s="2166">
        <f t="shared" si="0"/>
        <v>0</v>
      </c>
    </row>
    <row r="14" spans="1:28" ht="16">
      <c r="A14" s="644">
        <v>2</v>
      </c>
      <c r="B14" s="485"/>
      <c r="C14" s="427" t="s">
        <v>1041</v>
      </c>
      <c r="D14" s="427"/>
      <c r="E14" s="659"/>
      <c r="F14" s="2143"/>
      <c r="G14" s="388"/>
      <c r="H14" s="2165"/>
      <c r="I14" s="2166">
        <f t="shared" si="0"/>
        <v>0</v>
      </c>
    </row>
    <row r="15" spans="1:28" ht="16">
      <c r="A15" s="2108" t="str">
        <f>"SUM, "&amp;LOWER(C12)</f>
        <v>SUM, andre konsulenter</v>
      </c>
      <c r="B15" s="2109"/>
      <c r="C15" s="2146"/>
      <c r="D15" s="2147">
        <f>SUM(D13:D14)</f>
        <v>0</v>
      </c>
      <c r="E15" s="2147">
        <f t="shared" ref="E15:F15" si="3">SUM(E13:E14)</f>
        <v>0</v>
      </c>
      <c r="F15" s="2147">
        <f t="shared" si="3"/>
        <v>0</v>
      </c>
      <c r="G15" s="388"/>
      <c r="H15" s="2076"/>
      <c r="I15" s="2167"/>
    </row>
    <row r="16" spans="1:28" ht="16">
      <c r="A16" s="2071" t="s">
        <v>432</v>
      </c>
      <c r="B16" s="2149" t="str">
        <f>B12</f>
        <v>Kto. nr.</v>
      </c>
      <c r="C16" s="2073" t="s">
        <v>1046</v>
      </c>
      <c r="D16" s="2074">
        <f>budgetår-1</f>
        <v>2024</v>
      </c>
      <c r="E16" s="2075">
        <f>budgetår</f>
        <v>2025</v>
      </c>
      <c r="F16" s="682" t="s">
        <v>932</v>
      </c>
      <c r="G16" s="388"/>
      <c r="H16" s="2076"/>
      <c r="I16" s="2167"/>
    </row>
    <row r="17" spans="1:9" ht="16">
      <c r="A17" s="644">
        <v>1</v>
      </c>
      <c r="B17" s="485"/>
      <c r="C17" s="384" t="s">
        <v>1047</v>
      </c>
      <c r="D17" s="427"/>
      <c r="E17" s="659"/>
      <c r="F17" s="2143"/>
      <c r="G17" s="388"/>
      <c r="H17" s="2165"/>
      <c r="I17" s="2166">
        <f t="shared" si="0"/>
        <v>0</v>
      </c>
    </row>
    <row r="18" spans="1:9" ht="16">
      <c r="A18" s="644">
        <v>2</v>
      </c>
      <c r="B18" s="485"/>
      <c r="C18" s="384" t="s">
        <v>1048</v>
      </c>
      <c r="D18" s="427"/>
      <c r="E18" s="659"/>
      <c r="F18" s="2143"/>
      <c r="G18" s="388"/>
      <c r="H18" s="2165"/>
      <c r="I18" s="2166">
        <f t="shared" si="0"/>
        <v>0</v>
      </c>
    </row>
    <row r="19" spans="1:9" ht="16">
      <c r="A19" s="644">
        <v>3</v>
      </c>
      <c r="B19" s="485"/>
      <c r="C19" s="384" t="s">
        <v>1049</v>
      </c>
      <c r="D19" s="427"/>
      <c r="E19" s="659"/>
      <c r="F19" s="2143"/>
      <c r="G19" s="388"/>
      <c r="H19" s="2165"/>
      <c r="I19" s="2166">
        <f t="shared" si="0"/>
        <v>0</v>
      </c>
    </row>
    <row r="20" spans="1:9" ht="16">
      <c r="A20" s="644">
        <v>4</v>
      </c>
      <c r="B20" s="485"/>
      <c r="C20" s="384" t="s">
        <v>1050</v>
      </c>
      <c r="D20" s="427"/>
      <c r="E20" s="659"/>
      <c r="F20" s="2143"/>
      <c r="G20" s="388"/>
      <c r="H20" s="2165"/>
      <c r="I20" s="2166">
        <f t="shared" si="0"/>
        <v>0</v>
      </c>
    </row>
    <row r="21" spans="1:9" ht="16">
      <c r="A21" s="644">
        <v>5</v>
      </c>
      <c r="B21" s="485"/>
      <c r="C21" s="427" t="s">
        <v>1051</v>
      </c>
      <c r="D21" s="427"/>
      <c r="E21" s="659"/>
      <c r="F21" s="2143"/>
      <c r="G21" s="388"/>
      <c r="H21" s="2165"/>
      <c r="I21" s="2166">
        <f t="shared" si="0"/>
        <v>0</v>
      </c>
    </row>
    <row r="22" spans="1:9" ht="16">
      <c r="A22" s="644">
        <v>6</v>
      </c>
      <c r="B22" s="493"/>
      <c r="C22" s="429" t="s">
        <v>1052</v>
      </c>
      <c r="D22" s="427"/>
      <c r="E22" s="659"/>
      <c r="F22" s="2143"/>
      <c r="G22" s="388"/>
      <c r="H22" s="2165"/>
      <c r="I22" s="2166">
        <f t="shared" si="0"/>
        <v>0</v>
      </c>
    </row>
    <row r="23" spans="1:9" ht="16">
      <c r="A23" s="2108" t="str">
        <f>"SUM, "&amp;LOWER(C16)</f>
        <v>SUM, forsikringer (ej bygninger)</v>
      </c>
      <c r="B23" s="2109"/>
      <c r="C23" s="2146"/>
      <c r="D23" s="2147">
        <f>SUM(D17:D22)</f>
        <v>0</v>
      </c>
      <c r="E23" s="2147">
        <f t="shared" ref="E23:F23" si="4">SUM(E17:E22)</f>
        <v>0</v>
      </c>
      <c r="F23" s="2147">
        <f t="shared" si="4"/>
        <v>0</v>
      </c>
      <c r="G23" s="388"/>
      <c r="H23" s="2076"/>
      <c r="I23" s="2167"/>
    </row>
    <row r="24" spans="1:9" s="3" customFormat="1" ht="16">
      <c r="A24" s="2071" t="s">
        <v>432</v>
      </c>
      <c r="B24" s="2149" t="str">
        <f>B16</f>
        <v>Kto. nr.</v>
      </c>
      <c r="C24" s="2098" t="s">
        <v>1053</v>
      </c>
      <c r="D24" s="2074">
        <f>budgetår-1</f>
        <v>2024</v>
      </c>
      <c r="E24" s="2075">
        <f>budgetår</f>
        <v>2025</v>
      </c>
      <c r="F24" s="682" t="s">
        <v>932</v>
      </c>
      <c r="G24" s="388"/>
      <c r="H24" s="2076"/>
      <c r="I24" s="2167"/>
    </row>
    <row r="25" spans="1:9" s="3" customFormat="1" ht="16">
      <c r="A25" s="644">
        <v>1</v>
      </c>
      <c r="B25" s="485"/>
      <c r="C25" s="427" t="s">
        <v>1054</v>
      </c>
      <c r="D25" s="427"/>
      <c r="E25" s="659"/>
      <c r="F25" s="2143"/>
      <c r="G25" s="388"/>
      <c r="H25" s="2165"/>
      <c r="I25" s="2166">
        <f t="shared" si="0"/>
        <v>0</v>
      </c>
    </row>
    <row r="26" spans="1:9" s="3" customFormat="1" ht="16">
      <c r="A26" s="644">
        <v>2</v>
      </c>
      <c r="B26" s="485"/>
      <c r="C26" s="427" t="s">
        <v>1055</v>
      </c>
      <c r="D26" s="427"/>
      <c r="E26" s="659"/>
      <c r="F26" s="2143"/>
      <c r="G26" s="388"/>
      <c r="H26" s="2165"/>
      <c r="I26" s="2166">
        <f t="shared" si="0"/>
        <v>0</v>
      </c>
    </row>
    <row r="27" spans="1:9" s="3" customFormat="1" ht="16">
      <c r="A27" s="644">
        <v>3</v>
      </c>
      <c r="B27" s="485"/>
      <c r="C27" s="427" t="s">
        <v>1056</v>
      </c>
      <c r="D27" s="427"/>
      <c r="E27" s="659"/>
      <c r="F27" s="2143"/>
      <c r="G27" s="388"/>
      <c r="H27" s="2165"/>
      <c r="I27" s="2166">
        <f t="shared" si="0"/>
        <v>0</v>
      </c>
    </row>
    <row r="28" spans="1:9" s="3" customFormat="1" ht="16">
      <c r="A28" s="644">
        <v>4</v>
      </c>
      <c r="B28" s="485"/>
      <c r="C28" s="427"/>
      <c r="D28" s="427"/>
      <c r="E28" s="659"/>
      <c r="F28" s="2143"/>
      <c r="G28" s="388"/>
      <c r="H28" s="2165"/>
      <c r="I28" s="2166">
        <f t="shared" si="0"/>
        <v>0</v>
      </c>
    </row>
    <row r="29" spans="1:9" s="3" customFormat="1" ht="16">
      <c r="A29" s="644">
        <v>5</v>
      </c>
      <c r="B29" s="485"/>
      <c r="C29" s="427"/>
      <c r="D29" s="427"/>
      <c r="E29" s="659"/>
      <c r="F29" s="2143"/>
      <c r="G29" s="388"/>
      <c r="H29" s="2165"/>
      <c r="I29" s="2166">
        <f t="shared" si="0"/>
        <v>0</v>
      </c>
    </row>
    <row r="30" spans="1:9" ht="16">
      <c r="A30" s="644">
        <v>6</v>
      </c>
      <c r="B30" s="485"/>
      <c r="C30" s="427"/>
      <c r="D30" s="427"/>
      <c r="E30" s="659"/>
      <c r="F30" s="2143"/>
      <c r="G30" s="388"/>
      <c r="H30" s="2165"/>
      <c r="I30" s="2166">
        <f t="shared" si="0"/>
        <v>0</v>
      </c>
    </row>
    <row r="31" spans="1:9" ht="16">
      <c r="A31" s="2108" t="str">
        <f>"SUM, "&amp;LOWER(C24)</f>
        <v>SUM, markedsføring</v>
      </c>
      <c r="B31" s="2109"/>
      <c r="C31" s="2146"/>
      <c r="D31" s="2147">
        <f>SUM(D25:D30)</f>
        <v>0</v>
      </c>
      <c r="E31" s="2147">
        <f t="shared" ref="E31:F31" si="5">SUM(E25:E30)</f>
        <v>0</v>
      </c>
      <c r="F31" s="2147">
        <f t="shared" si="5"/>
        <v>0</v>
      </c>
      <c r="G31" s="388"/>
      <c r="H31" s="2076"/>
      <c r="I31" s="2167"/>
    </row>
    <row r="32" spans="1:9" ht="16">
      <c r="A32" s="2071" t="s">
        <v>432</v>
      </c>
      <c r="B32" s="2149" t="str">
        <f>B24</f>
        <v>Kto. nr.</v>
      </c>
      <c r="C32" s="2098" t="s">
        <v>1057</v>
      </c>
      <c r="D32" s="2074">
        <f>budgetår-1</f>
        <v>2024</v>
      </c>
      <c r="E32" s="2075">
        <f>budgetår</f>
        <v>2025</v>
      </c>
      <c r="F32" s="682" t="s">
        <v>932</v>
      </c>
      <c r="G32" s="388"/>
      <c r="H32" s="2076"/>
      <c r="I32" s="2167"/>
    </row>
    <row r="33" spans="1:9" ht="16">
      <c r="A33" s="644">
        <v>1</v>
      </c>
      <c r="B33" s="485"/>
      <c r="C33" s="385" t="s">
        <v>1058</v>
      </c>
      <c r="D33" s="385"/>
      <c r="E33" s="402"/>
      <c r="F33" s="1869"/>
      <c r="G33" s="388"/>
      <c r="H33" s="2165"/>
      <c r="I33" s="2166">
        <f t="shared" si="0"/>
        <v>0</v>
      </c>
    </row>
    <row r="34" spans="1:9" ht="16">
      <c r="A34" s="644">
        <v>2</v>
      </c>
      <c r="B34" s="485"/>
      <c r="C34" s="385"/>
      <c r="D34" s="385"/>
      <c r="E34" s="402"/>
      <c r="F34" s="1869"/>
      <c r="G34" s="388"/>
      <c r="H34" s="2165"/>
      <c r="I34" s="2166">
        <f t="shared" si="0"/>
        <v>0</v>
      </c>
    </row>
    <row r="35" spans="1:9" ht="16">
      <c r="A35" s="2108" t="str">
        <f>"SUM, "&amp;LOWER(C32)</f>
        <v>SUM, omkostninger ved ansættelse af personale</v>
      </c>
      <c r="B35" s="2096"/>
      <c r="C35" s="2169"/>
      <c r="D35" s="2067">
        <f>SUM(D33:D34)</f>
        <v>0</v>
      </c>
      <c r="E35" s="2067">
        <f t="shared" ref="E35:F35" si="6">SUM(E33:E34)</f>
        <v>0</v>
      </c>
      <c r="F35" s="2067">
        <f t="shared" si="6"/>
        <v>0</v>
      </c>
      <c r="G35" s="388"/>
      <c r="H35" s="2076"/>
      <c r="I35" s="2167"/>
    </row>
    <row r="36" spans="1:9" s="3" customFormat="1" ht="16">
      <c r="A36" s="2071" t="s">
        <v>432</v>
      </c>
      <c r="B36" s="2149" t="str">
        <f>B32</f>
        <v>Kto. nr.</v>
      </c>
      <c r="C36" s="2073" t="s">
        <v>1059</v>
      </c>
      <c r="D36" s="2074">
        <f>budgetår-1</f>
        <v>2024</v>
      </c>
      <c r="E36" s="2075">
        <f>budgetår</f>
        <v>2025</v>
      </c>
      <c r="F36" s="682" t="s">
        <v>932</v>
      </c>
      <c r="G36" s="141"/>
      <c r="H36" s="2076"/>
      <c r="I36" s="2167"/>
    </row>
    <row r="37" spans="1:9" s="3" customFormat="1" ht="16">
      <c r="A37" s="644">
        <v>1</v>
      </c>
      <c r="B37" s="485"/>
      <c r="C37" s="384" t="s">
        <v>1060</v>
      </c>
      <c r="D37" s="427"/>
      <c r="E37" s="659"/>
      <c r="F37" s="2143"/>
      <c r="G37" s="141"/>
      <c r="H37" s="2165"/>
      <c r="I37" s="2166">
        <f t="shared" si="0"/>
        <v>0</v>
      </c>
    </row>
    <row r="38" spans="1:9" ht="16">
      <c r="A38" s="644">
        <v>2</v>
      </c>
      <c r="B38" s="485"/>
      <c r="C38" s="384" t="s">
        <v>1061</v>
      </c>
      <c r="D38" s="427"/>
      <c r="E38" s="659"/>
      <c r="F38" s="2143"/>
      <c r="G38" s="388"/>
      <c r="H38" s="2165"/>
      <c r="I38" s="2166">
        <f t="shared" si="0"/>
        <v>0</v>
      </c>
    </row>
    <row r="39" spans="1:9" ht="16">
      <c r="A39" s="644">
        <v>3</v>
      </c>
      <c r="B39" s="485"/>
      <c r="C39" s="384" t="s">
        <v>1062</v>
      </c>
      <c r="D39" s="427"/>
      <c r="E39" s="659"/>
      <c r="F39" s="2143"/>
      <c r="G39" s="388"/>
      <c r="H39" s="2165"/>
      <c r="I39" s="2166">
        <f t="shared" si="0"/>
        <v>0</v>
      </c>
    </row>
    <row r="40" spans="1:9" ht="16">
      <c r="A40" s="644">
        <v>4</v>
      </c>
      <c r="B40" s="485"/>
      <c r="C40" s="384" t="s">
        <v>1063</v>
      </c>
      <c r="D40" s="427"/>
      <c r="E40" s="659"/>
      <c r="F40" s="2143"/>
      <c r="G40" s="388"/>
      <c r="H40" s="2165"/>
      <c r="I40" s="2166">
        <f t="shared" si="0"/>
        <v>0</v>
      </c>
    </row>
    <row r="41" spans="1:9" s="3" customFormat="1" ht="16">
      <c r="A41" s="644">
        <v>5</v>
      </c>
      <c r="B41" s="485"/>
      <c r="C41" s="427"/>
      <c r="D41" s="427"/>
      <c r="E41" s="659"/>
      <c r="F41" s="2143"/>
      <c r="G41" s="141"/>
      <c r="H41" s="2165"/>
      <c r="I41" s="2166">
        <f t="shared" si="0"/>
        <v>0</v>
      </c>
    </row>
    <row r="42" spans="1:9" ht="16">
      <c r="A42" s="644">
        <v>6</v>
      </c>
      <c r="B42" s="493"/>
      <c r="C42" s="429"/>
      <c r="D42" s="427"/>
      <c r="E42" s="659"/>
      <c r="F42" s="2143"/>
      <c r="G42" s="388"/>
      <c r="H42" s="2165"/>
      <c r="I42" s="2166">
        <f t="shared" si="0"/>
        <v>0</v>
      </c>
    </row>
    <row r="43" spans="1:9" ht="16">
      <c r="A43" s="2108" t="str">
        <f>"SUM, "&amp;LOWER(C36)</f>
        <v>SUM, personaleomkostninger</v>
      </c>
      <c r="B43" s="2109"/>
      <c r="C43" s="2146"/>
      <c r="D43" s="2147">
        <f>SUM(D37:D42)</f>
        <v>0</v>
      </c>
      <c r="E43" s="2147">
        <f t="shared" ref="E43:F43" si="7">SUM(E37:E42)</f>
        <v>0</v>
      </c>
      <c r="F43" s="2147">
        <f t="shared" si="7"/>
        <v>0</v>
      </c>
      <c r="G43" s="388"/>
      <c r="H43" s="2076"/>
      <c r="I43" s="2167"/>
    </row>
    <row r="44" spans="1:9" ht="16">
      <c r="A44" s="2071" t="s">
        <v>432</v>
      </c>
      <c r="B44" s="2149" t="str">
        <f>B36</f>
        <v>Kto. nr.</v>
      </c>
      <c r="C44" s="2098" t="s">
        <v>1064</v>
      </c>
      <c r="D44" s="2074">
        <f>budgetår-1</f>
        <v>2024</v>
      </c>
      <c r="E44" s="2075">
        <f>budgetår</f>
        <v>2025</v>
      </c>
      <c r="F44" s="682" t="s">
        <v>932</v>
      </c>
      <c r="G44" s="388"/>
      <c r="H44" s="2076"/>
      <c r="I44" s="2167"/>
    </row>
    <row r="45" spans="1:9" ht="16">
      <c r="A45" s="644">
        <v>1</v>
      </c>
      <c r="B45" s="485"/>
      <c r="C45" s="427" t="s">
        <v>1065</v>
      </c>
      <c r="D45" s="427"/>
      <c r="E45" s="659"/>
      <c r="F45" s="2143"/>
      <c r="G45" s="388"/>
      <c r="H45" s="2165"/>
      <c r="I45" s="2166">
        <f t="shared" si="0"/>
        <v>0</v>
      </c>
    </row>
    <row r="46" spans="1:9" s="3" customFormat="1" ht="16">
      <c r="A46" s="644">
        <v>2</v>
      </c>
      <c r="B46" s="485"/>
      <c r="C46" s="427" t="s">
        <v>1066</v>
      </c>
      <c r="D46" s="427"/>
      <c r="E46" s="659"/>
      <c r="F46" s="2143"/>
      <c r="G46" s="141"/>
      <c r="H46" s="2165"/>
      <c r="I46" s="2166">
        <f t="shared" si="0"/>
        <v>0</v>
      </c>
    </row>
    <row r="47" spans="1:9" ht="16">
      <c r="A47" s="644">
        <v>3</v>
      </c>
      <c r="B47" s="485"/>
      <c r="C47" s="427"/>
      <c r="D47" s="427"/>
      <c r="E47" s="659"/>
      <c r="F47" s="2143"/>
      <c r="G47" s="388"/>
      <c r="H47" s="2165"/>
      <c r="I47" s="2166">
        <f t="shared" si="0"/>
        <v>0</v>
      </c>
    </row>
    <row r="48" spans="1:9" ht="16">
      <c r="A48" s="644">
        <v>4</v>
      </c>
      <c r="B48" s="485"/>
      <c r="C48" s="427"/>
      <c r="D48" s="427"/>
      <c r="E48" s="659"/>
      <c r="F48" s="2143"/>
      <c r="G48" s="388"/>
      <c r="H48" s="2165"/>
      <c r="I48" s="2166">
        <f t="shared" si="0"/>
        <v>0</v>
      </c>
    </row>
    <row r="49" spans="1:9" ht="16">
      <c r="A49" s="644">
        <v>5</v>
      </c>
      <c r="B49" s="485"/>
      <c r="C49" s="427"/>
      <c r="D49" s="427"/>
      <c r="E49" s="659"/>
      <c r="F49" s="2143"/>
      <c r="G49" s="388"/>
      <c r="H49" s="2165"/>
      <c r="I49" s="2166">
        <f t="shared" si="0"/>
        <v>0</v>
      </c>
    </row>
    <row r="50" spans="1:9" ht="16">
      <c r="A50" s="644">
        <v>6</v>
      </c>
      <c r="B50" s="485"/>
      <c r="C50" s="427"/>
      <c r="D50" s="427"/>
      <c r="E50" s="659"/>
      <c r="F50" s="2143"/>
      <c r="G50" s="388"/>
      <c r="H50" s="2165"/>
      <c r="I50" s="2166">
        <f t="shared" si="0"/>
        <v>0</v>
      </c>
    </row>
    <row r="51" spans="1:9" ht="16">
      <c r="A51" s="2108" t="str">
        <f>"SUM, "&amp;LOWER(C44)</f>
        <v>SUM, bestyrelsesomkostninger</v>
      </c>
      <c r="B51" s="2109"/>
      <c r="C51" s="2146"/>
      <c r="D51" s="2147">
        <f>SUM(D45:D50)</f>
        <v>0</v>
      </c>
      <c r="E51" s="2147">
        <f t="shared" ref="E51:F51" si="8">SUM(E45:E50)</f>
        <v>0</v>
      </c>
      <c r="F51" s="2147">
        <f t="shared" si="8"/>
        <v>0</v>
      </c>
      <c r="G51" s="388"/>
      <c r="H51" s="2076"/>
      <c r="I51" s="2167"/>
    </row>
    <row r="52" spans="1:9" s="3" customFormat="1" ht="16" customHeight="1">
      <c r="A52" s="2071" t="s">
        <v>432</v>
      </c>
      <c r="B52" s="2149" t="str">
        <f>B44</f>
        <v>Kto. nr.</v>
      </c>
      <c r="C52" s="2098" t="s">
        <v>1020</v>
      </c>
      <c r="D52" s="2074">
        <f>budgetår-1</f>
        <v>2024</v>
      </c>
      <c r="E52" s="2075">
        <f>budgetår</f>
        <v>2025</v>
      </c>
      <c r="F52" s="682" t="s">
        <v>932</v>
      </c>
      <c r="G52" s="141"/>
      <c r="H52" s="2076"/>
      <c r="I52" s="2167"/>
    </row>
    <row r="53" spans="1:9" ht="16">
      <c r="A53" s="644">
        <v>1</v>
      </c>
      <c r="B53" s="485"/>
      <c r="C53" s="385" t="s">
        <v>1067</v>
      </c>
      <c r="D53" s="385"/>
      <c r="E53" s="402"/>
      <c r="F53" s="1869"/>
      <c r="G53" s="388"/>
      <c r="H53" s="2165"/>
      <c r="I53" s="2166">
        <f t="shared" si="0"/>
        <v>0</v>
      </c>
    </row>
    <row r="54" spans="1:9" ht="16">
      <c r="A54" s="644">
        <v>2</v>
      </c>
      <c r="B54" s="485"/>
      <c r="C54" s="427" t="s">
        <v>1068</v>
      </c>
      <c r="D54" s="385"/>
      <c r="E54" s="402"/>
      <c r="F54" s="2143"/>
      <c r="G54" s="388"/>
      <c r="H54" s="2165"/>
      <c r="I54" s="2166">
        <f t="shared" si="0"/>
        <v>0</v>
      </c>
    </row>
    <row r="55" spans="1:9" ht="16">
      <c r="A55" s="644">
        <v>3</v>
      </c>
      <c r="B55" s="485"/>
      <c r="C55" s="427" t="s">
        <v>1069</v>
      </c>
      <c r="D55" s="385"/>
      <c r="E55" s="402"/>
      <c r="F55" s="2143"/>
      <c r="G55" s="388"/>
      <c r="H55" s="2165"/>
      <c r="I55" s="2166">
        <f t="shared" si="0"/>
        <v>0</v>
      </c>
    </row>
    <row r="56" spans="1:9" ht="16">
      <c r="A56" s="644">
        <v>4</v>
      </c>
      <c r="B56" s="485"/>
      <c r="C56" s="427"/>
      <c r="D56" s="427"/>
      <c r="E56" s="659"/>
      <c r="F56" s="2143"/>
      <c r="G56" s="388"/>
      <c r="H56" s="2165"/>
      <c r="I56" s="2166">
        <f>E56*H56</f>
        <v>0</v>
      </c>
    </row>
    <row r="57" spans="1:9" ht="16">
      <c r="A57" s="644">
        <v>5</v>
      </c>
      <c r="B57" s="485"/>
      <c r="C57" s="385"/>
      <c r="D57" s="385"/>
      <c r="E57" s="402"/>
      <c r="F57" s="1869"/>
      <c r="G57" s="388"/>
      <c r="H57" s="2165"/>
      <c r="I57" s="2166">
        <f t="shared" si="0"/>
        <v>0</v>
      </c>
    </row>
    <row r="58" spans="1:9" s="3" customFormat="1" ht="16">
      <c r="A58" s="2108" t="str">
        <f>"SUM, "&amp;LOWER(C52)</f>
        <v>SUM, kurser</v>
      </c>
      <c r="B58" s="2096"/>
      <c r="C58" s="2169"/>
      <c r="D58" s="2067">
        <f>SUM(D53:D57)</f>
        <v>0</v>
      </c>
      <c r="E58" s="2067">
        <f t="shared" ref="E58:F58" si="9">SUM(E53:E57)</f>
        <v>0</v>
      </c>
      <c r="F58" s="2067">
        <f t="shared" si="9"/>
        <v>0</v>
      </c>
      <c r="G58" s="141"/>
      <c r="H58" s="2076"/>
      <c r="I58" s="2167"/>
    </row>
    <row r="59" spans="1:9" ht="16" customHeight="1">
      <c r="A59" s="2071" t="s">
        <v>432</v>
      </c>
      <c r="B59" s="2149" t="str">
        <f>B52</f>
        <v>Kto. nr.</v>
      </c>
      <c r="C59" s="2098" t="s">
        <v>828</v>
      </c>
      <c r="D59" s="2074">
        <f>budgetår-1</f>
        <v>2024</v>
      </c>
      <c r="E59" s="2075">
        <f>budgetår</f>
        <v>2025</v>
      </c>
      <c r="F59" s="682" t="s">
        <v>932</v>
      </c>
      <c r="G59" s="388"/>
      <c r="H59" s="2076"/>
      <c r="I59" s="2167"/>
    </row>
    <row r="60" spans="1:9" ht="16">
      <c r="A60" s="644">
        <v>1</v>
      </c>
      <c r="B60" s="485"/>
      <c r="C60" s="385"/>
      <c r="D60" s="385"/>
      <c r="E60" s="402"/>
      <c r="F60" s="1869"/>
      <c r="G60" s="388"/>
      <c r="H60" s="2170"/>
      <c r="I60" s="2166">
        <f t="shared" si="0"/>
        <v>0</v>
      </c>
    </row>
    <row r="61" spans="1:9" ht="16" customHeight="1">
      <c r="A61" s="644">
        <v>2</v>
      </c>
      <c r="B61" s="485"/>
      <c r="C61" s="385"/>
      <c r="D61" s="385"/>
      <c r="E61" s="402"/>
      <c r="F61" s="1869"/>
      <c r="G61" s="388"/>
      <c r="H61" s="2170"/>
      <c r="I61" s="2166">
        <f t="shared" si="0"/>
        <v>0</v>
      </c>
    </row>
    <row r="62" spans="1:9" ht="17" thickBot="1">
      <c r="A62" s="2108" t="str">
        <f>"SUM, "&amp;LOWER(C59)</f>
        <v>SUM, tjenesterejser</v>
      </c>
      <c r="B62" s="2096"/>
      <c r="C62" s="2169"/>
      <c r="D62" s="2067">
        <f>SUM(D60:D61)</f>
        <v>0</v>
      </c>
      <c r="E62" s="2067">
        <f t="shared" ref="E62:F62" si="10">SUM(E60:E61)</f>
        <v>0</v>
      </c>
      <c r="F62" s="2067">
        <f t="shared" si="10"/>
        <v>0</v>
      </c>
      <c r="G62" s="388"/>
      <c r="H62" s="2076"/>
      <c r="I62" s="2167"/>
    </row>
    <row r="63" spans="1:9" ht="16">
      <c r="A63" s="2071" t="s">
        <v>432</v>
      </c>
      <c r="B63" s="2149" t="str">
        <f>B59</f>
        <v>Kto. nr.</v>
      </c>
      <c r="C63" s="2098" t="s">
        <v>1070</v>
      </c>
      <c r="D63" s="2074">
        <f>budgetår-1</f>
        <v>2024</v>
      </c>
      <c r="E63" s="2075">
        <f>budgetår</f>
        <v>2025</v>
      </c>
      <c r="F63" s="2164" t="s">
        <v>932</v>
      </c>
      <c r="G63" s="388"/>
      <c r="H63" s="2076"/>
      <c r="I63" s="2167"/>
    </row>
    <row r="64" spans="1:9" ht="16">
      <c r="A64" s="644">
        <v>1</v>
      </c>
      <c r="B64" s="485"/>
      <c r="C64" s="465" t="s">
        <v>1071</v>
      </c>
      <c r="D64" s="385"/>
      <c r="E64" s="666">
        <f>'lon undervisning'!AE102+'Lon pæd., TAP mm'!BZ89</f>
        <v>0</v>
      </c>
      <c r="F64" s="2171">
        <f>'Lon pæd., TAP mm'!BZ93+'lon undervisning'!AE107-Administration!E64</f>
        <v>0</v>
      </c>
      <c r="G64" s="388"/>
      <c r="H64" s="2165"/>
      <c r="I64" s="2166">
        <f t="shared" si="0"/>
        <v>0</v>
      </c>
    </row>
    <row r="65" spans="1:9" ht="16">
      <c r="A65" s="644">
        <v>2</v>
      </c>
      <c r="B65" s="485"/>
      <c r="C65" s="466" t="s">
        <v>1072</v>
      </c>
      <c r="D65" s="427"/>
      <c r="E65" s="667">
        <f>'Lon pæd., TAP mm'!W89</f>
        <v>0</v>
      </c>
      <c r="F65" s="2172">
        <f>'Lon pæd., TAP mm'!W93-'Lon pæd., TAP mm'!W89</f>
        <v>0</v>
      </c>
      <c r="G65" s="388"/>
      <c r="H65" s="2165"/>
      <c r="I65" s="2166">
        <f t="shared" si="0"/>
        <v>0</v>
      </c>
    </row>
    <row r="66" spans="1:9" ht="16">
      <c r="A66" s="644">
        <v>3</v>
      </c>
      <c r="B66" s="485"/>
      <c r="C66" s="466" t="s">
        <v>646</v>
      </c>
      <c r="D66" s="427"/>
      <c r="E66" s="667">
        <f>'Lon pæd., TAP mm'!BA89</f>
        <v>0</v>
      </c>
      <c r="F66" s="2172">
        <f>'Lon pæd., TAP mm'!BA93-'Lon pæd., TAP mm'!BA89</f>
        <v>0</v>
      </c>
      <c r="G66" s="388"/>
      <c r="H66" s="2165"/>
      <c r="I66" s="2166">
        <f t="shared" si="0"/>
        <v>0</v>
      </c>
    </row>
    <row r="67" spans="1:9" s="3" customFormat="1" ht="16">
      <c r="A67" s="644">
        <v>4</v>
      </c>
      <c r="B67" s="485"/>
      <c r="C67" s="466" t="s">
        <v>1073</v>
      </c>
      <c r="D67" s="427"/>
      <c r="E67" s="667">
        <f>'Lon pæd., TAP mm'!BN89</f>
        <v>0</v>
      </c>
      <c r="F67" s="2172">
        <f>'Lon pæd., TAP mm'!BN93-'Lon pæd., TAP mm'!BN89</f>
        <v>0</v>
      </c>
      <c r="G67" s="141"/>
      <c r="H67" s="2165"/>
      <c r="I67" s="2166">
        <f t="shared" si="0"/>
        <v>0</v>
      </c>
    </row>
    <row r="68" spans="1:9" ht="16">
      <c r="A68" s="644">
        <v>5</v>
      </c>
      <c r="B68" s="485"/>
      <c r="C68" s="466" t="s">
        <v>643</v>
      </c>
      <c r="D68" s="427"/>
      <c r="E68" s="667">
        <f>'Lon pæd., TAP mm'!CJ89</f>
        <v>0</v>
      </c>
      <c r="F68" s="2172">
        <f>'Lon pæd., TAP mm'!CJ93-'Lon pæd., TAP mm'!CJ89</f>
        <v>0</v>
      </c>
      <c r="G68" s="388"/>
      <c r="H68" s="2165"/>
      <c r="I68" s="2166">
        <f t="shared" si="0"/>
        <v>0</v>
      </c>
    </row>
    <row r="69" spans="1:9" ht="16">
      <c r="A69" s="644">
        <v>6</v>
      </c>
      <c r="B69" s="485"/>
      <c r="C69" s="466" t="s">
        <v>644</v>
      </c>
      <c r="D69" s="427"/>
      <c r="E69" s="667">
        <f>'Lon pæd., TAP mm'!CW89</f>
        <v>0</v>
      </c>
      <c r="F69" s="2172">
        <f>'Lon pæd., TAP mm'!CW93-'Lon pæd., TAP mm'!CW89</f>
        <v>0</v>
      </c>
      <c r="G69" s="388"/>
      <c r="H69" s="2165"/>
      <c r="I69" s="2166">
        <f t="shared" ref="I69:I121" si="11">E69*H69</f>
        <v>0</v>
      </c>
    </row>
    <row r="70" spans="1:9" ht="17" thickBot="1">
      <c r="A70" s="644">
        <v>7</v>
      </c>
      <c r="B70" s="485"/>
      <c r="C70" s="466" t="s">
        <v>1074</v>
      </c>
      <c r="D70" s="427"/>
      <c r="E70" s="667">
        <f>'Lon pæd., TAP mm'!DD89</f>
        <v>0</v>
      </c>
      <c r="F70" s="2173">
        <f>'Lon pæd., TAP mm'!DD93-'Lon pæd., TAP mm'!DD89</f>
        <v>0</v>
      </c>
      <c r="G70" s="388"/>
      <c r="H70" s="2165"/>
      <c r="I70" s="2166">
        <f t="shared" si="11"/>
        <v>0</v>
      </c>
    </row>
    <row r="71" spans="1:9" ht="16">
      <c r="A71" s="2108" t="str">
        <f>"SUM, "&amp;LOWER(C63)</f>
        <v>SUM, lovpligtige afgifter personale</v>
      </c>
      <c r="B71" s="2096"/>
      <c r="C71" s="2169"/>
      <c r="D71" s="2067">
        <f>SUM(D64:D70)</f>
        <v>0</v>
      </c>
      <c r="E71" s="2067">
        <f t="shared" ref="E71:F71" si="12">SUM(E64:E70)</f>
        <v>0</v>
      </c>
      <c r="F71" s="2067">
        <f t="shared" si="12"/>
        <v>0</v>
      </c>
      <c r="G71" s="388"/>
      <c r="H71" s="2076"/>
      <c r="I71" s="2167"/>
    </row>
    <row r="72" spans="1:9" ht="16">
      <c r="A72" s="2071" t="s">
        <v>432</v>
      </c>
      <c r="B72" s="2149" t="str">
        <f>B63</f>
        <v>Kto. nr.</v>
      </c>
      <c r="C72" s="2073" t="s">
        <v>1075</v>
      </c>
      <c r="D72" s="2074">
        <f>budgetår-1</f>
        <v>2024</v>
      </c>
      <c r="E72" s="2075">
        <f>budgetår</f>
        <v>2025</v>
      </c>
      <c r="F72" s="682" t="s">
        <v>932</v>
      </c>
      <c r="G72" s="388"/>
      <c r="H72" s="2076"/>
      <c r="I72" s="2167"/>
    </row>
    <row r="73" spans="1:9" ht="16">
      <c r="A73" s="644">
        <v>1</v>
      </c>
      <c r="B73" s="485"/>
      <c r="C73" s="468" t="s">
        <v>1075</v>
      </c>
      <c r="D73" s="468"/>
      <c r="E73" s="665"/>
      <c r="F73" s="2143"/>
      <c r="G73" s="388"/>
      <c r="H73" s="2165"/>
      <c r="I73" s="2166">
        <f t="shared" si="11"/>
        <v>0</v>
      </c>
    </row>
    <row r="74" spans="1:9" ht="16">
      <c r="A74" s="644">
        <v>2</v>
      </c>
      <c r="B74" s="485"/>
      <c r="C74" s="427"/>
      <c r="D74" s="468"/>
      <c r="E74" s="665"/>
      <c r="F74" s="2143"/>
      <c r="G74" s="388"/>
      <c r="H74" s="2165"/>
      <c r="I74" s="2166">
        <f t="shared" si="11"/>
        <v>0</v>
      </c>
    </row>
    <row r="75" spans="1:9" ht="16">
      <c r="A75" s="2108" t="str">
        <f>"SUM, "&amp;LOWER(C72)</f>
        <v>SUM, repræsentation</v>
      </c>
      <c r="B75" s="2109"/>
      <c r="C75" s="2146"/>
      <c r="D75" s="2147">
        <f>SUM(D73:D74)</f>
        <v>0</v>
      </c>
      <c r="E75" s="2147">
        <f t="shared" ref="E75:F75" si="13">SUM(E73:E74)</f>
        <v>0</v>
      </c>
      <c r="F75" s="2147">
        <f t="shared" si="13"/>
        <v>0</v>
      </c>
      <c r="G75" s="388"/>
      <c r="H75" s="2076"/>
      <c r="I75" s="2167"/>
    </row>
    <row r="76" spans="1:9" ht="16">
      <c r="A76" s="2071" t="s">
        <v>432</v>
      </c>
      <c r="B76" s="2149" t="str">
        <f>B72</f>
        <v>Kto. nr.</v>
      </c>
      <c r="C76" s="2098" t="s">
        <v>1076</v>
      </c>
      <c r="D76" s="2074">
        <f>budgetår-1</f>
        <v>2024</v>
      </c>
      <c r="E76" s="2075">
        <f>budgetår</f>
        <v>2025</v>
      </c>
      <c r="F76" s="682" t="s">
        <v>932</v>
      </c>
      <c r="G76" s="388"/>
      <c r="H76" s="2076"/>
      <c r="I76" s="2167"/>
    </row>
    <row r="77" spans="1:9" ht="16">
      <c r="A77" s="644">
        <v>1</v>
      </c>
      <c r="B77" s="485"/>
      <c r="C77" s="385" t="s">
        <v>1077</v>
      </c>
      <c r="D77" s="385"/>
      <c r="E77" s="402"/>
      <c r="F77" s="1869"/>
      <c r="G77" s="388"/>
      <c r="H77" s="2165"/>
      <c r="I77" s="2166">
        <f t="shared" si="11"/>
        <v>0</v>
      </c>
    </row>
    <row r="78" spans="1:9" ht="16">
      <c r="A78" s="644">
        <v>2</v>
      </c>
      <c r="B78" s="485"/>
      <c r="C78" s="427" t="s">
        <v>1078</v>
      </c>
      <c r="D78" s="427"/>
      <c r="E78" s="659"/>
      <c r="F78" s="2143"/>
      <c r="G78" s="388"/>
      <c r="H78" s="2165"/>
      <c r="I78" s="2166">
        <f t="shared" si="11"/>
        <v>0</v>
      </c>
    </row>
    <row r="79" spans="1:9" s="3" customFormat="1" ht="16">
      <c r="A79" s="644">
        <v>3</v>
      </c>
      <c r="B79" s="485"/>
      <c r="C79" s="427" t="s">
        <v>1079</v>
      </c>
      <c r="D79" s="427"/>
      <c r="E79" s="659"/>
      <c r="F79" s="2143"/>
      <c r="G79" s="141"/>
      <c r="H79" s="2165"/>
      <c r="I79" s="2166">
        <f t="shared" si="11"/>
        <v>0</v>
      </c>
    </row>
    <row r="80" spans="1:9" ht="16">
      <c r="A80" s="644">
        <v>4</v>
      </c>
      <c r="B80" s="485"/>
      <c r="C80" s="385"/>
      <c r="D80" s="385"/>
      <c r="E80" s="402"/>
      <c r="F80" s="1869"/>
      <c r="G80" s="388"/>
      <c r="H80" s="2165"/>
      <c r="I80" s="2166">
        <f t="shared" si="11"/>
        <v>0</v>
      </c>
    </row>
    <row r="81" spans="1:9" ht="16">
      <c r="A81" s="2108" t="str">
        <f>"SUM, "&amp;LOWER(C76)</f>
        <v>SUM, kontorartikler, porto og telefon</v>
      </c>
      <c r="B81" s="2096"/>
      <c r="C81" s="2169"/>
      <c r="D81" s="2067">
        <f>SUM(D77:D80)</f>
        <v>0</v>
      </c>
      <c r="E81" s="2067">
        <f t="shared" ref="E81:F81" si="14">SUM(E77:E80)</f>
        <v>0</v>
      </c>
      <c r="F81" s="2067">
        <f t="shared" si="14"/>
        <v>0</v>
      </c>
      <c r="G81" s="388"/>
      <c r="H81" s="2076"/>
      <c r="I81" s="2167"/>
    </row>
    <row r="82" spans="1:9" ht="17" thickBot="1">
      <c r="A82" s="2071" t="s">
        <v>432</v>
      </c>
      <c r="B82" s="2149" t="str">
        <f>B76</f>
        <v>Kto. nr.</v>
      </c>
      <c r="C82" s="2073" t="s">
        <v>1080</v>
      </c>
      <c r="D82" s="2074">
        <f>budgetår-1</f>
        <v>2024</v>
      </c>
      <c r="E82" s="2075">
        <f>budgetår</f>
        <v>2025</v>
      </c>
      <c r="F82" s="682" t="s">
        <v>932</v>
      </c>
      <c r="G82" s="388"/>
      <c r="H82" s="2076"/>
      <c r="I82" s="2167"/>
    </row>
    <row r="83" spans="1:9" ht="51">
      <c r="A83" s="644">
        <v>1</v>
      </c>
      <c r="B83" s="485"/>
      <c r="C83" s="469" t="s">
        <v>1081</v>
      </c>
      <c r="D83" s="470"/>
      <c r="E83" s="664">
        <f>(elevtal_1*(DFkont+SatsBilag!B33)+SatsBilag!B34)</f>
        <v>8920</v>
      </c>
      <c r="F83" s="2174">
        <f>(Elevtal*(DFkont+SatsBilag!B33)+SatsBilag!B34)-E83</f>
        <v>0</v>
      </c>
      <c r="G83" s="388"/>
      <c r="H83" s="2165"/>
      <c r="I83" s="2166">
        <f t="shared" si="11"/>
        <v>0</v>
      </c>
    </row>
    <row r="84" spans="1:9" ht="16">
      <c r="A84" s="644">
        <v>2</v>
      </c>
      <c r="B84" s="485"/>
      <c r="C84" s="471" t="s">
        <v>1082</v>
      </c>
      <c r="D84" s="470"/>
      <c r="E84" s="664">
        <f>IF(AND(elevtal_1&gt;220),(elevtal_1-220)*(SatsBilag!B32-DFkont),0)</f>
        <v>0</v>
      </c>
      <c r="F84" s="2175">
        <f>IF(AND(Elevtal&gt;220),(Elevtal-220)*(SatsBilag!B32-DFkont)-E84,0)</f>
        <v>0</v>
      </c>
      <c r="G84" s="388"/>
      <c r="H84" s="2165"/>
      <c r="I84" s="2166">
        <f t="shared" si="11"/>
        <v>0</v>
      </c>
    </row>
    <row r="85" spans="1:9" ht="16">
      <c r="A85" s="644">
        <v>5</v>
      </c>
      <c r="B85" s="485"/>
      <c r="C85" s="471" t="s">
        <v>1083</v>
      </c>
      <c r="D85" s="470"/>
      <c r="E85" s="664">
        <f>SatsBilag!B35*(Hovedskema!E8+Hovedskema!E9)</f>
        <v>0</v>
      </c>
      <c r="F85" s="2176">
        <f>SatsBilag!B35*(Hovedskema!F8+Hovedskema!F9)-E85</f>
        <v>0</v>
      </c>
      <c r="G85" s="388"/>
      <c r="H85" s="2165"/>
      <c r="I85" s="2166">
        <f t="shared" si="11"/>
        <v>0</v>
      </c>
    </row>
    <row r="86" spans="1:9" ht="17" thickBot="1">
      <c r="A86" s="644">
        <v>7</v>
      </c>
      <c r="B86" s="485"/>
      <c r="C86" s="467"/>
      <c r="D86" s="427"/>
      <c r="E86" s="665"/>
      <c r="F86" s="2144"/>
      <c r="G86" s="388"/>
      <c r="H86" s="2165"/>
      <c r="I86" s="2166">
        <f t="shared" si="11"/>
        <v>0</v>
      </c>
    </row>
    <row r="87" spans="1:9" ht="16">
      <c r="A87" s="2108" t="str">
        <f>"SUM, "&amp;LOWER(C82)</f>
        <v>SUM, kontingent til skoleforeninger</v>
      </c>
      <c r="B87" s="2109"/>
      <c r="C87" s="2146"/>
      <c r="D87" s="2147">
        <f>SUM(D83:D86)</f>
        <v>0</v>
      </c>
      <c r="E87" s="2147">
        <f t="shared" ref="E87:F87" si="15">SUM(E83:E86)</f>
        <v>8920</v>
      </c>
      <c r="F87" s="2147">
        <f t="shared" si="15"/>
        <v>0</v>
      </c>
      <c r="G87" s="388"/>
      <c r="H87" s="2076"/>
      <c r="I87" s="2167"/>
    </row>
    <row r="88" spans="1:9" ht="17" thickBot="1">
      <c r="A88" s="2071" t="s">
        <v>432</v>
      </c>
      <c r="B88" s="2149" t="str">
        <f>B82</f>
        <v>Kto. nr.</v>
      </c>
      <c r="C88" s="2073" t="s">
        <v>1084</v>
      </c>
      <c r="D88" s="2074">
        <f>budgetår-1</f>
        <v>2024</v>
      </c>
      <c r="E88" s="2075">
        <f>budgetår</f>
        <v>2025</v>
      </c>
      <c r="F88" s="682" t="s">
        <v>932</v>
      </c>
      <c r="G88" s="388"/>
      <c r="H88" s="2076"/>
      <c r="I88" s="2167"/>
    </row>
    <row r="89" spans="1:9" ht="16">
      <c r="A89" s="644">
        <v>1</v>
      </c>
      <c r="B89" s="485"/>
      <c r="C89" s="467" t="str">
        <f>Vik.kas&amp;" kr. pr. elev 5. sep."</f>
        <v>45 kr. pr. elev 5. sep.</v>
      </c>
      <c r="D89" s="427"/>
      <c r="E89" s="664">
        <f>(elevtal_1)*Vik.kas</f>
        <v>0</v>
      </c>
      <c r="F89" s="691">
        <f>Elevtal*Vik.kas-E89</f>
        <v>0</v>
      </c>
      <c r="G89" s="388"/>
      <c r="H89" s="2165"/>
      <c r="I89" s="2166">
        <f t="shared" si="11"/>
        <v>0</v>
      </c>
    </row>
    <row r="90" spans="1:9" ht="17" thickBot="1">
      <c r="A90" s="644">
        <v>2</v>
      </c>
      <c r="B90" s="485"/>
      <c r="C90" s="427"/>
      <c r="D90" s="427"/>
      <c r="E90" s="659"/>
      <c r="F90" s="2144"/>
      <c r="G90" s="388"/>
      <c r="H90" s="2165"/>
      <c r="I90" s="2166">
        <f t="shared" si="11"/>
        <v>0</v>
      </c>
    </row>
    <row r="91" spans="1:9" ht="16">
      <c r="A91" s="2108" t="str">
        <f>"SUM, "&amp;LOWER(C88)</f>
        <v>SUM, bidrag til fordelingssekretariatet</v>
      </c>
      <c r="B91" s="2109"/>
      <c r="C91" s="2146"/>
      <c r="D91" s="2147">
        <f>SUM(D89:D90)</f>
        <v>0</v>
      </c>
      <c r="E91" s="2147">
        <f t="shared" ref="E91:F91" si="16">SUM(E89:E90)</f>
        <v>0</v>
      </c>
      <c r="F91" s="2147">
        <f t="shared" si="16"/>
        <v>0</v>
      </c>
      <c r="G91" s="388"/>
      <c r="H91" s="2076"/>
      <c r="I91" s="2167"/>
    </row>
    <row r="92" spans="1:9" ht="16">
      <c r="A92" s="2071" t="s">
        <v>432</v>
      </c>
      <c r="B92" s="2149" t="str">
        <f>B88</f>
        <v>Kto. nr.</v>
      </c>
      <c r="C92" s="2073" t="s">
        <v>831</v>
      </c>
      <c r="D92" s="2074">
        <f>budgetår-1</f>
        <v>2024</v>
      </c>
      <c r="E92" s="2075">
        <f>budgetår</f>
        <v>2025</v>
      </c>
      <c r="F92" s="682" t="s">
        <v>932</v>
      </c>
      <c r="G92" s="388"/>
      <c r="H92" s="2076"/>
      <c r="I92" s="2167"/>
    </row>
    <row r="93" spans="1:9" ht="16">
      <c r="A93" s="644">
        <v>1</v>
      </c>
      <c r="B93" s="485"/>
      <c r="C93" s="427" t="s">
        <v>1085</v>
      </c>
      <c r="D93" s="427"/>
      <c r="E93" s="659"/>
      <c r="F93" s="2143"/>
      <c r="G93" s="388"/>
      <c r="H93" s="2165"/>
      <c r="I93" s="2166">
        <f t="shared" si="11"/>
        <v>0</v>
      </c>
    </row>
    <row r="94" spans="1:9" ht="16">
      <c r="A94" s="644">
        <v>2</v>
      </c>
      <c r="B94" s="485"/>
      <c r="C94" s="427" t="s">
        <v>951</v>
      </c>
      <c r="D94" s="427"/>
      <c r="E94" s="659"/>
      <c r="F94" s="2143"/>
      <c r="G94" s="388"/>
      <c r="H94" s="2165"/>
      <c r="I94" s="2166">
        <f t="shared" si="11"/>
        <v>0</v>
      </c>
    </row>
    <row r="95" spans="1:9" ht="16">
      <c r="A95" s="644">
        <v>3</v>
      </c>
      <c r="B95" s="485"/>
      <c r="C95" s="427" t="s">
        <v>1086</v>
      </c>
      <c r="D95" s="427"/>
      <c r="E95" s="659"/>
      <c r="F95" s="2143"/>
      <c r="G95" s="388"/>
      <c r="H95" s="2165"/>
      <c r="I95" s="2166">
        <f t="shared" si="11"/>
        <v>0</v>
      </c>
    </row>
    <row r="96" spans="1:9" ht="16">
      <c r="A96" s="644">
        <v>4</v>
      </c>
      <c r="B96" s="485"/>
      <c r="C96" s="427"/>
      <c r="D96" s="427"/>
      <c r="E96" s="659"/>
      <c r="F96" s="2143"/>
      <c r="G96" s="388"/>
      <c r="H96" s="2165"/>
      <c r="I96" s="2166">
        <f t="shared" si="11"/>
        <v>0</v>
      </c>
    </row>
    <row r="97" spans="1:9" ht="16">
      <c r="A97" s="644">
        <v>5</v>
      </c>
      <c r="B97" s="485"/>
      <c r="C97" s="427"/>
      <c r="D97" s="427"/>
      <c r="E97" s="659"/>
      <c r="F97" s="2143"/>
      <c r="G97" s="388"/>
      <c r="H97" s="2165"/>
      <c r="I97" s="2166">
        <f t="shared" si="11"/>
        <v>0</v>
      </c>
    </row>
    <row r="98" spans="1:9" ht="16">
      <c r="A98" s="2108" t="str">
        <f>"SUM, "&amp;LOWER(C92)</f>
        <v>SUM, inventar og udstyr</v>
      </c>
      <c r="B98" s="2096"/>
      <c r="C98" s="2177"/>
      <c r="D98" s="2178">
        <f>SUM(D93:D97)</f>
        <v>0</v>
      </c>
      <c r="E98" s="2178">
        <f t="shared" ref="E98:F98" si="17">SUM(E93:E97)</f>
        <v>0</v>
      </c>
      <c r="F98" s="2178">
        <f t="shared" si="17"/>
        <v>0</v>
      </c>
      <c r="G98" s="388"/>
      <c r="H98" s="2076"/>
      <c r="I98" s="2167"/>
    </row>
    <row r="99" spans="1:9" ht="16" customHeight="1">
      <c r="A99" s="2071" t="s">
        <v>432</v>
      </c>
      <c r="B99" s="2149" t="str">
        <f>B92</f>
        <v>Kto. nr.</v>
      </c>
      <c r="C99" s="2073" t="s">
        <v>841</v>
      </c>
      <c r="D99" s="2074">
        <f>budgetår-1</f>
        <v>2024</v>
      </c>
      <c r="E99" s="2075">
        <f>budgetår</f>
        <v>2025</v>
      </c>
      <c r="F99" s="682" t="s">
        <v>932</v>
      </c>
      <c r="G99" s="388"/>
      <c r="H99" s="2076"/>
      <c r="I99" s="2167"/>
    </row>
    <row r="100" spans="1:9" ht="16">
      <c r="A100" s="644">
        <v>1</v>
      </c>
      <c r="B100" s="485"/>
      <c r="C100" s="427" t="s">
        <v>1087</v>
      </c>
      <c r="D100" s="427"/>
      <c r="E100" s="659"/>
      <c r="F100" s="2143"/>
      <c r="G100" s="388"/>
      <c r="H100" s="2165"/>
      <c r="I100" s="2166">
        <f t="shared" si="11"/>
        <v>0</v>
      </c>
    </row>
    <row r="101" spans="1:9" ht="16">
      <c r="A101" s="644">
        <v>2</v>
      </c>
      <c r="B101" s="485"/>
      <c r="C101" s="427" t="s">
        <v>845</v>
      </c>
      <c r="D101" s="427"/>
      <c r="E101" s="659"/>
      <c r="F101" s="2143"/>
      <c r="G101" s="388"/>
      <c r="H101" s="2165"/>
      <c r="I101" s="2166">
        <f t="shared" si="11"/>
        <v>0</v>
      </c>
    </row>
    <row r="102" spans="1:9" ht="16">
      <c r="A102" s="644">
        <v>3</v>
      </c>
      <c r="B102" s="485"/>
      <c r="C102" s="427" t="s">
        <v>1088</v>
      </c>
      <c r="D102" s="427"/>
      <c r="E102" s="659"/>
      <c r="F102" s="2143"/>
      <c r="G102" s="388"/>
      <c r="H102" s="2165"/>
      <c r="I102" s="2166">
        <f t="shared" si="11"/>
        <v>0</v>
      </c>
    </row>
    <row r="103" spans="1:9" ht="16">
      <c r="A103" s="644">
        <v>4</v>
      </c>
      <c r="B103" s="485"/>
      <c r="C103" s="427" t="s">
        <v>1089</v>
      </c>
      <c r="D103" s="427"/>
      <c r="E103" s="659"/>
      <c r="F103" s="2143"/>
      <c r="G103" s="388"/>
      <c r="H103" s="2165"/>
      <c r="I103" s="2166">
        <f t="shared" si="11"/>
        <v>0</v>
      </c>
    </row>
    <row r="104" spans="1:9" ht="13" customHeight="1">
      <c r="A104" s="644">
        <v>5</v>
      </c>
      <c r="B104" s="485"/>
      <c r="C104" s="427" t="s">
        <v>1090</v>
      </c>
      <c r="D104" s="427"/>
      <c r="E104" s="659"/>
      <c r="F104" s="2143"/>
      <c r="G104" s="388"/>
      <c r="H104" s="2165"/>
      <c r="I104" s="2166">
        <f t="shared" si="11"/>
        <v>0</v>
      </c>
    </row>
    <row r="105" spans="1:9" ht="16">
      <c r="A105" s="2108" t="str">
        <f>"SUM, "&amp;LOWER(C99)</f>
        <v>SUM, it-omkostninger</v>
      </c>
      <c r="B105" s="2096"/>
      <c r="C105" s="2177"/>
      <c r="D105" s="2178">
        <f>SUM(D100:D104)</f>
        <v>0</v>
      </c>
      <c r="E105" s="2178">
        <f>SUM(E100:E104)</f>
        <v>0</v>
      </c>
      <c r="F105" s="2178">
        <f>SUM(F100:F104)</f>
        <v>0</v>
      </c>
      <c r="G105" s="388"/>
      <c r="H105" s="2076"/>
      <c r="I105" s="2167"/>
    </row>
    <row r="106" spans="1:9" ht="16">
      <c r="A106" s="2071" t="s">
        <v>432</v>
      </c>
      <c r="B106" s="2149" t="str">
        <f>B99</f>
        <v>Kto. nr.</v>
      </c>
      <c r="C106" s="2098" t="s">
        <v>1091</v>
      </c>
      <c r="D106" s="2074">
        <f>budgetår-1</f>
        <v>2024</v>
      </c>
      <c r="E106" s="2075">
        <f>budgetår</f>
        <v>2025</v>
      </c>
      <c r="F106" s="682" t="s">
        <v>932</v>
      </c>
      <c r="G106" s="388"/>
      <c r="H106" s="2076"/>
      <c r="I106" s="2167"/>
    </row>
    <row r="107" spans="1:9" ht="16">
      <c r="A107" s="644">
        <v>1</v>
      </c>
      <c r="B107" s="485"/>
      <c r="C107" s="385" t="s">
        <v>1092</v>
      </c>
      <c r="D107" s="385"/>
      <c r="E107" s="402"/>
      <c r="F107" s="1869"/>
      <c r="G107" s="388"/>
      <c r="H107" s="2165"/>
      <c r="I107" s="2166">
        <f t="shared" si="11"/>
        <v>0</v>
      </c>
    </row>
    <row r="108" spans="1:9" ht="16">
      <c r="A108" s="644">
        <v>2</v>
      </c>
      <c r="B108" s="485"/>
      <c r="C108" s="385"/>
      <c r="D108" s="385"/>
      <c r="E108" s="402"/>
      <c r="F108" s="1869"/>
      <c r="G108" s="388"/>
      <c r="H108" s="2165"/>
      <c r="I108" s="2166">
        <f t="shared" si="11"/>
        <v>0</v>
      </c>
    </row>
    <row r="109" spans="1:9" ht="16">
      <c r="A109" s="2108" t="str">
        <f>"SUM, "&amp;LOWER(C106)</f>
        <v>SUM, tab, debitorer</v>
      </c>
      <c r="B109" s="2096"/>
      <c r="C109" s="2169"/>
      <c r="D109" s="2067">
        <f>SUM(D107:D108)</f>
        <v>0</v>
      </c>
      <c r="E109" s="2067">
        <f t="shared" ref="E109:F109" si="18">SUM(E107:E108)</f>
        <v>0</v>
      </c>
      <c r="F109" s="2067">
        <f t="shared" si="18"/>
        <v>0</v>
      </c>
      <c r="G109" s="388"/>
      <c r="H109" s="2076"/>
      <c r="I109" s="2167"/>
    </row>
    <row r="110" spans="1:9" ht="16">
      <c r="A110" s="2071" t="s">
        <v>432</v>
      </c>
      <c r="B110" s="2149" t="str">
        <f>B106</f>
        <v>Kto. nr.</v>
      </c>
      <c r="C110" s="2073" t="s">
        <v>1093</v>
      </c>
      <c r="D110" s="2074">
        <f>budgetår-1</f>
        <v>2024</v>
      </c>
      <c r="E110" s="2075">
        <f>budgetår</f>
        <v>2025</v>
      </c>
      <c r="F110" s="682" t="s">
        <v>932</v>
      </c>
      <c r="G110" s="388"/>
      <c r="H110" s="2076"/>
      <c r="I110" s="2167"/>
    </row>
    <row r="111" spans="1:9" ht="16">
      <c r="A111" s="644">
        <v>1</v>
      </c>
      <c r="B111" s="485"/>
      <c r="C111" s="384"/>
      <c r="D111" s="430"/>
      <c r="E111" s="660"/>
      <c r="F111" s="1870"/>
      <c r="G111" s="388"/>
      <c r="H111" s="2165"/>
      <c r="I111" s="2166">
        <f t="shared" si="11"/>
        <v>0</v>
      </c>
    </row>
    <row r="112" spans="1:9" ht="16">
      <c r="A112" s="644">
        <v>2</v>
      </c>
      <c r="B112" s="485"/>
      <c r="C112" s="384"/>
      <c r="D112" s="430"/>
      <c r="E112" s="431"/>
      <c r="F112" s="1870"/>
      <c r="G112" s="388"/>
      <c r="H112" s="2165"/>
      <c r="I112" s="2166">
        <f t="shared" si="11"/>
        <v>0</v>
      </c>
    </row>
    <row r="113" spans="1:9" ht="16">
      <c r="A113" s="2108" t="s">
        <v>1094</v>
      </c>
      <c r="B113" s="2109"/>
      <c r="C113" s="2179"/>
      <c r="D113" s="2147">
        <f>SUM(D111:D112)</f>
        <v>0</v>
      </c>
      <c r="E113" s="2147">
        <f t="shared" ref="E113:F113" si="19">SUM(E111:E112)</f>
        <v>0</v>
      </c>
      <c r="F113" s="2147">
        <f t="shared" si="19"/>
        <v>0</v>
      </c>
      <c r="G113" s="388"/>
      <c r="H113" s="2076"/>
      <c r="I113" s="2167"/>
    </row>
    <row r="114" spans="1:9" ht="16">
      <c r="A114" s="2071" t="s">
        <v>432</v>
      </c>
      <c r="B114" s="2149" t="str">
        <f>B110</f>
        <v>Kto. nr.</v>
      </c>
      <c r="C114" s="2073" t="s">
        <v>851</v>
      </c>
      <c r="D114" s="2074">
        <f>budgetår-1</f>
        <v>2024</v>
      </c>
      <c r="E114" s="2075">
        <f>budgetår</f>
        <v>2025</v>
      </c>
      <c r="F114" s="682" t="s">
        <v>932</v>
      </c>
      <c r="G114" s="388"/>
      <c r="H114" s="2076"/>
      <c r="I114" s="2167"/>
    </row>
    <row r="115" spans="1:9" ht="16">
      <c r="A115" s="644">
        <v>1</v>
      </c>
      <c r="B115" s="485"/>
      <c r="C115" s="427" t="s">
        <v>1095</v>
      </c>
      <c r="D115" s="427"/>
      <c r="E115" s="659"/>
      <c r="F115" s="2143"/>
      <c r="G115" s="388"/>
      <c r="H115" s="2165"/>
      <c r="I115" s="2166">
        <f t="shared" si="11"/>
        <v>0</v>
      </c>
    </row>
    <row r="116" spans="1:9" ht="16">
      <c r="A116" s="644">
        <v>2</v>
      </c>
      <c r="B116" s="485"/>
      <c r="C116" s="427" t="s">
        <v>1096</v>
      </c>
      <c r="D116" s="427"/>
      <c r="E116" s="659"/>
      <c r="F116" s="2143"/>
      <c r="G116" s="388"/>
      <c r="H116" s="2165"/>
      <c r="I116" s="2166">
        <f t="shared" si="11"/>
        <v>0</v>
      </c>
    </row>
    <row r="117" spans="1:9" ht="16">
      <c r="A117" s="644">
        <v>3</v>
      </c>
      <c r="B117" s="485"/>
      <c r="C117" s="427"/>
      <c r="D117" s="427"/>
      <c r="E117" s="659"/>
      <c r="F117" s="2143"/>
      <c r="G117" s="388"/>
      <c r="H117" s="2165"/>
      <c r="I117" s="2166">
        <f t="shared" si="11"/>
        <v>0</v>
      </c>
    </row>
    <row r="118" spans="1:9" ht="16">
      <c r="A118" s="644">
        <v>4</v>
      </c>
      <c r="B118" s="485"/>
      <c r="C118" s="427"/>
      <c r="D118" s="427"/>
      <c r="E118" s="659"/>
      <c r="F118" s="2143"/>
      <c r="G118" s="388"/>
      <c r="H118" s="2165"/>
      <c r="I118" s="2166">
        <f t="shared" si="11"/>
        <v>0</v>
      </c>
    </row>
    <row r="119" spans="1:9" ht="16">
      <c r="A119" s="644">
        <v>5</v>
      </c>
      <c r="B119" s="485"/>
      <c r="C119" s="427"/>
      <c r="D119" s="427"/>
      <c r="E119" s="659"/>
      <c r="F119" s="2143"/>
      <c r="G119" s="388"/>
      <c r="H119" s="2165"/>
      <c r="I119" s="2166">
        <f t="shared" si="11"/>
        <v>0</v>
      </c>
    </row>
    <row r="120" spans="1:9" ht="16">
      <c r="A120" s="644">
        <v>6</v>
      </c>
      <c r="B120" s="485"/>
      <c r="C120" s="427"/>
      <c r="D120" s="427"/>
      <c r="E120" s="659"/>
      <c r="F120" s="2143"/>
      <c r="G120" s="388"/>
      <c r="H120" s="2165"/>
      <c r="I120" s="2166">
        <f t="shared" si="11"/>
        <v>0</v>
      </c>
    </row>
    <row r="121" spans="1:9" ht="17" thickBot="1">
      <c r="A121" s="644">
        <v>7</v>
      </c>
      <c r="B121" s="494"/>
      <c r="C121" s="472"/>
      <c r="D121" s="427"/>
      <c r="E121" s="659"/>
      <c r="F121" s="2144"/>
      <c r="G121" s="388"/>
      <c r="H121" s="2165"/>
      <c r="I121" s="2166">
        <f t="shared" si="11"/>
        <v>0</v>
      </c>
    </row>
    <row r="122" spans="1:9" ht="17" thickBot="1">
      <c r="A122" s="2095" t="str">
        <f>"SUM, "&amp;LOWER(C114)</f>
        <v>SUM, øvrige omkostninger</v>
      </c>
      <c r="B122" s="2096"/>
      <c r="C122" s="2177"/>
      <c r="D122" s="2178">
        <f>SUM(D115:D121)</f>
        <v>0</v>
      </c>
      <c r="E122" s="2178">
        <f t="shared" ref="E122:F122" si="20">SUM(E115:E121)</f>
        <v>0</v>
      </c>
      <c r="F122" s="2178">
        <f t="shared" si="20"/>
        <v>0</v>
      </c>
      <c r="G122" s="388"/>
      <c r="H122" s="3265" t="s">
        <v>1097</v>
      </c>
      <c r="I122" s="3259">
        <f>SUM(I4:I121)</f>
        <v>0</v>
      </c>
    </row>
    <row r="123" spans="1:9" ht="17" thickBot="1">
      <c r="A123" s="2180" t="str">
        <f>"Administration i alt til hovedskema lin. 63"</f>
        <v>Administration i alt til hovedskema lin. 63</v>
      </c>
      <c r="B123" s="2181"/>
      <c r="C123" s="2182"/>
      <c r="D123" s="2183"/>
      <c r="E123" s="974"/>
      <c r="F123" s="2184">
        <f>E122+E109+E105+E98+E91+E87+E81+E75+E71+E62+E58+E51+E43+E35+E31+E23+E15+E11+E6</f>
        <v>8920</v>
      </c>
      <c r="G123" s="388"/>
      <c r="H123" s="3266"/>
      <c r="I123" s="3260"/>
    </row>
    <row r="124" spans="1:9" ht="20" customHeight="1">
      <c r="A124" s="670"/>
      <c r="B124" s="671" t="str">
        <f>"Ændringer administrationsudgifter"&amp;E114+1&amp;" total i forhold til "&amp;E114&amp;":"</f>
        <v>Ændringer administrationsudgifter2026 total i forhold til 2025:</v>
      </c>
      <c r="C124" s="672"/>
      <c r="D124" s="672"/>
      <c r="E124" s="672"/>
      <c r="F124" s="672">
        <f>SUM(F115:F121)+SUM(F107:F108)+SUM(F100:F104)+SUM(F93:F97)+SUM(F89:F90)+SUM(F83:F86)+SUM(F77:F80)+SUM(F73:F74)+SUM(F64:F70)+SUM(F60:F61)+SUM(F53:F57)+SUM(F45:F50)+SUM(F37:F42)+SUM(F33:F34)+SUM(F25:F30)+SUM(F17:F22)+SUM(F13:F14)+SUM(F8:F10)+SUM(F4:F5)</f>
        <v>0</v>
      </c>
      <c r="G124" s="388"/>
      <c r="H124" s="388"/>
      <c r="I124" s="388"/>
    </row>
    <row r="125" spans="1:9" ht="22" customHeight="1">
      <c r="A125" s="673"/>
      <c r="B125" s="671" t="str">
        <f>"Ændringer afskrivninger "&amp;E114+1&amp;" total i forhold til "&amp;E114&amp;":"</f>
        <v>Ændringer afskrivninger 2026 total i forhold til 2025:</v>
      </c>
      <c r="C125" s="651"/>
      <c r="D125" s="651"/>
      <c r="E125" s="651"/>
      <c r="F125" s="651">
        <f>SUM(F111:F112)</f>
        <v>0</v>
      </c>
      <c r="G125" s="388"/>
      <c r="H125" s="388"/>
      <c r="I125" s="388"/>
    </row>
    <row r="126" spans="1:9" ht="17" thickBot="1">
      <c r="A126" s="419"/>
      <c r="B126" s="473"/>
      <c r="C126" s="388"/>
      <c r="D126" s="388"/>
      <c r="E126" s="388"/>
      <c r="F126" s="388"/>
      <c r="G126" s="388"/>
      <c r="H126" s="388"/>
      <c r="I126" s="388"/>
    </row>
    <row r="127" spans="1:9" ht="17" thickBot="1">
      <c r="A127" s="474"/>
      <c r="B127" s="475"/>
      <c r="C127" s="388"/>
      <c r="D127" s="388"/>
      <c r="E127" s="388"/>
      <c r="F127" s="388"/>
      <c r="G127" s="388"/>
      <c r="H127" s="3267" t="s">
        <v>1098</v>
      </c>
      <c r="I127" s="3268"/>
    </row>
    <row r="128" spans="1:9" ht="16">
      <c r="A128" s="2185" t="s">
        <v>432</v>
      </c>
      <c r="B128" s="2186" t="str">
        <f>B114</f>
        <v>Kto. nr.</v>
      </c>
      <c r="C128" s="2187" t="s">
        <v>1099</v>
      </c>
      <c r="D128" s="2088">
        <f>budgetår-1</f>
        <v>2024</v>
      </c>
      <c r="E128" s="2089">
        <f>budgetår</f>
        <v>2025</v>
      </c>
      <c r="F128" s="2164" t="s">
        <v>932</v>
      </c>
      <c r="G128" s="388"/>
      <c r="H128" s="476" t="s">
        <v>981</v>
      </c>
      <c r="I128" s="477" t="s">
        <v>675</v>
      </c>
    </row>
    <row r="129" spans="1:9" ht="16">
      <c r="A129" s="2188">
        <v>1</v>
      </c>
      <c r="B129" s="2189"/>
      <c r="C129" s="2190" t="s">
        <v>1100</v>
      </c>
      <c r="D129" s="2078"/>
      <c r="E129" s="2079"/>
      <c r="F129" s="1869"/>
      <c r="G129" s="388"/>
      <c r="H129" s="2165"/>
      <c r="I129" s="2166">
        <f>E129*H129</f>
        <v>0</v>
      </c>
    </row>
    <row r="130" spans="1:9" ht="16">
      <c r="A130" s="668">
        <v>2</v>
      </c>
      <c r="B130" s="495"/>
      <c r="C130" s="384" t="s">
        <v>1101</v>
      </c>
      <c r="D130" s="385"/>
      <c r="E130" s="402"/>
      <c r="F130" s="1869"/>
      <c r="G130" s="388"/>
      <c r="H130" s="2165"/>
      <c r="I130" s="2166">
        <f t="shared" ref="I130:I132" si="21">E130*H130</f>
        <v>0</v>
      </c>
    </row>
    <row r="131" spans="1:9" ht="16">
      <c r="A131" s="668">
        <v>3</v>
      </c>
      <c r="B131" s="495"/>
      <c r="C131" s="384" t="s">
        <v>289</v>
      </c>
      <c r="D131" s="385"/>
      <c r="E131" s="402"/>
      <c r="F131" s="1869"/>
      <c r="G131" s="388"/>
      <c r="H131" s="2165"/>
      <c r="I131" s="2166">
        <f t="shared" si="21"/>
        <v>0</v>
      </c>
    </row>
    <row r="132" spans="1:9" ht="17" thickBot="1">
      <c r="A132" s="669">
        <v>4</v>
      </c>
      <c r="B132" s="496"/>
      <c r="C132" s="478" t="s">
        <v>1102</v>
      </c>
      <c r="D132" s="416"/>
      <c r="E132" s="415"/>
      <c r="F132" s="1869"/>
      <c r="G132" s="388"/>
      <c r="H132" s="2165"/>
      <c r="I132" s="2166">
        <f t="shared" si="21"/>
        <v>0</v>
      </c>
    </row>
    <row r="133" spans="1:9" ht="17" thickBot="1">
      <c r="A133" s="2191" t="s">
        <v>412</v>
      </c>
      <c r="B133" s="2192"/>
      <c r="C133" s="2193" t="s">
        <v>1099</v>
      </c>
      <c r="D133" s="2194">
        <f>SUM(D129:D132)</f>
        <v>0</v>
      </c>
      <c r="E133" s="2194">
        <f t="shared" ref="E133:F133" si="22">SUM(E129:E132)</f>
        <v>0</v>
      </c>
      <c r="F133" s="2194">
        <f t="shared" si="22"/>
        <v>0</v>
      </c>
      <c r="G133" s="388"/>
      <c r="H133" s="2195" t="s">
        <v>1103</v>
      </c>
      <c r="I133" s="2196">
        <f>SUM(I129:I132)</f>
        <v>0</v>
      </c>
    </row>
    <row r="134" spans="1:9" ht="16">
      <c r="A134" s="2197" t="s">
        <v>432</v>
      </c>
      <c r="B134" s="2198" t="str">
        <f>B128</f>
        <v>Kto. nr.</v>
      </c>
      <c r="C134" s="2199" t="s">
        <v>1104</v>
      </c>
      <c r="D134" s="2200">
        <f>budgetår-1</f>
        <v>2024</v>
      </c>
      <c r="E134" s="2201">
        <f>budgetår</f>
        <v>2025</v>
      </c>
      <c r="F134" s="2202" t="s">
        <v>932</v>
      </c>
      <c r="G134" s="388"/>
      <c r="H134" s="2076"/>
      <c r="I134" s="2167"/>
    </row>
    <row r="135" spans="1:9" ht="16">
      <c r="A135" s="2203">
        <v>2</v>
      </c>
      <c r="B135" s="2204"/>
      <c r="C135" s="2205" t="s">
        <v>1105</v>
      </c>
      <c r="D135" s="2078"/>
      <c r="E135" s="2206">
        <f>'Prio-renter'!K6</f>
        <v>0</v>
      </c>
      <c r="F135" s="2171">
        <f>'Prio-renter'!M6</f>
        <v>0</v>
      </c>
      <c r="G135" s="388"/>
      <c r="H135" s="2165"/>
      <c r="I135" s="2166">
        <f>E135*H135</f>
        <v>0</v>
      </c>
    </row>
    <row r="136" spans="1:9" ht="16">
      <c r="A136" s="644">
        <v>3</v>
      </c>
      <c r="B136" s="485"/>
      <c r="C136" s="450" t="s">
        <v>1106</v>
      </c>
      <c r="D136" s="479"/>
      <c r="E136" s="662">
        <f>'Prio-renter'!K11</f>
        <v>0</v>
      </c>
      <c r="F136" s="2171">
        <f>'Prio-renter'!M11</f>
        <v>0</v>
      </c>
      <c r="G136" s="388"/>
      <c r="H136" s="2165"/>
      <c r="I136" s="2166">
        <f>E136*H136</f>
        <v>0</v>
      </c>
    </row>
    <row r="137" spans="1:9" ht="16">
      <c r="A137" s="644">
        <v>4</v>
      </c>
      <c r="B137" s="485"/>
      <c r="C137" s="450" t="s">
        <v>1107</v>
      </c>
      <c r="D137" s="450"/>
      <c r="E137" s="662">
        <f>'Prio-renter'!K17</f>
        <v>0</v>
      </c>
      <c r="F137" s="2171">
        <f>'Prio-renter'!M17</f>
        <v>0</v>
      </c>
      <c r="G137" s="388"/>
      <c r="H137" s="2165"/>
      <c r="I137" s="2166">
        <f>E137*H137</f>
        <v>0</v>
      </c>
    </row>
    <row r="138" spans="1:9" ht="16">
      <c r="A138" s="647">
        <v>5</v>
      </c>
      <c r="B138" s="486"/>
      <c r="C138" s="453" t="s">
        <v>1108</v>
      </c>
      <c r="D138" s="453"/>
      <c r="E138" s="663">
        <f>'Prio-renter'!K23</f>
        <v>0</v>
      </c>
      <c r="F138" s="2171">
        <f>'Prio-renter'!M23</f>
        <v>0</v>
      </c>
      <c r="G138" s="388"/>
      <c r="H138" s="2165"/>
      <c r="I138" s="2166">
        <f>E138*H138</f>
        <v>0</v>
      </c>
    </row>
    <row r="139" spans="1:9" ht="16">
      <c r="A139" s="2207" t="str">
        <f>"SUM, "&amp;LOWER(C134)&amp;" "</f>
        <v xml:space="preserve">SUM, prioritetsrenter </v>
      </c>
      <c r="B139" s="2208"/>
      <c r="C139" s="2209"/>
      <c r="D139" s="2067">
        <f>SUM(D135:D138)</f>
        <v>0</v>
      </c>
      <c r="E139" s="2067">
        <f t="shared" ref="E139:F139" si="23">SUM(E135:E138)</f>
        <v>0</v>
      </c>
      <c r="F139" s="2067">
        <f t="shared" si="23"/>
        <v>0</v>
      </c>
      <c r="G139" s="388"/>
      <c r="H139" s="2195" t="s">
        <v>1103</v>
      </c>
      <c r="I139" s="2196">
        <f>SUM(I135:I138)</f>
        <v>0</v>
      </c>
    </row>
    <row r="140" spans="1:9" ht="16">
      <c r="A140" s="2071" t="s">
        <v>432</v>
      </c>
      <c r="B140" s="2210" t="str">
        <f>B134</f>
        <v>Kto. nr.</v>
      </c>
      <c r="C140" s="2098" t="s">
        <v>1109</v>
      </c>
      <c r="D140" s="2074">
        <f>budgetår-1</f>
        <v>2024</v>
      </c>
      <c r="E140" s="2075">
        <f>budgetår</f>
        <v>2025</v>
      </c>
      <c r="F140" s="2211" t="s">
        <v>932</v>
      </c>
      <c r="G140" s="388"/>
      <c r="H140" s="2076"/>
      <c r="I140" s="2167">
        <f>E140*H140</f>
        <v>0</v>
      </c>
    </row>
    <row r="141" spans="1:9" ht="16">
      <c r="A141" s="2203">
        <v>1</v>
      </c>
      <c r="B141" s="2204"/>
      <c r="C141" s="2212"/>
      <c r="D141" s="2078"/>
      <c r="E141" s="2079"/>
      <c r="F141" s="1869"/>
      <c r="G141" s="388"/>
      <c r="H141" s="2165"/>
      <c r="I141" s="2166">
        <f>E141*H141</f>
        <v>0</v>
      </c>
    </row>
    <row r="142" spans="1:9" ht="16">
      <c r="A142" s="647">
        <v>2</v>
      </c>
      <c r="B142" s="486"/>
      <c r="C142" s="480" t="s">
        <v>1110</v>
      </c>
      <c r="D142" s="480"/>
      <c r="E142" s="636"/>
      <c r="F142" s="1869"/>
      <c r="G142" s="388"/>
      <c r="H142" s="2165"/>
      <c r="I142" s="2166">
        <f>E142*H142</f>
        <v>0</v>
      </c>
    </row>
    <row r="143" spans="1:9" ht="16">
      <c r="A143" s="2207" t="str">
        <f>"SUM, "&amp;LOWER(C140)&amp;" "</f>
        <v xml:space="preserve">SUM, kassekredit </v>
      </c>
      <c r="B143" s="2213"/>
      <c r="C143" s="2214"/>
      <c r="D143" s="2067">
        <f>SUM(D141:D142)</f>
        <v>0</v>
      </c>
      <c r="E143" s="2067">
        <f t="shared" ref="E143:F143" si="24">SUM(E141:E142)</f>
        <v>0</v>
      </c>
      <c r="F143" s="2067">
        <f t="shared" si="24"/>
        <v>0</v>
      </c>
      <c r="G143" s="388"/>
      <c r="H143" s="2076"/>
      <c r="I143" s="2167"/>
    </row>
    <row r="144" spans="1:9" ht="16">
      <c r="A144" s="2071" t="s">
        <v>432</v>
      </c>
      <c r="B144" s="2210" t="str">
        <f>B140</f>
        <v>Kto. nr.</v>
      </c>
      <c r="C144" s="2073" t="s">
        <v>1111</v>
      </c>
      <c r="D144" s="2074">
        <f>budgetår-1</f>
        <v>2024</v>
      </c>
      <c r="E144" s="2075">
        <f>budgetår</f>
        <v>2025</v>
      </c>
      <c r="F144" s="2211" t="s">
        <v>932</v>
      </c>
      <c r="G144" s="388"/>
      <c r="H144" s="2076"/>
      <c r="I144" s="2167"/>
    </row>
    <row r="145" spans="1:9" ht="16">
      <c r="A145" s="2203">
        <v>1</v>
      </c>
      <c r="B145" s="2204"/>
      <c r="C145" s="2078" t="s">
        <v>1112</v>
      </c>
      <c r="D145" s="2078"/>
      <c r="E145" s="2079"/>
      <c r="F145" s="1869"/>
      <c r="G145" s="388"/>
      <c r="H145" s="2165"/>
      <c r="I145" s="2166">
        <f>E145*H145</f>
        <v>0</v>
      </c>
    </row>
    <row r="146" spans="1:9" ht="16">
      <c r="A146" s="647">
        <v>2</v>
      </c>
      <c r="B146" s="486"/>
      <c r="C146" s="480" t="s">
        <v>1113</v>
      </c>
      <c r="D146" s="480"/>
      <c r="E146" s="636"/>
      <c r="F146" s="1869"/>
      <c r="G146" s="388"/>
      <c r="H146" s="2165"/>
      <c r="I146" s="2166">
        <f>E146*H146</f>
        <v>0</v>
      </c>
    </row>
    <row r="147" spans="1:9" ht="16">
      <c r="A147" s="2207" t="str">
        <f>"SUM, "&amp;LOWER(C144)&amp;" "</f>
        <v xml:space="preserve">SUM, morarenter m.v. </v>
      </c>
      <c r="B147" s="2213"/>
      <c r="C147" s="2214"/>
      <c r="D147" s="2067">
        <f>SUM(D145:D146)</f>
        <v>0</v>
      </c>
      <c r="E147" s="2067">
        <f t="shared" ref="E147:F147" si="25">SUM(E145:E146)</f>
        <v>0</v>
      </c>
      <c r="F147" s="2067">
        <f t="shared" si="25"/>
        <v>0</v>
      </c>
      <c r="G147" s="388"/>
      <c r="H147" s="2076"/>
      <c r="I147" s="2167"/>
    </row>
    <row r="148" spans="1:9" ht="16">
      <c r="A148" s="2071" t="s">
        <v>432</v>
      </c>
      <c r="B148" s="2210" t="str">
        <f>B144</f>
        <v>Kto. nr.</v>
      </c>
      <c r="C148" s="2073" t="s">
        <v>1114</v>
      </c>
      <c r="D148" s="2074">
        <f>budgetår-1</f>
        <v>2024</v>
      </c>
      <c r="E148" s="2075">
        <f>budgetår</f>
        <v>2025</v>
      </c>
      <c r="F148" s="2211" t="s">
        <v>932</v>
      </c>
      <c r="G148" s="388"/>
      <c r="H148" s="2076"/>
      <c r="I148" s="2167"/>
    </row>
    <row r="149" spans="1:9" ht="16">
      <c r="A149" s="2203">
        <v>1</v>
      </c>
      <c r="B149" s="2204"/>
      <c r="C149" s="2078" t="s">
        <v>321</v>
      </c>
      <c r="D149" s="2078"/>
      <c r="E149" s="2079"/>
      <c r="F149" s="1869"/>
      <c r="G149" s="388"/>
      <c r="H149" s="2215"/>
      <c r="I149" s="2166">
        <f>E149*H149</f>
        <v>0</v>
      </c>
    </row>
    <row r="150" spans="1:9" ht="17" thickBot="1">
      <c r="A150" s="647">
        <v>2</v>
      </c>
      <c r="B150" s="486"/>
      <c r="C150" s="480" t="s">
        <v>1115</v>
      </c>
      <c r="D150" s="480"/>
      <c r="E150" s="636"/>
      <c r="F150" s="2091"/>
      <c r="G150" s="388"/>
      <c r="H150" s="2215"/>
      <c r="I150" s="2166">
        <f>E150*H150</f>
        <v>0</v>
      </c>
    </row>
    <row r="151" spans="1:9" ht="17" thickBot="1">
      <c r="A151" s="2216" t="str">
        <f>"SUM, "&amp;LOWER(C148)&amp;" "</f>
        <v xml:space="preserve">SUM, kurstab </v>
      </c>
      <c r="B151" s="2213"/>
      <c r="C151" s="2214"/>
      <c r="D151" s="2067">
        <f>SUM(D149:D150)</f>
        <v>0</v>
      </c>
      <c r="E151" s="2067">
        <f t="shared" ref="E151:F151" si="26">SUM(E149:E150)</f>
        <v>0</v>
      </c>
      <c r="F151" s="2067">
        <f t="shared" si="26"/>
        <v>0</v>
      </c>
      <c r="G151" s="388"/>
      <c r="H151" s="3257" t="s">
        <v>1116</v>
      </c>
      <c r="I151" s="3259">
        <f>SUM(I141:I150)</f>
        <v>0</v>
      </c>
    </row>
    <row r="152" spans="1:9" ht="17" thickBot="1">
      <c r="A152" s="2217"/>
      <c r="B152" s="2218"/>
      <c r="C152" s="2219"/>
      <c r="D152" s="2219"/>
      <c r="E152" s="2220"/>
      <c r="F152" s="2221">
        <f>F139+F143+F147+F151</f>
        <v>0</v>
      </c>
      <c r="G152" s="388"/>
      <c r="H152" s="3258"/>
      <c r="I152" s="3260"/>
    </row>
    <row r="153" spans="1:9" ht="16">
      <c r="A153" s="407"/>
      <c r="B153" s="463"/>
      <c r="C153" s="388"/>
      <c r="D153" s="388"/>
      <c r="E153" s="388"/>
      <c r="F153" s="388"/>
      <c r="G153" s="388"/>
      <c r="H153" s="388"/>
      <c r="I153" s="388"/>
    </row>
    <row r="154" spans="1:9" ht="17" thickBot="1">
      <c r="A154" s="474"/>
      <c r="B154" s="475"/>
      <c r="C154" s="388"/>
      <c r="D154" s="388"/>
      <c r="E154" s="388"/>
      <c r="F154" s="388"/>
      <c r="G154" s="388"/>
      <c r="H154" s="388"/>
      <c r="I154" s="388"/>
    </row>
    <row r="155" spans="1:9" ht="16">
      <c r="A155" s="2185" t="s">
        <v>432</v>
      </c>
      <c r="B155" s="2222" t="str">
        <f>B148</f>
        <v>Kto. nr.</v>
      </c>
      <c r="C155" s="2223" t="s">
        <v>1117</v>
      </c>
      <c r="D155" s="2088">
        <f>budgetår-1</f>
        <v>2024</v>
      </c>
      <c r="E155" s="2089">
        <f>budgetår</f>
        <v>2025</v>
      </c>
      <c r="F155" s="2224" t="s">
        <v>932</v>
      </c>
      <c r="G155" s="388"/>
      <c r="H155" s="388"/>
      <c r="I155" s="388"/>
    </row>
    <row r="156" spans="1:9" ht="16">
      <c r="A156" s="2188">
        <v>1</v>
      </c>
      <c r="B156" s="2189"/>
      <c r="C156" s="2190"/>
      <c r="D156" s="2078"/>
      <c r="E156" s="2079"/>
      <c r="F156" s="1869"/>
      <c r="G156" s="388"/>
      <c r="H156" s="388"/>
      <c r="I156" s="388"/>
    </row>
    <row r="157" spans="1:9" ht="17" thickBot="1">
      <c r="A157" s="669">
        <v>2</v>
      </c>
      <c r="B157" s="496"/>
      <c r="C157" s="478"/>
      <c r="D157" s="416"/>
      <c r="E157" s="415"/>
      <c r="F157" s="1869"/>
      <c r="G157" s="388"/>
      <c r="H157" s="388"/>
      <c r="I157" s="388"/>
    </row>
    <row r="158" spans="1:9" ht="17" thickBot="1">
      <c r="A158" s="2225" t="str">
        <f>"SUM, "&amp;LOWER(C155)&amp;" . "</f>
        <v xml:space="preserve">SUM, særlige indtægter . </v>
      </c>
      <c r="B158" s="2226"/>
      <c r="C158" s="2227"/>
      <c r="D158" s="2228">
        <f>SUM(D156:D157)</f>
        <v>0</v>
      </c>
      <c r="E158" s="2228">
        <f t="shared" ref="E158:F158" si="27">SUM(E156:E157)</f>
        <v>0</v>
      </c>
      <c r="F158" s="2228">
        <f t="shared" si="27"/>
        <v>0</v>
      </c>
      <c r="G158" s="388"/>
      <c r="H158" s="388"/>
      <c r="I158" s="388"/>
    </row>
    <row r="159" spans="1:9" ht="15" customHeight="1" thickBot="1">
      <c r="A159" s="388"/>
      <c r="B159" s="463"/>
      <c r="C159" s="388"/>
      <c r="D159" s="388"/>
      <c r="E159" s="388"/>
      <c r="F159" s="683"/>
      <c r="G159" s="388"/>
      <c r="H159" s="388"/>
      <c r="I159" s="388"/>
    </row>
    <row r="160" spans="1:9" ht="16">
      <c r="A160" s="2185" t="s">
        <v>432</v>
      </c>
      <c r="B160" s="2222" t="str">
        <f>B155</f>
        <v>Kto. nr.</v>
      </c>
      <c r="C160" s="2223" t="s">
        <v>1118</v>
      </c>
      <c r="D160" s="2088">
        <f>budgetår-1</f>
        <v>2024</v>
      </c>
      <c r="E160" s="2229">
        <f>budgetår</f>
        <v>2025</v>
      </c>
      <c r="F160" s="2164" t="s">
        <v>932</v>
      </c>
      <c r="G160" s="388"/>
      <c r="H160" s="388"/>
      <c r="I160" s="388"/>
    </row>
    <row r="161" spans="1:9" ht="16">
      <c r="A161" s="2188">
        <v>1</v>
      </c>
      <c r="B161" s="2189"/>
      <c r="C161" s="2190"/>
      <c r="D161" s="2078"/>
      <c r="E161" s="2079"/>
      <c r="F161" s="1869"/>
      <c r="G161" s="388"/>
      <c r="H161" s="388"/>
      <c r="I161" s="388"/>
    </row>
    <row r="162" spans="1:9" ht="17" thickBot="1">
      <c r="A162" s="661">
        <v>4</v>
      </c>
      <c r="B162" s="497"/>
      <c r="C162" s="472"/>
      <c r="D162" s="480"/>
      <c r="E162" s="636"/>
      <c r="F162" s="2091"/>
      <c r="G162" s="388"/>
      <c r="H162" s="388"/>
      <c r="I162" s="388"/>
    </row>
    <row r="163" spans="1:9" ht="17" thickBot="1">
      <c r="A163" s="2230" t="str">
        <f>"SUM, "&amp;LOWER(C160)&amp;". "</f>
        <v xml:space="preserve">SUM, særlige udgifter. </v>
      </c>
      <c r="B163" s="944"/>
      <c r="C163" s="975"/>
      <c r="D163" s="976">
        <f>SUM(D161:D162)</f>
        <v>0</v>
      </c>
      <c r="E163" s="976">
        <f t="shared" ref="E163:F163" si="28">SUM(E161:E162)</f>
        <v>0</v>
      </c>
      <c r="F163" s="976">
        <f t="shared" si="28"/>
        <v>0</v>
      </c>
      <c r="G163" s="388"/>
      <c r="H163" s="388"/>
      <c r="I163" s="388"/>
    </row>
    <row r="164" spans="1:9" ht="16">
      <c r="A164" s="388"/>
      <c r="B164" s="463"/>
      <c r="C164" s="388"/>
      <c r="D164" s="388"/>
      <c r="E164" s="388"/>
      <c r="F164" s="388"/>
      <c r="G164" s="388"/>
      <c r="H164" s="388"/>
      <c r="I164" s="388"/>
    </row>
    <row r="165" spans="1:9" ht="16">
      <c r="A165" s="407"/>
      <c r="B165" s="463"/>
      <c r="C165" s="388"/>
      <c r="D165" s="388"/>
      <c r="E165" s="388"/>
      <c r="F165" s="388"/>
      <c r="G165" s="388"/>
      <c r="H165" s="388"/>
      <c r="I165" s="388"/>
    </row>
    <row r="166" spans="1:9" ht="16">
      <c r="A166" s="407"/>
      <c r="B166" s="463"/>
      <c r="C166" s="388"/>
      <c r="D166" s="388"/>
      <c r="E166" s="388"/>
      <c r="F166" s="388"/>
      <c r="G166" s="388"/>
      <c r="H166" s="388"/>
      <c r="I166" s="388"/>
    </row>
    <row r="167" spans="1:9" ht="16">
      <c r="A167" s="407"/>
      <c r="B167" s="463"/>
      <c r="C167" s="388"/>
      <c r="D167" s="388"/>
      <c r="E167" s="388"/>
      <c r="F167" s="388"/>
      <c r="G167" s="388"/>
      <c r="H167" s="388"/>
      <c r="I167" s="388"/>
    </row>
    <row r="168" spans="1:9" ht="16">
      <c r="A168" s="407"/>
      <c r="B168" s="463"/>
      <c r="C168" s="388"/>
      <c r="D168" s="388"/>
      <c r="E168" s="388"/>
      <c r="F168" s="388"/>
      <c r="G168" s="388"/>
      <c r="H168" s="388"/>
      <c r="I168" s="388"/>
    </row>
    <row r="169" spans="1:9" ht="16">
      <c r="A169" s="407"/>
      <c r="B169" s="463"/>
      <c r="C169" s="388"/>
      <c r="D169" s="388"/>
      <c r="E169" s="388"/>
      <c r="F169" s="388"/>
      <c r="G169" s="388"/>
      <c r="H169" s="388"/>
      <c r="I169" s="388"/>
    </row>
    <row r="170" spans="1:9" ht="16">
      <c r="A170" s="407"/>
      <c r="B170" s="463"/>
      <c r="C170" s="388"/>
      <c r="D170" s="388"/>
      <c r="E170" s="388"/>
      <c r="F170" s="388"/>
      <c r="G170" s="388"/>
      <c r="H170" s="388"/>
      <c r="I170" s="388"/>
    </row>
    <row r="171" spans="1:9" ht="16">
      <c r="A171" s="407"/>
      <c r="B171" s="463"/>
      <c r="C171" s="388"/>
      <c r="D171" s="388"/>
      <c r="E171" s="388"/>
      <c r="F171" s="388"/>
      <c r="G171" s="388"/>
      <c r="H171" s="388"/>
      <c r="I171" s="388"/>
    </row>
    <row r="172" spans="1:9" ht="16">
      <c r="A172" s="407"/>
      <c r="B172" s="463"/>
      <c r="C172" s="388"/>
      <c r="D172" s="388"/>
      <c r="E172" s="388"/>
      <c r="F172" s="388"/>
      <c r="G172" s="388"/>
      <c r="H172" s="388"/>
      <c r="I172" s="388"/>
    </row>
    <row r="173" spans="1:9" ht="16">
      <c r="A173" s="407"/>
      <c r="B173" s="463"/>
      <c r="C173" s="388"/>
      <c r="D173" s="388"/>
      <c r="E173" s="388"/>
      <c r="F173" s="388"/>
      <c r="G173" s="388"/>
      <c r="H173" s="388"/>
      <c r="I173" s="388"/>
    </row>
    <row r="174" spans="1:9" ht="16">
      <c r="A174" s="407"/>
      <c r="B174" s="463"/>
      <c r="C174" s="388"/>
      <c r="D174" s="388"/>
      <c r="E174" s="388"/>
      <c r="F174" s="388"/>
      <c r="G174" s="388"/>
      <c r="H174" s="388"/>
      <c r="I174" s="388"/>
    </row>
    <row r="175" spans="1:9" ht="16">
      <c r="A175" s="407"/>
      <c r="B175" s="463"/>
      <c r="C175" s="388"/>
      <c r="D175" s="388"/>
      <c r="E175" s="388"/>
      <c r="F175" s="388"/>
      <c r="G175" s="388"/>
      <c r="H175" s="388"/>
      <c r="I175" s="388"/>
    </row>
    <row r="176" spans="1:9" ht="16">
      <c r="A176" s="407"/>
      <c r="B176" s="463"/>
      <c r="C176" s="388"/>
      <c r="D176" s="388"/>
      <c r="E176" s="388"/>
      <c r="F176" s="388"/>
      <c r="G176" s="388"/>
      <c r="H176" s="388"/>
      <c r="I176" s="388"/>
    </row>
    <row r="177" spans="1:9" ht="16">
      <c r="A177" s="407"/>
      <c r="B177" s="463"/>
      <c r="C177" s="388"/>
      <c r="D177" s="388"/>
      <c r="E177" s="388"/>
      <c r="F177" s="388"/>
      <c r="G177" s="388"/>
      <c r="H177" s="388"/>
      <c r="I177" s="388"/>
    </row>
    <row r="178" spans="1:9" ht="16">
      <c r="A178" s="407"/>
      <c r="B178" s="463"/>
      <c r="C178" s="388"/>
      <c r="D178" s="388"/>
      <c r="E178" s="388"/>
      <c r="F178" s="388"/>
      <c r="G178" s="388"/>
      <c r="H178" s="388"/>
      <c r="I178" s="388"/>
    </row>
    <row r="179" spans="1:9" ht="16">
      <c r="A179" s="407"/>
      <c r="B179" s="463"/>
      <c r="C179" s="388"/>
      <c r="D179" s="388"/>
      <c r="E179" s="388"/>
      <c r="F179" s="388"/>
      <c r="G179" s="388"/>
      <c r="H179" s="388"/>
      <c r="I179" s="388"/>
    </row>
    <row r="180" spans="1:9" ht="16">
      <c r="A180" s="407"/>
      <c r="B180" s="463"/>
      <c r="C180" s="388"/>
      <c r="D180" s="388"/>
      <c r="E180" s="388"/>
      <c r="F180" s="388"/>
      <c r="G180" s="388"/>
      <c r="H180" s="388"/>
      <c r="I180" s="388"/>
    </row>
    <row r="181" spans="1:9" ht="16">
      <c r="A181" s="407"/>
      <c r="B181" s="463"/>
      <c r="C181" s="388"/>
      <c r="D181" s="388"/>
      <c r="E181" s="388"/>
      <c r="F181" s="388"/>
      <c r="G181" s="388"/>
      <c r="H181" s="388"/>
      <c r="I181" s="388"/>
    </row>
    <row r="182" spans="1:9" ht="16">
      <c r="A182" s="407"/>
      <c r="B182" s="463"/>
      <c r="C182" s="388"/>
      <c r="D182" s="388"/>
      <c r="E182" s="388"/>
      <c r="F182" s="388"/>
      <c r="G182" s="388"/>
      <c r="H182" s="388"/>
      <c r="I182" s="388"/>
    </row>
    <row r="183" spans="1:9" ht="16">
      <c r="A183" s="407"/>
      <c r="B183" s="463"/>
      <c r="C183" s="388"/>
      <c r="D183" s="388"/>
      <c r="E183" s="388"/>
      <c r="F183" s="388"/>
      <c r="G183" s="388"/>
      <c r="H183" s="388"/>
      <c r="I183" s="388"/>
    </row>
    <row r="184" spans="1:9" ht="16">
      <c r="A184" s="407"/>
      <c r="B184" s="463"/>
      <c r="C184" s="388"/>
      <c r="D184" s="388"/>
      <c r="E184" s="388"/>
      <c r="F184" s="388"/>
      <c r="G184" s="388"/>
      <c r="H184" s="388"/>
      <c r="I184" s="388"/>
    </row>
    <row r="185" spans="1:9" ht="16">
      <c r="A185" s="407"/>
      <c r="B185" s="463"/>
      <c r="C185" s="388"/>
      <c r="D185" s="388"/>
      <c r="E185" s="388"/>
      <c r="F185" s="388"/>
      <c r="G185" s="388"/>
      <c r="H185" s="388"/>
      <c r="I185" s="388"/>
    </row>
    <row r="186" spans="1:9" ht="16">
      <c r="A186" s="407"/>
      <c r="B186" s="463"/>
      <c r="C186" s="388"/>
      <c r="D186" s="388"/>
      <c r="E186" s="388"/>
      <c r="F186" s="388"/>
      <c r="G186" s="388"/>
      <c r="H186" s="388"/>
      <c r="I186" s="388"/>
    </row>
    <row r="187" spans="1:9" ht="16">
      <c r="A187" s="407"/>
      <c r="B187" s="463"/>
      <c r="C187" s="388"/>
      <c r="D187" s="388"/>
      <c r="E187" s="388"/>
      <c r="F187" s="388"/>
      <c r="G187" s="388"/>
      <c r="H187" s="388"/>
      <c r="I187" s="388"/>
    </row>
    <row r="188" spans="1:9" ht="16">
      <c r="A188" s="407"/>
      <c r="B188" s="463"/>
      <c r="C188" s="388"/>
      <c r="D188" s="388"/>
      <c r="E188" s="388"/>
      <c r="F188" s="388"/>
      <c r="G188" s="388"/>
      <c r="H188" s="388"/>
      <c r="I188" s="388"/>
    </row>
    <row r="189" spans="1:9" ht="16">
      <c r="A189" s="407"/>
      <c r="B189" s="463"/>
      <c r="C189" s="388"/>
      <c r="D189" s="388"/>
      <c r="E189" s="388"/>
      <c r="F189" s="388"/>
      <c r="G189" s="388"/>
      <c r="H189" s="388"/>
      <c r="I189" s="388"/>
    </row>
    <row r="190" spans="1:9" ht="16">
      <c r="A190" s="407"/>
      <c r="B190" s="463"/>
      <c r="C190" s="388"/>
      <c r="D190" s="388"/>
      <c r="E190" s="388"/>
      <c r="F190" s="388"/>
      <c r="G190" s="388"/>
      <c r="H190" s="388"/>
      <c r="I190" s="388"/>
    </row>
    <row r="191" spans="1:9" ht="16">
      <c r="A191" s="407"/>
      <c r="B191" s="463"/>
      <c r="C191" s="388"/>
      <c r="D191" s="388"/>
      <c r="E191" s="388"/>
      <c r="F191" s="388"/>
      <c r="G191" s="388"/>
      <c r="H191" s="388"/>
      <c r="I191" s="388"/>
    </row>
    <row r="192" spans="1:9" ht="16">
      <c r="A192" s="407"/>
      <c r="B192" s="463"/>
      <c r="C192" s="388"/>
      <c r="D192" s="388"/>
      <c r="E192" s="388"/>
      <c r="F192" s="388"/>
      <c r="G192" s="388"/>
      <c r="H192" s="388"/>
      <c r="I192" s="388"/>
    </row>
    <row r="193" spans="1:9" ht="16">
      <c r="A193" s="407"/>
      <c r="B193" s="463"/>
      <c r="C193" s="388"/>
      <c r="D193" s="388"/>
      <c r="E193" s="388"/>
      <c r="F193" s="388"/>
      <c r="G193" s="388"/>
      <c r="H193" s="388"/>
      <c r="I193" s="388"/>
    </row>
    <row r="194" spans="1:9" ht="16">
      <c r="A194" s="407"/>
      <c r="B194" s="463"/>
      <c r="C194" s="388"/>
      <c r="D194" s="388"/>
      <c r="E194" s="388"/>
      <c r="F194" s="388"/>
      <c r="G194" s="388"/>
      <c r="H194" s="388"/>
      <c r="I194" s="388"/>
    </row>
    <row r="195" spans="1:9" ht="16">
      <c r="A195" s="407"/>
      <c r="B195" s="463"/>
      <c r="C195" s="388"/>
      <c r="D195" s="388"/>
      <c r="E195" s="388"/>
      <c r="F195" s="388"/>
      <c r="G195" s="388"/>
      <c r="H195" s="388"/>
      <c r="I195" s="388"/>
    </row>
    <row r="196" spans="1:9" ht="16">
      <c r="A196" s="407"/>
      <c r="B196" s="463"/>
      <c r="C196" s="388"/>
      <c r="D196" s="388"/>
      <c r="E196" s="388"/>
      <c r="F196" s="388"/>
      <c r="G196" s="388"/>
      <c r="H196" s="388"/>
      <c r="I196" s="388"/>
    </row>
    <row r="197" spans="1:9" ht="16">
      <c r="A197" s="407"/>
      <c r="B197" s="463"/>
      <c r="C197" s="388"/>
      <c r="D197" s="388"/>
      <c r="E197" s="388"/>
      <c r="F197" s="388"/>
      <c r="G197" s="388"/>
      <c r="H197" s="388"/>
      <c r="I197" s="388"/>
    </row>
    <row r="198" spans="1:9" ht="16">
      <c r="A198" s="407"/>
      <c r="B198" s="463"/>
      <c r="C198" s="388"/>
      <c r="D198" s="388"/>
      <c r="E198" s="388"/>
      <c r="F198" s="388"/>
      <c r="G198" s="388"/>
      <c r="H198" s="388"/>
      <c r="I198" s="388"/>
    </row>
    <row r="199" spans="1:9" ht="16">
      <c r="A199" s="407"/>
      <c r="B199" s="463"/>
      <c r="C199" s="388"/>
      <c r="D199" s="388"/>
      <c r="E199" s="388"/>
      <c r="F199" s="388"/>
      <c r="G199" s="388"/>
      <c r="H199" s="388"/>
      <c r="I199" s="388"/>
    </row>
    <row r="200" spans="1:9" ht="16">
      <c r="A200" s="407"/>
      <c r="B200" s="463"/>
      <c r="C200" s="388"/>
      <c r="D200" s="388"/>
      <c r="E200" s="388"/>
      <c r="F200" s="388"/>
      <c r="G200" s="388"/>
      <c r="H200" s="388"/>
      <c r="I200" s="388"/>
    </row>
    <row r="201" spans="1:9" ht="16">
      <c r="A201" s="407"/>
      <c r="B201" s="463"/>
      <c r="C201" s="388"/>
      <c r="D201" s="388"/>
      <c r="E201" s="388"/>
      <c r="F201" s="388"/>
      <c r="G201" s="388"/>
      <c r="H201" s="388"/>
      <c r="I201" s="388"/>
    </row>
    <row r="202" spans="1:9" ht="16">
      <c r="A202" s="407"/>
      <c r="B202" s="463"/>
      <c r="C202" s="388"/>
      <c r="D202" s="388"/>
      <c r="E202" s="388"/>
      <c r="F202" s="388"/>
      <c r="G202" s="388"/>
      <c r="H202" s="388"/>
      <c r="I202" s="388"/>
    </row>
    <row r="203" spans="1:9" ht="16">
      <c r="A203" s="407"/>
      <c r="B203" s="463"/>
      <c r="C203" s="388"/>
      <c r="D203" s="388"/>
      <c r="E203" s="388"/>
      <c r="F203" s="388"/>
      <c r="G203" s="388"/>
      <c r="H203" s="388"/>
      <c r="I203" s="388"/>
    </row>
    <row r="204" spans="1:9" ht="16">
      <c r="A204" s="407"/>
      <c r="B204" s="463"/>
      <c r="C204" s="388"/>
      <c r="D204" s="388"/>
      <c r="E204" s="388"/>
      <c r="F204" s="388"/>
      <c r="G204" s="388"/>
      <c r="H204" s="388"/>
      <c r="I204" s="388"/>
    </row>
    <row r="205" spans="1:9" ht="16">
      <c r="A205" s="407"/>
      <c r="B205" s="463"/>
      <c r="C205" s="388"/>
      <c r="D205" s="388"/>
      <c r="E205" s="388"/>
      <c r="F205" s="388"/>
      <c r="G205" s="388"/>
      <c r="H205" s="388"/>
      <c r="I205" s="388"/>
    </row>
    <row r="206" spans="1:9" ht="16">
      <c r="A206" s="407"/>
      <c r="B206" s="463"/>
      <c r="C206" s="388"/>
      <c r="D206" s="388"/>
      <c r="E206" s="388"/>
      <c r="F206" s="388"/>
      <c r="G206" s="388"/>
      <c r="H206" s="388"/>
      <c r="I206" s="388"/>
    </row>
    <row r="207" spans="1:9" ht="16">
      <c r="A207" s="407"/>
      <c r="B207" s="463"/>
      <c r="C207" s="388"/>
      <c r="D207" s="388"/>
      <c r="E207" s="388"/>
      <c r="F207" s="388"/>
      <c r="G207" s="388"/>
      <c r="H207" s="388"/>
      <c r="I207" s="388"/>
    </row>
    <row r="208" spans="1:9" ht="16">
      <c r="A208" s="407"/>
      <c r="B208" s="463"/>
      <c r="C208" s="388"/>
      <c r="D208" s="388"/>
      <c r="E208" s="388"/>
      <c r="F208" s="388"/>
      <c r="G208" s="388"/>
      <c r="H208" s="388"/>
      <c r="I208" s="388"/>
    </row>
    <row r="209" spans="1:9" ht="16">
      <c r="A209" s="407"/>
      <c r="B209" s="463"/>
      <c r="C209" s="388"/>
      <c r="D209" s="388"/>
      <c r="E209" s="388"/>
      <c r="F209" s="388"/>
      <c r="G209" s="388"/>
      <c r="H209" s="388"/>
      <c r="I209" s="388"/>
    </row>
    <row r="210" spans="1:9" ht="16">
      <c r="A210" s="407"/>
      <c r="B210" s="463"/>
      <c r="C210" s="388"/>
      <c r="D210" s="388"/>
      <c r="E210" s="388"/>
      <c r="F210" s="388"/>
      <c r="G210" s="388"/>
      <c r="H210" s="388"/>
      <c r="I210" s="388"/>
    </row>
    <row r="211" spans="1:9" ht="16">
      <c r="A211" s="407"/>
      <c r="B211" s="463"/>
      <c r="C211" s="388"/>
      <c r="D211" s="388"/>
      <c r="E211" s="388"/>
      <c r="F211" s="388"/>
      <c r="G211" s="388"/>
      <c r="H211" s="388"/>
      <c r="I211" s="388"/>
    </row>
    <row r="212" spans="1:9" ht="16">
      <c r="A212" s="407"/>
      <c r="B212" s="463"/>
      <c r="C212" s="388"/>
      <c r="D212" s="388"/>
      <c r="E212" s="388"/>
      <c r="F212" s="388"/>
      <c r="G212" s="388"/>
      <c r="H212" s="388"/>
      <c r="I212" s="388"/>
    </row>
    <row r="213" spans="1:9" ht="16">
      <c r="A213" s="407"/>
      <c r="B213" s="463"/>
      <c r="C213" s="388"/>
      <c r="D213" s="388"/>
      <c r="E213" s="388"/>
      <c r="F213" s="388"/>
      <c r="G213" s="388"/>
      <c r="H213" s="388"/>
      <c r="I213" s="388"/>
    </row>
    <row r="214" spans="1:9" ht="16">
      <c r="A214" s="407"/>
      <c r="B214" s="463"/>
      <c r="C214" s="388"/>
      <c r="D214" s="388"/>
      <c r="E214" s="388"/>
      <c r="F214" s="388"/>
      <c r="G214" s="388"/>
      <c r="H214" s="388"/>
      <c r="I214" s="388"/>
    </row>
    <row r="215" spans="1:9" ht="16">
      <c r="A215" s="407"/>
      <c r="B215" s="463"/>
      <c r="C215" s="388"/>
      <c r="D215" s="388"/>
      <c r="E215" s="388"/>
      <c r="F215" s="388"/>
      <c r="G215" s="388"/>
      <c r="H215" s="388"/>
      <c r="I215" s="388"/>
    </row>
    <row r="216" spans="1:9" ht="16">
      <c r="A216" s="407"/>
      <c r="B216" s="463"/>
      <c r="C216" s="388"/>
      <c r="D216" s="388"/>
      <c r="E216" s="388"/>
      <c r="F216" s="388"/>
      <c r="G216" s="388"/>
      <c r="H216" s="388"/>
      <c r="I216" s="388"/>
    </row>
    <row r="217" spans="1:9" ht="16">
      <c r="A217" s="407"/>
      <c r="B217" s="463"/>
      <c r="C217" s="388"/>
      <c r="D217" s="388"/>
      <c r="E217" s="388"/>
      <c r="F217" s="388"/>
      <c r="G217" s="388"/>
      <c r="H217" s="388"/>
      <c r="I217" s="388"/>
    </row>
    <row r="218" spans="1:9" ht="16">
      <c r="A218" s="407"/>
      <c r="B218" s="463"/>
      <c r="C218" s="388"/>
      <c r="D218" s="388"/>
      <c r="E218" s="388"/>
      <c r="F218" s="388"/>
      <c r="G218" s="388"/>
      <c r="H218" s="388"/>
      <c r="I218" s="388"/>
    </row>
    <row r="219" spans="1:9" ht="16">
      <c r="A219" s="407"/>
      <c r="B219" s="463"/>
      <c r="C219" s="388"/>
      <c r="D219" s="388"/>
      <c r="E219" s="388"/>
      <c r="F219" s="388"/>
      <c r="G219" s="388"/>
      <c r="H219" s="388"/>
      <c r="I219" s="388"/>
    </row>
    <row r="220" spans="1:9" ht="16">
      <c r="A220" s="407"/>
      <c r="B220" s="463"/>
      <c r="C220" s="388"/>
      <c r="D220" s="388"/>
      <c r="E220" s="388"/>
      <c r="F220" s="388"/>
      <c r="G220" s="388"/>
      <c r="H220" s="388"/>
      <c r="I220" s="388"/>
    </row>
    <row r="221" spans="1:9" ht="16">
      <c r="A221" s="407"/>
      <c r="B221" s="463"/>
      <c r="C221" s="388"/>
      <c r="D221" s="388"/>
      <c r="E221" s="388"/>
      <c r="F221" s="388"/>
      <c r="G221" s="388"/>
      <c r="H221" s="388"/>
      <c r="I221" s="388"/>
    </row>
    <row r="222" spans="1:9" ht="16">
      <c r="A222" s="407"/>
      <c r="B222" s="463"/>
      <c r="C222" s="388"/>
      <c r="D222" s="388"/>
      <c r="E222" s="388"/>
      <c r="F222" s="388"/>
      <c r="G222" s="388"/>
      <c r="H222" s="388"/>
      <c r="I222" s="388"/>
    </row>
    <row r="223" spans="1:9" ht="16">
      <c r="A223" s="407"/>
      <c r="B223" s="463"/>
      <c r="C223" s="388"/>
      <c r="D223" s="388"/>
      <c r="E223" s="388"/>
      <c r="F223" s="388"/>
      <c r="G223" s="388"/>
      <c r="H223" s="388"/>
      <c r="I223" s="388"/>
    </row>
    <row r="224" spans="1:9" ht="16">
      <c r="A224" s="407"/>
      <c r="B224" s="463"/>
      <c r="C224" s="388"/>
      <c r="D224" s="388"/>
      <c r="E224" s="388"/>
      <c r="F224" s="388"/>
      <c r="G224" s="388"/>
      <c r="H224" s="388"/>
      <c r="I224" s="388"/>
    </row>
    <row r="225" spans="1:9" ht="16">
      <c r="A225" s="407"/>
      <c r="B225" s="463"/>
      <c r="C225" s="388"/>
      <c r="D225" s="388"/>
      <c r="E225" s="388"/>
      <c r="F225" s="388"/>
      <c r="G225" s="388"/>
      <c r="H225" s="388"/>
      <c r="I225" s="388"/>
    </row>
    <row r="226" spans="1:9" ht="16">
      <c r="A226" s="407"/>
      <c r="B226" s="463"/>
      <c r="C226" s="388"/>
      <c r="D226" s="388"/>
      <c r="E226" s="388"/>
      <c r="F226" s="388"/>
      <c r="G226" s="388"/>
      <c r="H226" s="388"/>
      <c r="I226" s="388"/>
    </row>
    <row r="227" spans="1:9" ht="16">
      <c r="A227" s="407"/>
      <c r="B227" s="463"/>
      <c r="C227" s="388"/>
      <c r="D227" s="388"/>
      <c r="E227" s="388"/>
      <c r="F227" s="388"/>
      <c r="G227" s="388"/>
      <c r="H227" s="388"/>
      <c r="I227" s="388"/>
    </row>
    <row r="228" spans="1:9" ht="16">
      <c r="A228" s="407"/>
      <c r="B228" s="463"/>
      <c r="C228" s="388"/>
      <c r="D228" s="388"/>
      <c r="E228" s="388"/>
      <c r="F228" s="388"/>
      <c r="G228" s="388"/>
      <c r="H228" s="388"/>
      <c r="I228" s="388"/>
    </row>
    <row r="229" spans="1:9" ht="16">
      <c r="A229" s="407"/>
      <c r="B229" s="463"/>
      <c r="C229" s="388"/>
      <c r="D229" s="388"/>
      <c r="E229" s="388"/>
      <c r="F229" s="388"/>
      <c r="G229" s="388"/>
      <c r="H229" s="388"/>
      <c r="I229" s="388"/>
    </row>
    <row r="230" spans="1:9" ht="16">
      <c r="A230" s="407"/>
      <c r="B230" s="463"/>
      <c r="C230" s="388"/>
      <c r="D230" s="388"/>
      <c r="E230" s="388"/>
      <c r="F230" s="388"/>
      <c r="G230" s="388"/>
      <c r="H230" s="388"/>
      <c r="I230" s="388"/>
    </row>
    <row r="231" spans="1:9" ht="16">
      <c r="A231" s="407"/>
      <c r="B231" s="463"/>
      <c r="C231" s="388"/>
      <c r="D231" s="388"/>
      <c r="E231" s="388"/>
      <c r="F231" s="388"/>
      <c r="G231" s="388"/>
      <c r="H231" s="388"/>
      <c r="I231" s="388"/>
    </row>
    <row r="232" spans="1:9" ht="16">
      <c r="A232" s="407"/>
      <c r="B232" s="463"/>
      <c r="C232" s="388"/>
      <c r="D232" s="388"/>
      <c r="E232" s="388"/>
      <c r="F232" s="388"/>
      <c r="G232" s="388"/>
      <c r="H232" s="388"/>
      <c r="I232" s="388"/>
    </row>
    <row r="233" spans="1:9" ht="16">
      <c r="A233" s="407"/>
      <c r="B233" s="463"/>
      <c r="C233" s="388"/>
      <c r="D233" s="388"/>
      <c r="E233" s="388"/>
      <c r="F233" s="388"/>
      <c r="G233" s="388"/>
      <c r="H233" s="388"/>
      <c r="I233" s="388"/>
    </row>
    <row r="234" spans="1:9" ht="16">
      <c r="A234" s="407"/>
      <c r="B234" s="463"/>
      <c r="C234" s="388"/>
      <c r="D234" s="388"/>
      <c r="E234" s="388"/>
      <c r="F234" s="388"/>
      <c r="G234" s="388"/>
      <c r="H234" s="388"/>
      <c r="I234" s="388"/>
    </row>
    <row r="235" spans="1:9" ht="16">
      <c r="A235" s="407"/>
      <c r="B235" s="463"/>
      <c r="C235" s="388"/>
      <c r="D235" s="388"/>
      <c r="E235" s="388"/>
      <c r="F235" s="388"/>
      <c r="G235" s="388"/>
      <c r="H235" s="388"/>
      <c r="I235" s="388"/>
    </row>
    <row r="236" spans="1:9" ht="16">
      <c r="A236" s="407"/>
      <c r="B236" s="463"/>
      <c r="C236" s="388"/>
      <c r="D236" s="388"/>
      <c r="E236" s="388"/>
      <c r="F236" s="388"/>
      <c r="G236" s="388"/>
      <c r="H236" s="388"/>
      <c r="I236" s="388"/>
    </row>
    <row r="237" spans="1:9" ht="16">
      <c r="A237" s="407"/>
      <c r="B237" s="463"/>
      <c r="C237" s="388"/>
      <c r="D237" s="388"/>
      <c r="E237" s="388"/>
      <c r="F237" s="388"/>
      <c r="G237" s="388"/>
      <c r="H237" s="388"/>
      <c r="I237" s="388"/>
    </row>
    <row r="238" spans="1:9" ht="16">
      <c r="A238" s="407"/>
      <c r="B238" s="463"/>
      <c r="C238" s="388"/>
      <c r="D238" s="388"/>
      <c r="E238" s="388"/>
      <c r="F238" s="388"/>
      <c r="G238" s="388"/>
      <c r="H238" s="388"/>
      <c r="I238" s="388"/>
    </row>
    <row r="239" spans="1:9" ht="16">
      <c r="A239" s="407"/>
      <c r="B239" s="463"/>
      <c r="C239" s="388"/>
      <c r="D239" s="388"/>
      <c r="E239" s="388"/>
      <c r="F239" s="388"/>
      <c r="G239" s="388"/>
      <c r="H239" s="388"/>
      <c r="I239" s="388"/>
    </row>
    <row r="240" spans="1:9" ht="16">
      <c r="A240" s="407"/>
      <c r="B240" s="463"/>
      <c r="C240" s="388"/>
      <c r="D240" s="388"/>
      <c r="E240" s="388"/>
      <c r="F240" s="388"/>
      <c r="G240" s="388"/>
      <c r="H240" s="388"/>
      <c r="I240" s="388"/>
    </row>
    <row r="241" spans="1:9" ht="16">
      <c r="A241" s="407"/>
      <c r="B241" s="463"/>
      <c r="C241" s="388"/>
      <c r="D241" s="388"/>
      <c r="E241" s="388"/>
      <c r="F241" s="388"/>
      <c r="G241" s="388"/>
      <c r="H241" s="388"/>
      <c r="I241" s="388"/>
    </row>
    <row r="242" spans="1:9" ht="16">
      <c r="A242" s="407"/>
      <c r="B242" s="463"/>
      <c r="C242" s="388"/>
      <c r="D242" s="388"/>
      <c r="E242" s="388"/>
      <c r="F242" s="388"/>
      <c r="G242" s="388"/>
      <c r="H242" s="388"/>
      <c r="I242" s="388"/>
    </row>
    <row r="243" spans="1:9" ht="16">
      <c r="A243" s="407"/>
      <c r="B243" s="463"/>
      <c r="C243" s="388"/>
      <c r="D243" s="388"/>
      <c r="E243" s="388"/>
      <c r="F243" s="388"/>
      <c r="G243" s="388"/>
      <c r="H243" s="388"/>
      <c r="I243" s="388"/>
    </row>
    <row r="244" spans="1:9" ht="16">
      <c r="A244" s="407"/>
      <c r="B244" s="463"/>
      <c r="C244" s="388"/>
      <c r="D244" s="388"/>
      <c r="E244" s="388"/>
      <c r="F244" s="388"/>
      <c r="G244" s="388"/>
      <c r="H244" s="388"/>
      <c r="I244" s="388"/>
    </row>
    <row r="245" spans="1:9" ht="16">
      <c r="A245" s="407"/>
      <c r="B245" s="463"/>
      <c r="C245" s="388"/>
      <c r="D245" s="388"/>
      <c r="E245" s="388"/>
      <c r="F245" s="388"/>
      <c r="G245" s="388"/>
      <c r="H245" s="388"/>
      <c r="I245" s="388"/>
    </row>
    <row r="246" spans="1:9" ht="16">
      <c r="A246" s="407"/>
      <c r="B246" s="463"/>
      <c r="C246" s="388"/>
      <c r="D246" s="388"/>
      <c r="E246" s="388"/>
      <c r="F246" s="388"/>
      <c r="G246" s="388"/>
      <c r="H246" s="388"/>
      <c r="I246" s="388"/>
    </row>
    <row r="247" spans="1:9" ht="16">
      <c r="A247" s="407"/>
      <c r="B247" s="463"/>
      <c r="C247" s="388"/>
      <c r="D247" s="388"/>
      <c r="E247" s="388"/>
      <c r="F247" s="388"/>
      <c r="G247" s="388"/>
      <c r="H247" s="388"/>
      <c r="I247" s="388"/>
    </row>
    <row r="248" spans="1:9" ht="16">
      <c r="A248" s="407"/>
      <c r="B248" s="463"/>
      <c r="C248" s="388"/>
      <c r="D248" s="388"/>
      <c r="E248" s="388"/>
      <c r="F248" s="388"/>
      <c r="G248" s="388"/>
      <c r="H248" s="388"/>
      <c r="I248" s="388"/>
    </row>
    <row r="249" spans="1:9" ht="16">
      <c r="A249" s="407"/>
      <c r="B249" s="463"/>
      <c r="C249" s="388"/>
      <c r="D249" s="388"/>
      <c r="E249" s="388"/>
      <c r="F249" s="388"/>
      <c r="G249" s="388"/>
      <c r="H249" s="388"/>
      <c r="I249" s="388"/>
    </row>
    <row r="250" spans="1:9" ht="16">
      <c r="A250" s="407"/>
      <c r="B250" s="463"/>
      <c r="C250" s="388"/>
      <c r="D250" s="388"/>
      <c r="E250" s="388"/>
      <c r="F250" s="388"/>
      <c r="G250" s="388"/>
      <c r="H250" s="388"/>
      <c r="I250" s="388"/>
    </row>
    <row r="251" spans="1:9" ht="16">
      <c r="A251" s="407"/>
      <c r="B251" s="463"/>
      <c r="C251" s="388"/>
      <c r="D251" s="388"/>
      <c r="E251" s="388"/>
      <c r="F251" s="388"/>
      <c r="G251" s="388"/>
      <c r="H251" s="388"/>
      <c r="I251" s="388"/>
    </row>
    <row r="252" spans="1:9" ht="16">
      <c r="A252" s="407"/>
      <c r="B252" s="463"/>
      <c r="C252" s="388"/>
      <c r="D252" s="388"/>
      <c r="E252" s="388"/>
      <c r="F252" s="388"/>
      <c r="G252" s="388"/>
      <c r="H252" s="388"/>
      <c r="I252" s="388"/>
    </row>
    <row r="253" spans="1:9" ht="16">
      <c r="A253" s="407"/>
      <c r="B253" s="463"/>
      <c r="C253" s="388"/>
      <c r="D253" s="388"/>
      <c r="E253" s="388"/>
      <c r="F253" s="388"/>
      <c r="G253" s="388"/>
      <c r="H253" s="388"/>
      <c r="I253" s="388"/>
    </row>
    <row r="254" spans="1:9" ht="16">
      <c r="A254" s="407"/>
      <c r="B254" s="463"/>
      <c r="C254" s="388"/>
      <c r="D254" s="388"/>
      <c r="E254" s="388"/>
      <c r="F254" s="388"/>
      <c r="G254" s="388"/>
      <c r="H254" s="388"/>
      <c r="I254" s="388"/>
    </row>
    <row r="255" spans="1:9" ht="16">
      <c r="A255" s="407"/>
      <c r="B255" s="463"/>
      <c r="C255" s="388"/>
      <c r="D255" s="388"/>
      <c r="E255" s="388"/>
      <c r="F255" s="388"/>
      <c r="G255" s="388"/>
      <c r="H255" s="388"/>
      <c r="I255" s="388"/>
    </row>
    <row r="256" spans="1:9" ht="16">
      <c r="A256" s="407"/>
      <c r="B256" s="463"/>
      <c r="C256" s="388"/>
      <c r="D256" s="388"/>
      <c r="E256" s="388"/>
      <c r="F256" s="388"/>
      <c r="G256" s="388"/>
      <c r="H256" s="388"/>
      <c r="I256" s="388"/>
    </row>
    <row r="257" spans="1:9" ht="16">
      <c r="A257" s="407"/>
      <c r="B257" s="463"/>
      <c r="C257" s="388"/>
      <c r="D257" s="388"/>
      <c r="E257" s="388"/>
      <c r="F257" s="388"/>
      <c r="G257" s="388"/>
      <c r="H257" s="388"/>
      <c r="I257" s="388"/>
    </row>
    <row r="258" spans="1:9" ht="16">
      <c r="A258" s="407"/>
      <c r="B258" s="463"/>
      <c r="C258" s="388"/>
      <c r="D258" s="388"/>
      <c r="E258" s="388"/>
      <c r="F258" s="388"/>
      <c r="G258" s="388"/>
      <c r="H258" s="388"/>
      <c r="I258" s="388"/>
    </row>
    <row r="259" spans="1:9" ht="16">
      <c r="A259" s="407"/>
      <c r="B259" s="463"/>
      <c r="C259" s="388"/>
      <c r="D259" s="388"/>
      <c r="E259" s="388"/>
      <c r="F259" s="388"/>
      <c r="G259" s="388"/>
      <c r="H259" s="388"/>
      <c r="I259" s="388"/>
    </row>
    <row r="260" spans="1:9" ht="16">
      <c r="A260" s="407"/>
      <c r="B260" s="463"/>
      <c r="C260" s="388"/>
      <c r="D260" s="388"/>
      <c r="E260" s="388"/>
      <c r="F260" s="388"/>
      <c r="G260" s="388"/>
      <c r="H260" s="388"/>
      <c r="I260" s="388"/>
    </row>
    <row r="261" spans="1:9" ht="16">
      <c r="A261" s="407"/>
      <c r="B261" s="463"/>
      <c r="C261" s="388"/>
      <c r="D261" s="388"/>
      <c r="E261" s="388"/>
      <c r="F261" s="388"/>
      <c r="G261" s="388"/>
      <c r="H261" s="388"/>
      <c r="I261" s="388"/>
    </row>
    <row r="262" spans="1:9" ht="16">
      <c r="A262" s="407"/>
      <c r="B262" s="463"/>
      <c r="C262" s="388"/>
      <c r="D262" s="388"/>
      <c r="E262" s="388"/>
      <c r="F262" s="388"/>
      <c r="G262" s="388"/>
      <c r="H262" s="388"/>
      <c r="I262" s="388"/>
    </row>
    <row r="263" spans="1:9" ht="16">
      <c r="A263" s="407"/>
      <c r="B263" s="463"/>
      <c r="C263" s="388"/>
      <c r="D263" s="388"/>
      <c r="E263" s="388"/>
      <c r="F263" s="388"/>
      <c r="G263" s="388"/>
      <c r="H263" s="388"/>
      <c r="I263" s="388"/>
    </row>
    <row r="264" spans="1:9" ht="16">
      <c r="A264" s="407"/>
      <c r="B264" s="463"/>
      <c r="C264" s="388"/>
      <c r="D264" s="388"/>
      <c r="E264" s="388"/>
      <c r="F264" s="388"/>
      <c r="G264" s="388"/>
      <c r="H264" s="388"/>
      <c r="I264" s="388"/>
    </row>
    <row r="265" spans="1:9" ht="16">
      <c r="A265" s="407"/>
      <c r="B265" s="463"/>
      <c r="C265" s="388"/>
      <c r="D265" s="388"/>
      <c r="E265" s="388"/>
      <c r="F265" s="388"/>
      <c r="G265" s="388"/>
      <c r="H265" s="388"/>
      <c r="I265" s="388"/>
    </row>
    <row r="266" spans="1:9" ht="16">
      <c r="A266" s="407"/>
      <c r="B266" s="463"/>
      <c r="C266" s="388"/>
      <c r="D266" s="388"/>
      <c r="E266" s="388"/>
      <c r="F266" s="388"/>
      <c r="G266" s="388"/>
      <c r="H266" s="388"/>
      <c r="I266" s="388"/>
    </row>
    <row r="267" spans="1:9" ht="16">
      <c r="A267" s="407"/>
      <c r="B267" s="463"/>
      <c r="C267" s="388"/>
      <c r="D267" s="388"/>
      <c r="E267" s="388"/>
      <c r="F267" s="388"/>
      <c r="G267" s="388"/>
      <c r="H267" s="388"/>
      <c r="I267" s="388"/>
    </row>
    <row r="268" spans="1:9" ht="16">
      <c r="A268" s="407"/>
      <c r="B268" s="463"/>
      <c r="C268" s="388"/>
      <c r="D268" s="388"/>
      <c r="E268" s="388"/>
      <c r="F268" s="388"/>
      <c r="G268" s="388"/>
      <c r="H268" s="388"/>
      <c r="I268" s="388"/>
    </row>
    <row r="269" spans="1:9" ht="16">
      <c r="A269" s="407"/>
      <c r="B269" s="463"/>
      <c r="C269" s="388"/>
      <c r="D269" s="388"/>
      <c r="E269" s="388"/>
      <c r="F269" s="388"/>
      <c r="G269" s="388"/>
      <c r="H269" s="388"/>
      <c r="I269" s="388"/>
    </row>
    <row r="270" spans="1:9" ht="16">
      <c r="A270" s="407"/>
      <c r="B270" s="463"/>
      <c r="C270" s="388"/>
      <c r="D270" s="388"/>
      <c r="E270" s="388"/>
      <c r="F270" s="388"/>
      <c r="G270" s="388"/>
      <c r="H270" s="388"/>
      <c r="I270" s="388"/>
    </row>
    <row r="271" spans="1:9" ht="16">
      <c r="A271" s="407"/>
      <c r="B271" s="463"/>
      <c r="C271" s="388"/>
      <c r="D271" s="388"/>
      <c r="E271" s="388"/>
      <c r="F271" s="388"/>
      <c r="G271" s="388"/>
      <c r="H271" s="388"/>
      <c r="I271" s="388"/>
    </row>
    <row r="272" spans="1:9" ht="16">
      <c r="A272" s="407"/>
      <c r="B272" s="463"/>
      <c r="C272" s="388"/>
      <c r="D272" s="388"/>
      <c r="E272" s="388"/>
      <c r="F272" s="388"/>
      <c r="G272" s="388"/>
      <c r="H272" s="388"/>
      <c r="I272" s="388"/>
    </row>
    <row r="273" spans="1:9" ht="16">
      <c r="A273" s="407"/>
      <c r="B273" s="463"/>
      <c r="C273" s="388"/>
      <c r="D273" s="388"/>
      <c r="E273" s="388"/>
      <c r="F273" s="388"/>
      <c r="G273" s="388"/>
      <c r="H273" s="388"/>
      <c r="I273" s="388"/>
    </row>
    <row r="274" spans="1:9" ht="16">
      <c r="A274" s="407"/>
      <c r="B274" s="463"/>
      <c r="C274" s="388"/>
      <c r="D274" s="388"/>
      <c r="E274" s="388"/>
      <c r="F274" s="388"/>
      <c r="G274" s="388"/>
      <c r="H274" s="388"/>
      <c r="I274" s="388"/>
    </row>
    <row r="275" spans="1:9" ht="16">
      <c r="A275" s="407"/>
      <c r="B275" s="463"/>
      <c r="C275" s="388"/>
      <c r="D275" s="388"/>
      <c r="E275" s="388"/>
      <c r="F275" s="388"/>
      <c r="G275" s="388"/>
      <c r="H275" s="388"/>
      <c r="I275" s="388"/>
    </row>
    <row r="276" spans="1:9" ht="16">
      <c r="A276" s="407"/>
      <c r="B276" s="463"/>
      <c r="C276" s="388"/>
      <c r="D276" s="388"/>
      <c r="E276" s="388"/>
      <c r="F276" s="388"/>
      <c r="G276" s="388"/>
      <c r="H276" s="388"/>
      <c r="I276" s="388"/>
    </row>
    <row r="277" spans="1:9" ht="16">
      <c r="A277" s="407"/>
      <c r="B277" s="463"/>
      <c r="C277" s="388"/>
      <c r="D277" s="388"/>
      <c r="E277" s="388"/>
      <c r="F277" s="388"/>
      <c r="G277" s="388"/>
      <c r="H277" s="388"/>
      <c r="I277" s="388"/>
    </row>
    <row r="278" spans="1:9" ht="16">
      <c r="A278" s="407"/>
      <c r="B278" s="463"/>
      <c r="C278" s="388"/>
      <c r="D278" s="388"/>
      <c r="E278" s="388"/>
      <c r="F278" s="388"/>
      <c r="G278" s="388"/>
      <c r="H278" s="388"/>
      <c r="I278" s="388"/>
    </row>
    <row r="279" spans="1:9" ht="16">
      <c r="A279" s="407"/>
      <c r="B279" s="463"/>
      <c r="C279" s="388"/>
      <c r="D279" s="388"/>
      <c r="E279" s="388"/>
      <c r="F279" s="388"/>
      <c r="G279" s="388"/>
      <c r="H279" s="388"/>
      <c r="I279" s="388"/>
    </row>
    <row r="280" spans="1:9" ht="16">
      <c r="A280" s="407"/>
      <c r="B280" s="463"/>
      <c r="C280" s="388"/>
      <c r="D280" s="388"/>
      <c r="E280" s="388"/>
      <c r="F280" s="388"/>
      <c r="G280" s="388"/>
      <c r="H280" s="388"/>
      <c r="I280" s="388"/>
    </row>
    <row r="281" spans="1:9" ht="16">
      <c r="A281" s="407"/>
      <c r="B281" s="463"/>
      <c r="C281" s="388"/>
      <c r="D281" s="388"/>
      <c r="E281" s="388"/>
      <c r="F281" s="388"/>
      <c r="G281" s="388"/>
      <c r="H281" s="388"/>
      <c r="I281" s="388"/>
    </row>
    <row r="282" spans="1:9" ht="16">
      <c r="A282" s="407"/>
      <c r="B282" s="463"/>
      <c r="C282" s="388"/>
      <c r="D282" s="388"/>
      <c r="E282" s="388"/>
      <c r="F282" s="388"/>
      <c r="G282" s="388"/>
      <c r="H282" s="388"/>
      <c r="I282" s="388"/>
    </row>
    <row r="283" spans="1:9" ht="16">
      <c r="A283" s="407"/>
      <c r="B283" s="463"/>
      <c r="C283" s="388"/>
      <c r="D283" s="388"/>
      <c r="E283" s="388"/>
      <c r="F283" s="388"/>
      <c r="G283" s="388"/>
      <c r="H283" s="388"/>
      <c r="I283" s="388"/>
    </row>
    <row r="284" spans="1:9" ht="16">
      <c r="A284" s="407"/>
      <c r="B284" s="463"/>
      <c r="C284" s="388"/>
      <c r="D284" s="388"/>
      <c r="E284" s="388"/>
      <c r="F284" s="388"/>
      <c r="G284" s="388"/>
      <c r="H284" s="388"/>
      <c r="I284" s="388"/>
    </row>
    <row r="285" spans="1:9" ht="16">
      <c r="A285" s="407"/>
      <c r="B285" s="463"/>
      <c r="C285" s="388"/>
      <c r="D285" s="388"/>
      <c r="E285" s="388"/>
      <c r="F285" s="388"/>
      <c r="G285" s="388"/>
      <c r="H285" s="388"/>
      <c r="I285" s="388"/>
    </row>
    <row r="286" spans="1:9" ht="16">
      <c r="A286" s="407"/>
      <c r="B286" s="463"/>
      <c r="C286" s="388"/>
      <c r="D286" s="388"/>
      <c r="E286" s="388"/>
      <c r="F286" s="388"/>
      <c r="G286" s="388"/>
      <c r="H286" s="388"/>
      <c r="I286" s="388"/>
    </row>
    <row r="287" spans="1:9" ht="16">
      <c r="A287" s="407"/>
      <c r="B287" s="463"/>
      <c r="C287" s="388"/>
      <c r="D287" s="388"/>
      <c r="E287" s="388"/>
      <c r="F287" s="388"/>
      <c r="G287" s="388"/>
      <c r="H287" s="388"/>
      <c r="I287" s="388"/>
    </row>
    <row r="288" spans="1:9" ht="16">
      <c r="A288" s="407"/>
      <c r="B288" s="463"/>
      <c r="C288" s="388"/>
      <c r="D288" s="388"/>
      <c r="E288" s="388"/>
      <c r="F288" s="388"/>
      <c r="G288" s="388"/>
      <c r="H288" s="388"/>
      <c r="I288" s="388"/>
    </row>
    <row r="289" spans="1:9" ht="16">
      <c r="A289" s="407"/>
      <c r="B289" s="463"/>
      <c r="C289" s="388"/>
      <c r="D289" s="388"/>
      <c r="E289" s="388"/>
      <c r="F289" s="388"/>
      <c r="G289" s="388"/>
      <c r="H289" s="388"/>
      <c r="I289" s="388"/>
    </row>
    <row r="290" spans="1:9" ht="16">
      <c r="A290" s="407"/>
      <c r="B290" s="463"/>
      <c r="C290" s="388"/>
      <c r="D290" s="388"/>
      <c r="E290" s="388"/>
      <c r="F290" s="388"/>
      <c r="G290" s="388"/>
      <c r="H290" s="388"/>
      <c r="I290" s="388"/>
    </row>
    <row r="291" spans="1:9" ht="16">
      <c r="A291" s="407"/>
      <c r="B291" s="463"/>
      <c r="C291" s="388"/>
      <c r="D291" s="388"/>
      <c r="E291" s="388"/>
      <c r="F291" s="388"/>
      <c r="G291" s="388"/>
      <c r="H291" s="388"/>
      <c r="I291" s="388"/>
    </row>
  </sheetData>
  <sheetProtection sheet="1" formatCells="0" formatColumns="0" formatRows="0"/>
  <mergeCells count="7">
    <mergeCell ref="H151:H152"/>
    <mergeCell ref="I151:I152"/>
    <mergeCell ref="A2:C2"/>
    <mergeCell ref="H2:I2"/>
    <mergeCell ref="H122:H123"/>
    <mergeCell ref="I122:I123"/>
    <mergeCell ref="H127:I127"/>
  </mergeCells>
  <phoneticPr fontId="55" type="noConversion"/>
  <printOptions horizontalCentered="1"/>
  <pageMargins left="0.79" right="0.67" top="0.98" bottom="0.83" header="0.51" footer="0.51"/>
  <pageSetup paperSize="9" scale="57" orientation="portrait"/>
  <headerFooter alignWithMargins="0">
    <oddHeader>&amp;C&amp;"Arial,Fed"&amp;12ADMINISTRATIONSOMKOSTNINGER</oddHeader>
    <oddFooter>&amp;L&amp;G&amp;R
&amp;D
&amp;A</oddFooter>
  </headerFooter>
  <rowBreaks count="1" manualBreakCount="1">
    <brk id="125" max="16383" man="1"/>
  </rowBreaks>
  <colBreaks count="1" manualBreakCount="1">
    <brk id="9" max="1048575" man="1"/>
  </colBreaks>
  <drawing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0">
    <tabColor rgb="FFFFFF00"/>
    <pageSetUpPr fitToPage="1"/>
  </sheetPr>
  <dimension ref="A1:M35"/>
  <sheetViews>
    <sheetView zoomScale="150" zoomScaleNormal="150" zoomScaleSheetLayoutView="100" workbookViewId="0">
      <selection activeCell="J16" sqref="J16:K16"/>
    </sheetView>
  </sheetViews>
  <sheetFormatPr baseColWidth="10" defaultColWidth="11.5" defaultRowHeight="13"/>
  <cols>
    <col min="1" max="1" width="3.5" style="2" customWidth="1"/>
    <col min="2" max="2" width="12.5" customWidth="1"/>
    <col min="3" max="3" width="11.5" customWidth="1"/>
    <col min="4" max="4" width="11.83203125" style="33" customWidth="1"/>
    <col min="5" max="5" width="9.5" customWidth="1"/>
    <col min="6" max="7" width="8.5" customWidth="1"/>
    <col min="8" max="8" width="6.5" style="2" customWidth="1"/>
    <col min="9" max="9" width="15" style="2" customWidth="1"/>
    <col min="10" max="11" width="11.83203125" customWidth="1"/>
    <col min="12" max="12" width="15" customWidth="1"/>
  </cols>
  <sheetData>
    <row r="1" spans="1:13" s="99" customFormat="1" ht="28.5" customHeight="1" thickBot="1">
      <c r="A1" s="977"/>
      <c r="B1" s="948"/>
      <c r="C1" s="948"/>
      <c r="D1" s="978"/>
      <c r="E1" s="948"/>
      <c r="F1" s="948"/>
      <c r="G1" s="948"/>
      <c r="H1" s="977"/>
      <c r="I1" s="977"/>
      <c r="J1" s="948"/>
      <c r="K1" s="948"/>
      <c r="L1" s="948"/>
      <c r="M1" s="948"/>
    </row>
    <row r="2" spans="1:13" ht="49.5" customHeight="1" thickBot="1">
      <c r="B2" s="97" t="s">
        <v>1104</v>
      </c>
      <c r="E2" s="4"/>
    </row>
    <row r="3" spans="1:13" s="34" customFormat="1" ht="41" customHeight="1">
      <c r="A3" s="2231" t="s">
        <v>432</v>
      </c>
      <c r="B3" s="2232" t="s">
        <v>1105</v>
      </c>
      <c r="C3" s="2233" t="s">
        <v>1119</v>
      </c>
      <c r="D3" s="2234" t="s">
        <v>1120</v>
      </c>
      <c r="E3" s="2235" t="s">
        <v>1121</v>
      </c>
      <c r="F3" s="2235" t="s">
        <v>1122</v>
      </c>
      <c r="G3" s="2235" t="s">
        <v>1123</v>
      </c>
      <c r="H3" s="2235" t="s">
        <v>1124</v>
      </c>
      <c r="I3" s="2236" t="s">
        <v>1125</v>
      </c>
      <c r="J3" s="2237" t="str">
        <f>"Årlig afdrag "&amp;budgetår&amp;""</f>
        <v>Årlig afdrag 2025</v>
      </c>
      <c r="K3" s="2238" t="str">
        <f>"Årlig renter "&amp;budgetår&amp;""</f>
        <v>Årlig renter 2025</v>
      </c>
      <c r="L3" s="2239" t="str">
        <f>"Ændringer i afdrag i "&amp;budgetår+1&amp;" i forhold til "&amp;budgetår&amp;""</f>
        <v>Ændringer i afdrag i 2026 i forhold til 2025</v>
      </c>
      <c r="M3" s="2240" t="str">
        <f>"Ændringer i renter i "&amp;budgetår+1&amp;" i forhold til "&amp;budgetår&amp;""</f>
        <v>Ændringer i renter i 2026 i forhold til 2025</v>
      </c>
    </row>
    <row r="4" spans="1:13" ht="18" customHeight="1">
      <c r="A4" s="979">
        <v>1</v>
      </c>
      <c r="B4" s="2241" t="s">
        <v>1126</v>
      </c>
      <c r="C4" s="2242"/>
      <c r="D4" s="218"/>
      <c r="E4" s="212"/>
      <c r="F4" s="219"/>
      <c r="G4" s="214"/>
      <c r="H4" s="220"/>
      <c r="I4" s="221"/>
      <c r="J4" s="2243"/>
      <c r="K4" s="2244"/>
      <c r="L4" s="2245"/>
      <c r="M4" s="2246"/>
    </row>
    <row r="5" spans="1:13" ht="18" customHeight="1" thickBot="1">
      <c r="A5" s="979">
        <v>2</v>
      </c>
      <c r="B5" s="217"/>
      <c r="C5" s="217"/>
      <c r="D5" s="218"/>
      <c r="E5" s="214"/>
      <c r="F5" s="222"/>
      <c r="G5" s="214"/>
      <c r="H5" s="220"/>
      <c r="I5" s="221"/>
      <c r="J5" s="223"/>
      <c r="K5" s="674"/>
      <c r="L5" s="2245"/>
      <c r="M5" s="2246"/>
    </row>
    <row r="6" spans="1:13" ht="18" customHeight="1" thickBot="1">
      <c r="A6" s="2247" t="s">
        <v>1127</v>
      </c>
      <c r="B6" s="2248"/>
      <c r="C6" s="980">
        <f>SUM(C4:C5)</f>
        <v>0</v>
      </c>
      <c r="D6" s="2249"/>
      <c r="E6" s="2250"/>
      <c r="F6" s="2250"/>
      <c r="G6" s="2250"/>
      <c r="H6" s="2251"/>
      <c r="I6" s="2252"/>
      <c r="J6" s="981">
        <f>SUM(J4:J5)</f>
        <v>0</v>
      </c>
      <c r="K6" s="982">
        <f>SUM(K4:K5)</f>
        <v>0</v>
      </c>
      <c r="L6" s="983">
        <f>SUM(L4:L5)</f>
        <v>0</v>
      </c>
      <c r="M6" s="2253">
        <f>SUM(M4:M5)</f>
        <v>0</v>
      </c>
    </row>
    <row r="7" spans="1:13" s="34" customFormat="1" ht="41" customHeight="1">
      <c r="A7" s="2231" t="s">
        <v>432</v>
      </c>
      <c r="B7" s="2232" t="s">
        <v>1106</v>
      </c>
      <c r="C7" s="2233" t="s">
        <v>1119</v>
      </c>
      <c r="D7" s="2234" t="s">
        <v>1120</v>
      </c>
      <c r="E7" s="2235" t="s">
        <v>1121</v>
      </c>
      <c r="F7" s="2235" t="s">
        <v>1122</v>
      </c>
      <c r="G7" s="2235" t="s">
        <v>1123</v>
      </c>
      <c r="H7" s="2235" t="s">
        <v>1128</v>
      </c>
      <c r="I7" s="2236" t="s">
        <v>1125</v>
      </c>
      <c r="J7" s="2237" t="str">
        <f>"Årlig afdrag "&amp;budgetår&amp;""</f>
        <v>Årlig afdrag 2025</v>
      </c>
      <c r="K7" s="2238" t="str">
        <f>"Årlig renter "&amp;budgetår&amp;""</f>
        <v>Årlig renter 2025</v>
      </c>
      <c r="L7" s="2254" t="str">
        <f>"Ændringer i afdrag i "&amp;budgetår+1&amp;" i forhold til "&amp;budgetår&amp;""</f>
        <v>Ændringer i afdrag i 2026 i forhold til 2025</v>
      </c>
      <c r="M7" s="2255" t="str">
        <f>"Ændringer i renter i "&amp;budgetår+1&amp;" i forhold til "&amp;budgetår&amp;""</f>
        <v>Ændringer i renter i 2026 i forhold til 2025</v>
      </c>
    </row>
    <row r="8" spans="1:13" ht="18" customHeight="1">
      <c r="A8" s="979">
        <v>8</v>
      </c>
      <c r="B8" s="215"/>
      <c r="C8" s="218"/>
      <c r="D8" s="280"/>
      <c r="E8" s="281"/>
      <c r="F8" s="220"/>
      <c r="G8" s="220"/>
      <c r="H8" s="221"/>
      <c r="I8" s="221"/>
      <c r="J8" s="215"/>
      <c r="K8" s="675"/>
      <c r="L8" s="2245"/>
      <c r="M8" s="2246"/>
    </row>
    <row r="9" spans="1:13" ht="18" customHeight="1">
      <c r="A9" s="979">
        <v>9</v>
      </c>
      <c r="B9" s="214"/>
      <c r="C9" s="215"/>
      <c r="D9" s="218"/>
      <c r="E9" s="282"/>
      <c r="F9" s="281"/>
      <c r="G9" s="220"/>
      <c r="H9" s="220"/>
      <c r="I9" s="221"/>
      <c r="J9" s="215"/>
      <c r="K9" s="675"/>
      <c r="L9" s="2245"/>
      <c r="M9" s="2246"/>
    </row>
    <row r="10" spans="1:13" ht="18" customHeight="1" thickBot="1">
      <c r="A10" s="979">
        <v>10</v>
      </c>
      <c r="B10" s="214"/>
      <c r="C10" s="215"/>
      <c r="D10" s="218"/>
      <c r="E10" s="282"/>
      <c r="F10" s="281"/>
      <c r="G10" s="220"/>
      <c r="H10" s="220"/>
      <c r="I10" s="225"/>
      <c r="J10" s="215"/>
      <c r="K10" s="675"/>
      <c r="L10" s="2245"/>
      <c r="M10" s="2246"/>
    </row>
    <row r="11" spans="1:13" ht="18" customHeight="1" thickBot="1">
      <c r="A11" s="2256" t="s">
        <v>1129</v>
      </c>
      <c r="B11" s="2257"/>
      <c r="C11" s="2258">
        <f>SUM(C8:C10)</f>
        <v>0</v>
      </c>
      <c r="D11" s="2259"/>
      <c r="E11" s="2260"/>
      <c r="F11" s="2260"/>
      <c r="G11" s="2260"/>
      <c r="H11" s="2261"/>
      <c r="I11" s="2261"/>
      <c r="J11" s="2262">
        <f>SUM(J8:J10)</f>
        <v>0</v>
      </c>
      <c r="K11" s="2263">
        <f>SUM(K8:K10)</f>
        <v>0</v>
      </c>
      <c r="L11" s="2264">
        <f>SUM(L8:L10)</f>
        <v>0</v>
      </c>
      <c r="M11" s="2265">
        <f>SUM(M8:M10)</f>
        <v>0</v>
      </c>
    </row>
    <row r="12" spans="1:13" s="34" customFormat="1" ht="42" customHeight="1">
      <c r="A12" s="2231" t="s">
        <v>432</v>
      </c>
      <c r="B12" s="2232" t="s">
        <v>1107</v>
      </c>
      <c r="C12" s="2233" t="s">
        <v>1119</v>
      </c>
      <c r="D12" s="2234" t="s">
        <v>1120</v>
      </c>
      <c r="E12" s="2235" t="s">
        <v>1121</v>
      </c>
      <c r="F12" s="2235" t="s">
        <v>1122</v>
      </c>
      <c r="G12" s="2235" t="s">
        <v>1123</v>
      </c>
      <c r="H12" s="2235" t="s">
        <v>1124</v>
      </c>
      <c r="I12" s="2236" t="s">
        <v>1125</v>
      </c>
      <c r="J12" s="2237" t="str">
        <f>"Årlig afdrag "&amp;budgetår&amp;""</f>
        <v>Årlig afdrag 2025</v>
      </c>
      <c r="K12" s="2238" t="str">
        <f>"Årlig renter "&amp;budgetår&amp;""</f>
        <v>Årlig renter 2025</v>
      </c>
      <c r="L12" s="2254" t="str">
        <f>"Ændringer i afdrag i "&amp;budgetår+1&amp;" i forhold til "&amp;budgetår&amp;""</f>
        <v>Ændringer i afdrag i 2026 i forhold til 2025</v>
      </c>
      <c r="M12" s="2255" t="str">
        <f>"Ændringer i renter i "&amp;budgetår+1&amp;" i forhold til "&amp;budgetår&amp;""</f>
        <v>Ændringer i renter i 2026 i forhold til 2025</v>
      </c>
    </row>
    <row r="13" spans="1:13" ht="18" customHeight="1">
      <c r="A13" s="979">
        <v>11</v>
      </c>
      <c r="B13" s="214" t="s">
        <v>1130</v>
      </c>
      <c r="C13" s="215"/>
      <c r="D13" s="218"/>
      <c r="E13" s="212"/>
      <c r="F13" s="222"/>
      <c r="G13" s="214"/>
      <c r="H13" s="224"/>
      <c r="I13" s="221"/>
      <c r="J13" s="215"/>
      <c r="K13" s="675"/>
      <c r="L13" s="2245"/>
      <c r="M13" s="2246"/>
    </row>
    <row r="14" spans="1:13" ht="18" customHeight="1">
      <c r="A14" s="979">
        <v>12</v>
      </c>
      <c r="B14" s="214" t="s">
        <v>1109</v>
      </c>
      <c r="C14" s="215"/>
      <c r="D14" s="218"/>
      <c r="E14" s="212"/>
      <c r="F14" s="214"/>
      <c r="G14" s="214"/>
      <c r="H14" s="220"/>
      <c r="I14" s="221"/>
      <c r="J14" s="215"/>
      <c r="K14" s="874"/>
      <c r="L14" s="2266"/>
      <c r="M14" s="2267"/>
    </row>
    <row r="15" spans="1:13" ht="18" customHeight="1">
      <c r="A15" s="979">
        <v>13</v>
      </c>
      <c r="B15" s="214" t="s">
        <v>1131</v>
      </c>
      <c r="C15" s="215"/>
      <c r="D15" s="218"/>
      <c r="E15" s="214"/>
      <c r="F15" s="214"/>
      <c r="G15" s="214"/>
      <c r="H15" s="220"/>
      <c r="I15" s="225"/>
      <c r="J15" s="215"/>
      <c r="K15" s="874"/>
      <c r="L15" s="2266"/>
      <c r="M15" s="2267"/>
    </row>
    <row r="16" spans="1:13" ht="18" customHeight="1" thickBot="1">
      <c r="A16" s="979">
        <v>14</v>
      </c>
      <c r="B16" s="283" t="s">
        <v>1537</v>
      </c>
      <c r="C16" s="215"/>
      <c r="D16" s="218"/>
      <c r="E16" s="214"/>
      <c r="F16" s="214"/>
      <c r="G16" s="214"/>
      <c r="H16" s="220"/>
      <c r="I16" s="225"/>
      <c r="J16" s="215"/>
      <c r="K16" s="874"/>
      <c r="L16" s="2245"/>
      <c r="M16" s="2246"/>
    </row>
    <row r="17" spans="1:13" ht="18" customHeight="1" thickBot="1">
      <c r="A17" s="2256" t="s">
        <v>1132</v>
      </c>
      <c r="B17" s="2257"/>
      <c r="C17" s="2258">
        <f>SUM(C13:C16)</f>
        <v>0</v>
      </c>
      <c r="D17" s="2259"/>
      <c r="E17" s="2260"/>
      <c r="F17" s="2260"/>
      <c r="G17" s="2260"/>
      <c r="H17" s="2261"/>
      <c r="I17" s="2258">
        <f>I13+I15</f>
        <v>0</v>
      </c>
      <c r="J17" s="2268">
        <f>SUM(J13:J16)</f>
        <v>0</v>
      </c>
      <c r="K17" s="2263">
        <f>SUM(K13:K16)</f>
        <v>0</v>
      </c>
      <c r="L17" s="2264">
        <f>SUM(L13:L16)</f>
        <v>0</v>
      </c>
      <c r="M17" s="2265">
        <f>SUM(M13:M16)</f>
        <v>0</v>
      </c>
    </row>
    <row r="18" spans="1:13" s="34" customFormat="1" ht="41" customHeight="1">
      <c r="A18" s="2231" t="s">
        <v>432</v>
      </c>
      <c r="B18" s="2232" t="s">
        <v>1133</v>
      </c>
      <c r="C18" s="2233" t="s">
        <v>1119</v>
      </c>
      <c r="D18" s="2234" t="s">
        <v>1120</v>
      </c>
      <c r="E18" s="2235" t="s">
        <v>1121</v>
      </c>
      <c r="F18" s="2235" t="s">
        <v>1122</v>
      </c>
      <c r="G18" s="2235" t="s">
        <v>1123</v>
      </c>
      <c r="H18" s="2235" t="s">
        <v>1124</v>
      </c>
      <c r="I18" s="2236" t="s">
        <v>1125</v>
      </c>
      <c r="J18" s="2237" t="str">
        <f>"Årlig afdrag "&amp;budgetår&amp;""</f>
        <v>Årlig afdrag 2025</v>
      </c>
      <c r="K18" s="2238" t="str">
        <f>"Årlig renter "&amp;budgetår&amp;""</f>
        <v>Årlig renter 2025</v>
      </c>
      <c r="L18" s="2254" t="str">
        <f>"Ændringer i afdrag i "&amp;budgetår+1&amp;" i forhold til "&amp;budgetår&amp;""</f>
        <v>Ændringer i afdrag i 2026 i forhold til 2025</v>
      </c>
      <c r="M18" s="2255" t="str">
        <f>"Ændringer i renter i "&amp;budgetår+1&amp;" i forhold til "&amp;budgetår&amp;""</f>
        <v>Ændringer i renter i 2026 i forhold til 2025</v>
      </c>
    </row>
    <row r="19" spans="1:13" ht="18" customHeight="1">
      <c r="A19" s="979">
        <v>17</v>
      </c>
      <c r="B19" s="214" t="s">
        <v>1108</v>
      </c>
      <c r="C19" s="215"/>
      <c r="D19" s="218"/>
      <c r="E19" s="214"/>
      <c r="F19" s="214"/>
      <c r="G19" s="214"/>
      <c r="H19" s="220"/>
      <c r="I19" s="225"/>
      <c r="J19" s="215"/>
      <c r="K19" s="675"/>
      <c r="L19" s="2245"/>
      <c r="M19" s="2246"/>
    </row>
    <row r="20" spans="1:13" ht="18" customHeight="1">
      <c r="A20" s="979">
        <v>18</v>
      </c>
      <c r="B20" s="214"/>
      <c r="C20" s="215"/>
      <c r="D20" s="218"/>
      <c r="E20" s="214"/>
      <c r="F20" s="214"/>
      <c r="G20" s="214"/>
      <c r="H20" s="220"/>
      <c r="I20" s="225"/>
      <c r="J20" s="215"/>
      <c r="K20" s="675"/>
      <c r="L20" s="2245"/>
      <c r="M20" s="2246"/>
    </row>
    <row r="21" spans="1:13" ht="18" customHeight="1">
      <c r="A21" s="979">
        <v>19</v>
      </c>
      <c r="B21" s="214"/>
      <c r="C21" s="215"/>
      <c r="D21" s="218"/>
      <c r="E21" s="214"/>
      <c r="F21" s="214"/>
      <c r="G21" s="214"/>
      <c r="H21" s="220"/>
      <c r="I21" s="225"/>
      <c r="J21" s="215"/>
      <c r="K21" s="675"/>
      <c r="L21" s="2245"/>
      <c r="M21" s="2246"/>
    </row>
    <row r="22" spans="1:13" ht="18" customHeight="1" thickBot="1">
      <c r="A22" s="979">
        <v>20</v>
      </c>
      <c r="B22" s="214"/>
      <c r="C22" s="215"/>
      <c r="D22" s="218"/>
      <c r="E22" s="214"/>
      <c r="F22" s="214"/>
      <c r="G22" s="214"/>
      <c r="H22" s="220"/>
      <c r="I22" s="226"/>
      <c r="J22" s="216"/>
      <c r="K22" s="675"/>
      <c r="L22" s="2245"/>
      <c r="M22" s="2246"/>
    </row>
    <row r="23" spans="1:13" ht="18" customHeight="1" thickBot="1">
      <c r="A23" s="2269" t="s">
        <v>1134</v>
      </c>
      <c r="B23" s="2270"/>
      <c r="C23" s="2271">
        <f>SUM(C19:C22)</f>
        <v>0</v>
      </c>
      <c r="D23" s="2272"/>
      <c r="E23" s="2273"/>
      <c r="F23" s="2273"/>
      <c r="G23" s="2273"/>
      <c r="H23" s="2274"/>
      <c r="I23" s="2271">
        <f>SUM(I19:I22)</f>
        <v>0</v>
      </c>
      <c r="J23" s="2271">
        <f>SUM(J19:J22)</f>
        <v>0</v>
      </c>
      <c r="K23" s="2275">
        <f>SUM(K19:K22)</f>
        <v>0</v>
      </c>
      <c r="L23" s="2276">
        <f>SUM(L19:L22)</f>
        <v>0</v>
      </c>
      <c r="M23" s="2277">
        <f>SUM(M19:M22)</f>
        <v>0</v>
      </c>
    </row>
    <row r="24" spans="1:13" ht="18" customHeight="1" thickBot="1">
      <c r="A24" s="875" t="s">
        <v>1135</v>
      </c>
      <c r="B24" s="984"/>
      <c r="C24" s="985"/>
      <c r="D24" s="986"/>
      <c r="E24" s="984"/>
      <c r="F24" s="984"/>
      <c r="G24" s="984"/>
      <c r="H24" s="987"/>
      <c r="I24" s="985"/>
      <c r="J24" s="985"/>
      <c r="K24" s="988"/>
    </row>
    <row r="25" spans="1:13" ht="15.75" customHeight="1">
      <c r="A25" s="2278"/>
      <c r="B25" s="2279"/>
      <c r="C25" s="2280"/>
      <c r="D25" s="2281"/>
      <c r="E25" s="2282"/>
      <c r="F25" s="2282"/>
      <c r="G25" s="2282"/>
      <c r="H25" s="2283"/>
      <c r="I25" s="2284" t="str">
        <f>"Afdrag nedskriver langfristet gæld i status i hovedskema."</f>
        <v>Afdrag nedskriver langfristet gæld i status i hovedskema.</v>
      </c>
      <c r="J25" s="2285">
        <f>J23+J17+J11+J6</f>
        <v>0</v>
      </c>
      <c r="K25" s="2286"/>
    </row>
    <row r="26" spans="1:13" ht="15.75" customHeight="1" thickBot="1">
      <c r="A26" s="2287"/>
      <c r="B26" s="2288"/>
      <c r="C26" s="989"/>
      <c r="D26" s="990"/>
      <c r="E26" s="991"/>
      <c r="F26" s="991"/>
      <c r="G26" s="991"/>
      <c r="H26" s="992"/>
      <c r="I26" s="993" t="str">
        <f>" Renteudgift til hovedskema "</f>
        <v xml:space="preserve"> Renteudgift til hovedskema </v>
      </c>
      <c r="J26" s="994"/>
      <c r="K26" s="995">
        <f>K23+K17+K11+K6</f>
        <v>0</v>
      </c>
    </row>
    <row r="27" spans="1:13" ht="18" customHeight="1"/>
    <row r="28" spans="1:13" ht="18" customHeight="1">
      <c r="B28" s="1"/>
      <c r="C28" s="1"/>
      <c r="D28" s="35"/>
    </row>
    <row r="29" spans="1:13" ht="18" customHeight="1">
      <c r="B29" s="2789"/>
      <c r="C29" s="2789"/>
      <c r="D29" s="35"/>
    </row>
    <row r="30" spans="1:13">
      <c r="B30" s="7"/>
      <c r="C30" s="7"/>
      <c r="L30" s="24"/>
    </row>
    <row r="31" spans="1:13">
      <c r="L31" s="24"/>
    </row>
    <row r="32" spans="1:13">
      <c r="L32" s="24"/>
    </row>
    <row r="33" spans="12:12">
      <c r="L33" s="24"/>
    </row>
    <row r="34" spans="12:12">
      <c r="L34" s="24"/>
    </row>
    <row r="35" spans="12:12" ht="15.75" customHeight="1"/>
  </sheetData>
  <sheetProtection sheet="1" formatCells="0" formatColumns="0" formatRows="0" selectLockedCells="1"/>
  <mergeCells count="1">
    <mergeCell ref="B29:C29"/>
  </mergeCells>
  <phoneticPr fontId="55" type="noConversion"/>
  <printOptions horizontalCentered="1"/>
  <pageMargins left="0.79" right="0.67" top="0.98" bottom="0.83" header="0.51" footer="0.51"/>
  <pageSetup paperSize="9" scale="73" orientation="portrait"/>
  <headerFooter alignWithMargins="0">
    <oddHeader>&amp;CRENTEOMKOSTNINGER</oddHeader>
    <oddFooter>&amp;L&amp;G&amp;R
&amp;D
&amp;A</oddFooter>
  </headerFooter>
  <drawing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tabColor rgb="FFFFFF00"/>
    <pageSetUpPr fitToPage="1"/>
  </sheetPr>
  <dimension ref="A1:J94"/>
  <sheetViews>
    <sheetView topLeftCell="A24" workbookViewId="0"/>
  </sheetViews>
  <sheetFormatPr baseColWidth="10" defaultColWidth="11.5" defaultRowHeight="13"/>
  <cols>
    <col min="1" max="1" width="4.83203125" customWidth="1"/>
    <col min="2" max="2" width="50.83203125" customWidth="1"/>
    <col min="3" max="6" width="15.5" customWidth="1"/>
  </cols>
  <sheetData>
    <row r="1" spans="1:8" s="99" customFormat="1" ht="26.25" customHeight="1" thickBot="1">
      <c r="A1" s="948"/>
      <c r="B1" s="977"/>
      <c r="C1" s="977"/>
      <c r="D1" s="977"/>
      <c r="E1" s="996"/>
      <c r="F1" s="997"/>
      <c r="G1" s="948"/>
      <c r="H1" s="948"/>
    </row>
    <row r="2" spans="1:8" ht="26.25" customHeight="1" thickBot="1">
      <c r="A2" s="3271" t="s">
        <v>1136</v>
      </c>
      <c r="B2" s="3271"/>
      <c r="C2" s="3271"/>
      <c r="D2" s="3271"/>
      <c r="E2" s="3271"/>
      <c r="F2" s="3271"/>
    </row>
    <row r="3" spans="1:8" ht="30" customHeight="1">
      <c r="A3" s="998"/>
      <c r="B3" s="999"/>
      <c r="C3" s="1000" t="s">
        <v>1137</v>
      </c>
      <c r="D3" s="1000" t="s">
        <v>1137</v>
      </c>
      <c r="E3" s="1001" t="s">
        <v>1138</v>
      </c>
      <c r="F3" s="1002" t="s">
        <v>1138</v>
      </c>
    </row>
    <row r="4" spans="1:8" ht="42" customHeight="1" thickBot="1">
      <c r="A4" s="876"/>
      <c r="B4" s="2289" t="s">
        <v>196</v>
      </c>
      <c r="C4" s="877">
        <f>E4-2</f>
        <v>2023</v>
      </c>
      <c r="D4" s="877">
        <f>E4-1</f>
        <v>2024</v>
      </c>
      <c r="E4" s="878">
        <f>Forside!B6</f>
        <v>2025</v>
      </c>
      <c r="F4" s="124" t="str">
        <f>budgetår+1&amp;"            "&amp;"("&amp;budgetår&amp;"+                  "&amp;fremskrivning*100&amp;"%)"</f>
        <v>2026            (2025+                  1,5%)</v>
      </c>
    </row>
    <row r="5" spans="1:8" ht="16" customHeight="1">
      <c r="A5" s="125"/>
      <c r="B5" s="116" t="s">
        <v>1139</v>
      </c>
      <c r="C5" s="117">
        <f>Hovedskema!D5</f>
        <v>0</v>
      </c>
      <c r="D5" s="117">
        <f>Hovedskema!E5</f>
        <v>0</v>
      </c>
      <c r="E5" s="117">
        <f>Hovedskema!F5</f>
        <v>0</v>
      </c>
      <c r="F5" s="126">
        <f>Hovedskema!G5</f>
        <v>0</v>
      </c>
    </row>
    <row r="6" spans="1:8" ht="15" customHeight="1" thickBot="1">
      <c r="A6" s="879"/>
      <c r="B6" s="2290" t="s">
        <v>1140</v>
      </c>
      <c r="C6" s="2291">
        <f>Hovedskema!D6</f>
        <v>0</v>
      </c>
      <c r="D6" s="2291">
        <f>Hovedskema!E6</f>
        <v>0</v>
      </c>
      <c r="E6" s="2291">
        <f>Hovedskema!F6</f>
        <v>0</v>
      </c>
      <c r="F6" s="2292">
        <f>Hovedskema!G6</f>
        <v>0</v>
      </c>
    </row>
    <row r="7" spans="1:8">
      <c r="A7" s="880">
        <v>1</v>
      </c>
      <c r="B7" s="43" t="s">
        <v>1141</v>
      </c>
      <c r="C7" s="88">
        <f>Hovedskema!D12+Hovedskema!D13</f>
        <v>0</v>
      </c>
      <c r="D7" s="88">
        <f>Hovedskema!E12+Hovedskema!E13</f>
        <v>0</v>
      </c>
      <c r="E7" s="88">
        <f>Hovedskema!F12+Hovedskema!F13</f>
        <v>135843</v>
      </c>
      <c r="F7" s="127">
        <f>Hovedskema!G12+Hovedskema!G13</f>
        <v>135843</v>
      </c>
    </row>
    <row r="8" spans="1:8">
      <c r="A8" s="880">
        <f>A7+1</f>
        <v>2</v>
      </c>
      <c r="B8" s="43" t="s">
        <v>1142</v>
      </c>
      <c r="C8" s="115" t="e">
        <f>Hovedskema!#REF!</f>
        <v>#REF!</v>
      </c>
      <c r="D8" s="115" t="e">
        <f>Hovedskema!#REF!</f>
        <v>#REF!</v>
      </c>
      <c r="E8" s="115" t="e">
        <f>Hovedskema!#REF!</f>
        <v>#REF!</v>
      </c>
      <c r="F8" s="128" t="e">
        <f>Hovedskema!#REF!</f>
        <v>#REF!</v>
      </c>
      <c r="G8" s="39"/>
    </row>
    <row r="9" spans="1:8">
      <c r="A9" s="880">
        <f>A8+1</f>
        <v>3</v>
      </c>
      <c r="B9" s="43" t="s">
        <v>1143</v>
      </c>
      <c r="C9" s="115">
        <f>Hovedskema!D15+Hovedskema!D16+Hovedskema!D18</f>
        <v>0</v>
      </c>
      <c r="D9" s="115">
        <f>Hovedskema!E15+Hovedskema!E16+Hovedskema!E18</f>
        <v>0</v>
      </c>
      <c r="E9" s="115">
        <f>Hovedskema!F15+Hovedskema!F16+Hovedskema!F18</f>
        <v>0</v>
      </c>
      <c r="F9" s="128">
        <f>Hovedskema!G15+Hovedskema!G16+Hovedskema!G18</f>
        <v>0</v>
      </c>
      <c r="G9" s="39"/>
    </row>
    <row r="10" spans="1:8">
      <c r="A10" s="880">
        <f>A9+1</f>
        <v>4</v>
      </c>
      <c r="B10" s="43" t="s">
        <v>1144</v>
      </c>
      <c r="C10" s="115">
        <f>Hovedskema!D28</f>
        <v>0</v>
      </c>
      <c r="D10" s="115">
        <f>Hovedskema!E28</f>
        <v>0</v>
      </c>
      <c r="E10" s="115">
        <f>Hovedskema!F28</f>
        <v>0</v>
      </c>
      <c r="F10" s="128">
        <f>Hovedskema!G28</f>
        <v>0</v>
      </c>
    </row>
    <row r="11" spans="1:8">
      <c r="A11" s="881"/>
      <c r="B11" s="129" t="s">
        <v>1145</v>
      </c>
      <c r="C11" s="811" t="e">
        <f>SUM(C7:C10)</f>
        <v>#REF!</v>
      </c>
      <c r="D11" s="811" t="e">
        <f>SUM(D7:D10)</f>
        <v>#REF!</v>
      </c>
      <c r="E11" s="811" t="e">
        <f>SUM(E7:E10)</f>
        <v>#REF!</v>
      </c>
      <c r="F11" s="882" t="e">
        <f>SUM(F7:F10)</f>
        <v>#REF!</v>
      </c>
    </row>
    <row r="12" spans="1:8">
      <c r="A12" s="880">
        <f>A10+1</f>
        <v>5</v>
      </c>
      <c r="B12" s="43" t="s">
        <v>1146</v>
      </c>
      <c r="C12" s="115" t="e">
        <f>Hovedskema!D43-Hovedskema!D40-Hovedskema!D39-Hovedskema!#REF!</f>
        <v>#REF!</v>
      </c>
      <c r="D12" s="115" t="e">
        <f>Hovedskema!E43-Hovedskema!E40-Hovedskema!E39-Hovedskema!#REF!</f>
        <v>#REF!</v>
      </c>
      <c r="E12" s="115" t="e">
        <f>Hovedskema!F43-Hovedskema!F40-Hovedskema!F39-Hovedskema!#REF!</f>
        <v>#REF!</v>
      </c>
      <c r="F12" s="128" t="e">
        <f>Hovedskema!G43-Hovedskema!G40-Hovedskema!G39-Hovedskema!#REF!</f>
        <v>#REF!</v>
      </c>
    </row>
    <row r="13" spans="1:8">
      <c r="A13" s="880">
        <f>A12+1</f>
        <v>6</v>
      </c>
      <c r="B13" s="43" t="s">
        <v>776</v>
      </c>
      <c r="C13" s="115">
        <f>Hovedskema!D39</f>
        <v>0</v>
      </c>
      <c r="D13" s="115">
        <f>Hovedskema!E39</f>
        <v>0</v>
      </c>
      <c r="E13" s="115">
        <f>Hovedskema!F39</f>
        <v>0</v>
      </c>
      <c r="F13" s="128">
        <f>Hovedskema!G39</f>
        <v>0</v>
      </c>
      <c r="G13" s="193"/>
      <c r="H13" s="193"/>
    </row>
    <row r="14" spans="1:8">
      <c r="A14" s="880">
        <f>A13+1</f>
        <v>7</v>
      </c>
      <c r="B14" s="43" t="s">
        <v>1147</v>
      </c>
      <c r="C14" s="115" t="e">
        <f>Hovedskema!D40+Hovedskema!#REF!</f>
        <v>#REF!</v>
      </c>
      <c r="D14" s="115" t="e">
        <f>Hovedskema!E40+Hovedskema!#REF!</f>
        <v>#REF!</v>
      </c>
      <c r="E14" s="115" t="e">
        <f>Hovedskema!F40+Hovedskema!#REF!</f>
        <v>#REF!</v>
      </c>
      <c r="F14" s="128" t="e">
        <f>Hovedskema!G40+Hovedskema!#REF!</f>
        <v>#REF!</v>
      </c>
    </row>
    <row r="15" spans="1:8">
      <c r="A15" s="881"/>
      <c r="B15" s="129" t="s">
        <v>1148</v>
      </c>
      <c r="C15" s="811" t="e">
        <f>SUM(C12:C14)</f>
        <v>#REF!</v>
      </c>
      <c r="D15" s="811" t="e">
        <f>SUM(D12:D14)</f>
        <v>#REF!</v>
      </c>
      <c r="E15" s="811" t="e">
        <f>SUM(E12:E14)</f>
        <v>#REF!</v>
      </c>
      <c r="F15" s="882" t="e">
        <f>SUM(F12:F14)</f>
        <v>#REF!</v>
      </c>
    </row>
    <row r="16" spans="1:8">
      <c r="A16" s="880">
        <f>A14+1</f>
        <v>8</v>
      </c>
      <c r="B16" s="43" t="s">
        <v>1149</v>
      </c>
      <c r="C16" s="115" t="e">
        <f>Hovedskema!D45+Hovedskema!D46+Hovedskema!#REF!</f>
        <v>#REF!</v>
      </c>
      <c r="D16" s="115" t="e">
        <f>Hovedskema!E45+Hovedskema!E46+Hovedskema!#REF!</f>
        <v>#REF!</v>
      </c>
      <c r="E16" s="115" t="e">
        <f>Hovedskema!F45+Hovedskema!F46+Hovedskema!#REF!</f>
        <v>#REF!</v>
      </c>
      <c r="F16" s="128" t="e">
        <f>Hovedskema!G45+Hovedskema!G46+Hovedskema!#REF!</f>
        <v>#REF!</v>
      </c>
    </row>
    <row r="17" spans="1:6">
      <c r="A17" s="880">
        <f>A16+1</f>
        <v>9</v>
      </c>
      <c r="B17" s="43" t="s">
        <v>1150</v>
      </c>
      <c r="C17" s="115" t="e">
        <f>Hovedskema!D53-C16</f>
        <v>#REF!</v>
      </c>
      <c r="D17" s="115" t="e">
        <f>Hovedskema!E53-D16</f>
        <v>#REF!</v>
      </c>
      <c r="E17" s="115" t="e">
        <f>Hovedskema!F53-E16</f>
        <v>#REF!</v>
      </c>
      <c r="F17" s="128" t="e">
        <f>Hovedskema!G53-F16</f>
        <v>#REF!</v>
      </c>
    </row>
    <row r="18" spans="1:6">
      <c r="A18" s="881"/>
      <c r="B18" s="129" t="s">
        <v>248</v>
      </c>
      <c r="C18" s="811" t="e">
        <f>SUM(C16:C17)</f>
        <v>#REF!</v>
      </c>
      <c r="D18" s="811" t="e">
        <f>SUM(D16:D17)</f>
        <v>#REF!</v>
      </c>
      <c r="E18" s="811" t="e">
        <f>SUM(E16:E17)</f>
        <v>#REF!</v>
      </c>
      <c r="F18" s="882" t="e">
        <f>SUM(F16:F17)</f>
        <v>#REF!</v>
      </c>
    </row>
    <row r="19" spans="1:6">
      <c r="A19" s="880">
        <f>A17+1</f>
        <v>10</v>
      </c>
      <c r="B19" s="43" t="s">
        <v>1151</v>
      </c>
      <c r="C19" s="118" t="e">
        <f>Hovedskema!D54+Hovedskema!D56+Hovedskema!#REF!</f>
        <v>#REF!</v>
      </c>
      <c r="D19" s="118" t="e">
        <f>Hovedskema!E54+Hovedskema!E56+Hovedskema!#REF!</f>
        <v>#REF!</v>
      </c>
      <c r="E19" s="118" t="e">
        <f>Hovedskema!F54+Hovedskema!F56+Hovedskema!#REF!</f>
        <v>#REF!</v>
      </c>
      <c r="F19" s="130" t="e">
        <f>Hovedskema!G54+Hovedskema!G56+Hovedskema!#REF!</f>
        <v>#REF!</v>
      </c>
    </row>
    <row r="20" spans="1:6">
      <c r="A20" s="880">
        <f>A19+1</f>
        <v>11</v>
      </c>
      <c r="B20" s="43" t="s">
        <v>1152</v>
      </c>
      <c r="C20" s="118" t="e">
        <f>Hovedskema!D59-C19</f>
        <v>#REF!</v>
      </c>
      <c r="D20" s="118" t="e">
        <f>Hovedskema!E59-D19</f>
        <v>#REF!</v>
      </c>
      <c r="E20" s="118" t="e">
        <f>Hovedskema!F59-E19</f>
        <v>#REF!</v>
      </c>
      <c r="F20" s="130" t="e">
        <f>Hovedskema!G59-F19</f>
        <v>#REF!</v>
      </c>
    </row>
    <row r="21" spans="1:6">
      <c r="A21" s="881"/>
      <c r="B21" s="103" t="s">
        <v>1153</v>
      </c>
      <c r="C21" s="120" t="e">
        <f>SUM(C19:C20)</f>
        <v>#REF!</v>
      </c>
      <c r="D21" s="120" t="e">
        <f>SUM(D19:D20)</f>
        <v>#REF!</v>
      </c>
      <c r="E21" s="120" t="e">
        <f>SUM(E19:E20)</f>
        <v>#REF!</v>
      </c>
      <c r="F21" s="131" t="e">
        <f>SUM(F19:F20)</f>
        <v>#REF!</v>
      </c>
    </row>
    <row r="22" spans="1:6">
      <c r="A22" s="880">
        <f>A20+1</f>
        <v>12</v>
      </c>
      <c r="B22" s="43" t="s">
        <v>1154</v>
      </c>
      <c r="C22" s="115" t="e">
        <f>Hovedskema!D61+Hovedskema!D62+Hovedskema!#REF!</f>
        <v>#REF!</v>
      </c>
      <c r="D22" s="115" t="e">
        <f>Hovedskema!E61+Hovedskema!E62+Hovedskema!#REF!</f>
        <v>#REF!</v>
      </c>
      <c r="E22" s="115" t="e">
        <f>Hovedskema!F61+Hovedskema!F62+Hovedskema!#REF!</f>
        <v>#REF!</v>
      </c>
      <c r="F22" s="128" t="e">
        <f>Hovedskema!G61+Hovedskema!G62+Hovedskema!#REF!</f>
        <v>#REF!</v>
      </c>
    </row>
    <row r="23" spans="1:6">
      <c r="A23" s="880">
        <f>A22+1</f>
        <v>13</v>
      </c>
      <c r="B23" s="43" t="s">
        <v>1155</v>
      </c>
      <c r="C23" s="115" t="e">
        <f>Hovedskema!D65-C22</f>
        <v>#REF!</v>
      </c>
      <c r="D23" s="115" t="e">
        <f>Hovedskema!E65-D22</f>
        <v>#REF!</v>
      </c>
      <c r="E23" s="115" t="e">
        <f>Hovedskema!F65-E22</f>
        <v>#REF!</v>
      </c>
      <c r="F23" s="128" t="e">
        <f>Hovedskema!G65-F22</f>
        <v>#REF!</v>
      </c>
    </row>
    <row r="24" spans="1:6">
      <c r="A24" s="881"/>
      <c r="B24" s="103" t="s">
        <v>1156</v>
      </c>
      <c r="C24" s="120" t="e">
        <f>SUM(C22:C23)</f>
        <v>#REF!</v>
      </c>
      <c r="D24" s="120" t="e">
        <f>SUM(D22:D23)</f>
        <v>#REF!</v>
      </c>
      <c r="E24" s="120" t="e">
        <f>SUM(E22:E23)</f>
        <v>#REF!</v>
      </c>
      <c r="F24" s="131" t="e">
        <f>SUM(F22:F23)</f>
        <v>#REF!</v>
      </c>
    </row>
    <row r="25" spans="1:6">
      <c r="A25" s="881"/>
      <c r="B25" s="104" t="s">
        <v>1157</v>
      </c>
      <c r="C25" s="120">
        <f>Hovedskema!D66</f>
        <v>0</v>
      </c>
      <c r="D25" s="120">
        <f>Hovedskema!E66</f>
        <v>0</v>
      </c>
      <c r="E25" s="120">
        <f>Hovedskema!F66</f>
        <v>8920</v>
      </c>
      <c r="F25" s="131">
        <f>Hovedskema!G66</f>
        <v>9053.7999999999993</v>
      </c>
    </row>
    <row r="26" spans="1:6">
      <c r="A26" s="881"/>
      <c r="B26" s="104" t="s">
        <v>1158</v>
      </c>
      <c r="C26" s="120">
        <f>Hovedskema!D67</f>
        <v>0</v>
      </c>
      <c r="D26" s="120">
        <f>Hovedskema!E67</f>
        <v>0</v>
      </c>
      <c r="E26" s="120">
        <f>Hovedskema!F67</f>
        <v>126923</v>
      </c>
      <c r="F26" s="131">
        <f>Hovedskema!G67</f>
        <v>126789.2</v>
      </c>
    </row>
    <row r="27" spans="1:6">
      <c r="A27" s="880">
        <f>A23+1</f>
        <v>14</v>
      </c>
      <c r="B27" s="89" t="s">
        <v>1159</v>
      </c>
      <c r="C27" s="121">
        <f>Hovedskema!D73</f>
        <v>0</v>
      </c>
      <c r="D27" s="121">
        <f>Hovedskema!E73</f>
        <v>0</v>
      </c>
      <c r="E27" s="121">
        <f>Hovedskema!F73</f>
        <v>0</v>
      </c>
      <c r="F27" s="132">
        <f>Hovedskema!G73</f>
        <v>0</v>
      </c>
    </row>
    <row r="28" spans="1:6">
      <c r="A28" s="880">
        <f>A27+1</f>
        <v>15</v>
      </c>
      <c r="B28" s="43" t="s">
        <v>1160</v>
      </c>
      <c r="C28" s="115">
        <f>Hovedskema!D77</f>
        <v>0</v>
      </c>
      <c r="D28" s="115">
        <f>Hovedskema!E77</f>
        <v>0</v>
      </c>
      <c r="E28" s="115">
        <f>Hovedskema!F77</f>
        <v>0</v>
      </c>
      <c r="F28" s="128">
        <f>Hovedskema!G77</f>
        <v>0</v>
      </c>
    </row>
    <row r="29" spans="1:6">
      <c r="A29" s="881"/>
      <c r="B29" s="103" t="s">
        <v>1161</v>
      </c>
      <c r="C29" s="122">
        <f>C27-C28</f>
        <v>0</v>
      </c>
      <c r="D29" s="122">
        <f>D27-D28</f>
        <v>0</v>
      </c>
      <c r="E29" s="122">
        <f>E27-E28</f>
        <v>0</v>
      </c>
      <c r="F29" s="133">
        <f>F27-F28</f>
        <v>0</v>
      </c>
    </row>
    <row r="30" spans="1:6">
      <c r="A30" s="881"/>
      <c r="B30" s="104" t="s">
        <v>1162</v>
      </c>
      <c r="C30" s="122">
        <f>C26+C29</f>
        <v>0</v>
      </c>
      <c r="D30" s="122">
        <f>D26+D29</f>
        <v>0</v>
      </c>
      <c r="E30" s="122">
        <f>E26+E29</f>
        <v>126923</v>
      </c>
      <c r="F30" s="133">
        <f>F26+F29</f>
        <v>126789.2</v>
      </c>
    </row>
    <row r="31" spans="1:6">
      <c r="A31" s="880">
        <f>A28+1</f>
        <v>16</v>
      </c>
      <c r="B31" s="123" t="s">
        <v>274</v>
      </c>
      <c r="C31" s="115">
        <f>Hovedskema!D80</f>
        <v>0</v>
      </c>
      <c r="D31" s="115">
        <f>Hovedskema!E80</f>
        <v>0</v>
      </c>
      <c r="E31" s="115">
        <f>Hovedskema!F80</f>
        <v>0</v>
      </c>
      <c r="F31" s="128">
        <f>Hovedskema!G80</f>
        <v>0</v>
      </c>
    </row>
    <row r="32" spans="1:6">
      <c r="A32" s="880">
        <f>A31+1</f>
        <v>17</v>
      </c>
      <c r="B32" s="123" t="s">
        <v>1163</v>
      </c>
      <c r="C32" s="115">
        <f>Hovedskema!D81</f>
        <v>0</v>
      </c>
      <c r="D32" s="115">
        <f>Hovedskema!E81</f>
        <v>0</v>
      </c>
      <c r="E32" s="115">
        <f>Hovedskema!F81</f>
        <v>0</v>
      </c>
      <c r="F32" s="128">
        <f>Hovedskema!G81</f>
        <v>0</v>
      </c>
    </row>
    <row r="33" spans="1:6">
      <c r="A33" s="881"/>
      <c r="B33" s="103" t="s">
        <v>1164</v>
      </c>
      <c r="C33" s="122">
        <f>Hovedskema!D82</f>
        <v>0</v>
      </c>
      <c r="D33" s="122">
        <f>Hovedskema!E82</f>
        <v>0</v>
      </c>
      <c r="E33" s="122">
        <f>Hovedskema!F82</f>
        <v>0</v>
      </c>
      <c r="F33" s="133">
        <f>Hovedskema!G82</f>
        <v>0</v>
      </c>
    </row>
    <row r="34" spans="1:6">
      <c r="A34" s="881"/>
      <c r="B34" s="103" t="s">
        <v>277</v>
      </c>
      <c r="C34" s="120">
        <f>C30+C33</f>
        <v>0</v>
      </c>
      <c r="D34" s="120">
        <f>D30+D33</f>
        <v>0</v>
      </c>
      <c r="E34" s="120">
        <f>E30+E33</f>
        <v>126923</v>
      </c>
      <c r="F34" s="131">
        <f>F30+F33</f>
        <v>126789.2</v>
      </c>
    </row>
    <row r="35" spans="1:6">
      <c r="A35" s="134"/>
      <c r="C35" s="119"/>
      <c r="D35" s="119"/>
      <c r="E35" s="119"/>
      <c r="F35" s="135"/>
    </row>
    <row r="36" spans="1:6">
      <c r="A36" s="134"/>
      <c r="B36" s="193" t="s">
        <v>1165</v>
      </c>
      <c r="C36" s="119"/>
      <c r="D36" s="119"/>
      <c r="E36" s="119"/>
      <c r="F36" s="135"/>
    </row>
    <row r="37" spans="1:6">
      <c r="A37" s="880">
        <f>A32+1</f>
        <v>18</v>
      </c>
      <c r="B37" s="43" t="str">
        <f>Hovedskema!C86</f>
        <v>Ejendomme</v>
      </c>
      <c r="C37" s="88">
        <f>Hovedskema!D86</f>
        <v>0</v>
      </c>
      <c r="D37" s="88">
        <f>Hovedskema!E86</f>
        <v>0</v>
      </c>
      <c r="E37" s="88">
        <f>Hovedskema!F86</f>
        <v>0</v>
      </c>
      <c r="F37" s="127">
        <f>Hovedskema!G86</f>
        <v>0</v>
      </c>
    </row>
    <row r="38" spans="1:6">
      <c r="A38" s="880">
        <f>A37+1</f>
        <v>19</v>
      </c>
      <c r="B38" s="43" t="str">
        <f>Hovedskema!C87</f>
        <v>Inventar og udstyr, undervisning</v>
      </c>
      <c r="C38" s="88">
        <f>Hovedskema!D87</f>
        <v>0</v>
      </c>
      <c r="D38" s="88">
        <f>Hovedskema!E87</f>
        <v>0</v>
      </c>
      <c r="E38" s="88">
        <f>Hovedskema!F87</f>
        <v>0</v>
      </c>
      <c r="F38" s="127">
        <f>Hovedskema!G87</f>
        <v>0</v>
      </c>
    </row>
    <row r="39" spans="1:6">
      <c r="A39" s="880">
        <f>A38+1</f>
        <v>20</v>
      </c>
      <c r="B39" s="43" t="str">
        <f>Hovedskema!C88</f>
        <v>Inventar og udstyr, administration</v>
      </c>
      <c r="C39" s="88">
        <f>Hovedskema!D88</f>
        <v>0</v>
      </c>
      <c r="D39" s="88">
        <f>Hovedskema!E88</f>
        <v>0</v>
      </c>
      <c r="E39" s="88">
        <f>Hovedskema!F88</f>
        <v>0</v>
      </c>
      <c r="F39" s="127">
        <f>Hovedskema!G88</f>
        <v>0</v>
      </c>
    </row>
    <row r="40" spans="1:6">
      <c r="A40" s="880">
        <f>A39+1</f>
        <v>21</v>
      </c>
      <c r="B40" s="43" t="str">
        <f>Hovedskema!C89</f>
        <v>Bus m.v.</v>
      </c>
      <c r="C40" s="88">
        <f>Hovedskema!D89</f>
        <v>0</v>
      </c>
      <c r="D40" s="88">
        <f>Hovedskema!E89</f>
        <v>0</v>
      </c>
      <c r="E40" s="88">
        <f>Hovedskema!F89</f>
        <v>0</v>
      </c>
      <c r="F40" s="127">
        <f>Hovedskema!G89</f>
        <v>0</v>
      </c>
    </row>
    <row r="41" spans="1:6">
      <c r="A41" s="880">
        <f>A40+1</f>
        <v>22</v>
      </c>
      <c r="B41" s="43" t="str">
        <f>Hovedskema!C90</f>
        <v>Deposita, Bankaktier</v>
      </c>
      <c r="C41" s="88">
        <f>Hovedskema!D90</f>
        <v>0</v>
      </c>
      <c r="D41" s="88">
        <f>Hovedskema!E90</f>
        <v>0</v>
      </c>
      <c r="E41" s="88">
        <f>Hovedskema!F90</f>
        <v>0</v>
      </c>
      <c r="F41" s="127">
        <f>Hovedskema!G90</f>
        <v>0</v>
      </c>
    </row>
    <row r="42" spans="1:6">
      <c r="A42" s="880">
        <f>A41+1</f>
        <v>23</v>
      </c>
      <c r="B42" s="43" t="str">
        <f>Hovedskema!C91</f>
        <v>Andele i forsyningsvirksomheder</v>
      </c>
      <c r="C42" s="88">
        <f>Hovedskema!D91</f>
        <v>0</v>
      </c>
      <c r="D42" s="88">
        <f>Hovedskema!E91</f>
        <v>0</v>
      </c>
      <c r="E42" s="88">
        <f>Hovedskema!F91</f>
        <v>0</v>
      </c>
      <c r="F42" s="127">
        <f>Hovedskema!G91</f>
        <v>0</v>
      </c>
    </row>
    <row r="43" spans="1:6">
      <c r="A43" s="880">
        <f t="shared" ref="A43:A56" si="0">A42+1</f>
        <v>24</v>
      </c>
      <c r="B43" s="103" t="str">
        <f>Hovedskema!C92</f>
        <v>ANLÆGSAKTIVER I ALT:</v>
      </c>
      <c r="C43" s="96">
        <f>Hovedskema!D92</f>
        <v>0</v>
      </c>
      <c r="D43" s="96">
        <f>Hovedskema!E92</f>
        <v>0</v>
      </c>
      <c r="E43" s="96">
        <f>Hovedskema!F92</f>
        <v>0</v>
      </c>
      <c r="F43" s="136">
        <f>Hovedskema!G92</f>
        <v>0</v>
      </c>
    </row>
    <row r="44" spans="1:6">
      <c r="A44" s="880">
        <f t="shared" si="0"/>
        <v>25</v>
      </c>
      <c r="B44" s="43" t="str">
        <f>Hovedskema!C93</f>
        <v>Tilgodehavender</v>
      </c>
      <c r="C44" s="88">
        <f>Hovedskema!D93</f>
        <v>0</v>
      </c>
      <c r="D44" s="88">
        <f>Hovedskema!E93</f>
        <v>0</v>
      </c>
      <c r="E44" s="88">
        <f>Hovedskema!F93</f>
        <v>0</v>
      </c>
      <c r="F44" s="127">
        <f>Hovedskema!G93</f>
        <v>0</v>
      </c>
    </row>
    <row r="45" spans="1:6">
      <c r="A45" s="880">
        <f t="shared" si="0"/>
        <v>26</v>
      </c>
      <c r="B45" s="43" t="str">
        <f>Hovedskema!C94</f>
        <v>Forudbetalte udgifter</v>
      </c>
      <c r="C45" s="88">
        <f>Hovedskema!D94</f>
        <v>0</v>
      </c>
      <c r="D45" s="88">
        <f>Hovedskema!E94</f>
        <v>0</v>
      </c>
      <c r="E45" s="88">
        <f>Hovedskema!F94</f>
        <v>0</v>
      </c>
      <c r="F45" s="127">
        <f>Hovedskema!G94</f>
        <v>0</v>
      </c>
    </row>
    <row r="46" spans="1:6">
      <c r="A46" s="880">
        <f t="shared" si="0"/>
        <v>27</v>
      </c>
      <c r="B46" s="43" t="str">
        <f>Hovedskema!C95</f>
        <v>Værdipapirer</v>
      </c>
      <c r="C46" s="88">
        <f>Hovedskema!D95</f>
        <v>0</v>
      </c>
      <c r="D46" s="88">
        <f>Hovedskema!E95</f>
        <v>0</v>
      </c>
      <c r="E46" s="88">
        <f>Hovedskema!F95</f>
        <v>0</v>
      </c>
      <c r="F46" s="127">
        <f>Hovedskema!G95</f>
        <v>0</v>
      </c>
    </row>
    <row r="47" spans="1:6">
      <c r="A47" s="880">
        <f t="shared" si="0"/>
        <v>28</v>
      </c>
      <c r="B47" s="43" t="str">
        <f>Hovedskema!C96</f>
        <v>Likvide beholdninger</v>
      </c>
      <c r="C47" s="88">
        <f>Hovedskema!D96</f>
        <v>0</v>
      </c>
      <c r="D47" s="88">
        <f>Hovedskema!E96</f>
        <v>0</v>
      </c>
      <c r="E47" s="88">
        <f>Hovedskema!F96</f>
        <v>0</v>
      </c>
      <c r="F47" s="127">
        <f>Hovedskema!G96</f>
        <v>0</v>
      </c>
    </row>
    <row r="48" spans="1:6">
      <c r="A48" s="880">
        <f t="shared" si="0"/>
        <v>29</v>
      </c>
      <c r="B48" s="103" t="str">
        <f>Hovedskema!C97</f>
        <v>OMSÆTNINGSAKTIVER I ALT:</v>
      </c>
      <c r="C48" s="96">
        <f>Hovedskema!D97</f>
        <v>0</v>
      </c>
      <c r="D48" s="96">
        <f>Hovedskema!E97</f>
        <v>0</v>
      </c>
      <c r="E48" s="96">
        <f>Hovedskema!F97</f>
        <v>0</v>
      </c>
      <c r="F48" s="136">
        <f>Hovedskema!G97</f>
        <v>0</v>
      </c>
    </row>
    <row r="49" spans="1:6">
      <c r="A49" s="880">
        <f t="shared" si="0"/>
        <v>30</v>
      </c>
      <c r="B49" s="103" t="str">
        <f>Hovedskema!C98</f>
        <v>AKTIVER I ALT:</v>
      </c>
      <c r="C49" s="96">
        <f>Hovedskema!D98</f>
        <v>0</v>
      </c>
      <c r="D49" s="96">
        <f>Hovedskema!E98</f>
        <v>0</v>
      </c>
      <c r="E49" s="96">
        <f>Hovedskema!F98</f>
        <v>0</v>
      </c>
      <c r="F49" s="136">
        <f>Hovedskema!G98</f>
        <v>0</v>
      </c>
    </row>
    <row r="50" spans="1:6">
      <c r="A50" s="880">
        <f t="shared" si="0"/>
        <v>31</v>
      </c>
      <c r="B50" s="103" t="str">
        <f>Hovedskema!C99</f>
        <v xml:space="preserve">EGENKAPITAL 31/12 </v>
      </c>
      <c r="C50" s="96">
        <f>Hovedskema!D99</f>
        <v>0</v>
      </c>
      <c r="D50" s="96">
        <f>Hovedskema!E99</f>
        <v>0</v>
      </c>
      <c r="E50" s="96">
        <f>Hovedskema!F99</f>
        <v>126923</v>
      </c>
      <c r="F50" s="136">
        <f>Hovedskema!G99</f>
        <v>253712.2</v>
      </c>
    </row>
    <row r="51" spans="1:6">
      <c r="A51" s="880">
        <f t="shared" si="0"/>
        <v>32</v>
      </c>
      <c r="B51" s="43" t="str">
        <f>Hovedskema!C100</f>
        <v>Langfristet gæld</v>
      </c>
      <c r="C51" s="88">
        <f>Hovedskema!D100</f>
        <v>0</v>
      </c>
      <c r="D51" s="88">
        <f>Hovedskema!E100</f>
        <v>0</v>
      </c>
      <c r="E51" s="88">
        <f>Hovedskema!F100</f>
        <v>0</v>
      </c>
      <c r="F51" s="127">
        <f>Hovedskema!G100</f>
        <v>0</v>
      </c>
    </row>
    <row r="52" spans="1:6">
      <c r="A52" s="880">
        <f t="shared" si="0"/>
        <v>33</v>
      </c>
      <c r="B52" s="43" t="str">
        <f>Hovedskema!C101</f>
        <v>Kortfristet gæld</v>
      </c>
      <c r="C52" s="88">
        <f>Hovedskema!D101</f>
        <v>0</v>
      </c>
      <c r="D52" s="88">
        <f>Hovedskema!E101</f>
        <v>0</v>
      </c>
      <c r="E52" s="88">
        <f>Hovedskema!F101</f>
        <v>0</v>
      </c>
      <c r="F52" s="127">
        <f>Hovedskema!G101</f>
        <v>0</v>
      </c>
    </row>
    <row r="53" spans="1:6">
      <c r="A53" s="137" t="s">
        <v>1166</v>
      </c>
      <c r="B53" s="43" t="str">
        <f>Hovedskema!C102</f>
        <v>Kassekredit   (del af kortfristet gæld)</v>
      </c>
      <c r="C53" s="88">
        <f>Hovedskema!D102</f>
        <v>0</v>
      </c>
      <c r="D53" s="88">
        <f>Hovedskema!E102</f>
        <v>0</v>
      </c>
      <c r="E53" s="88">
        <f>Hovedskema!F102</f>
        <v>-126923</v>
      </c>
      <c r="F53" s="127">
        <f>Hovedskema!G102</f>
        <v>-253712.2</v>
      </c>
    </row>
    <row r="54" spans="1:6">
      <c r="A54" s="880">
        <f>A52+1</f>
        <v>34</v>
      </c>
      <c r="B54" s="43" t="str">
        <f>Hovedskema!C104</f>
        <v>Forud modtagne indtægter (del af kortfr. gæld)</v>
      </c>
      <c r="C54" s="88">
        <f>Hovedskema!D104</f>
        <v>0</v>
      </c>
      <c r="D54" s="88">
        <f>Hovedskema!E104</f>
        <v>0</v>
      </c>
      <c r="E54" s="88">
        <f>Hovedskema!F104</f>
        <v>0</v>
      </c>
      <c r="F54" s="127">
        <f>Hovedskema!G104</f>
        <v>0</v>
      </c>
    </row>
    <row r="55" spans="1:6">
      <c r="A55" s="880">
        <f>A54+1</f>
        <v>35</v>
      </c>
      <c r="B55" s="43" t="str">
        <f>Hovedskema!C105</f>
        <v>Gæld i alt</v>
      </c>
      <c r="C55" s="88">
        <f>Hovedskema!D105</f>
        <v>0</v>
      </c>
      <c r="D55" s="88">
        <f>Hovedskema!E105</f>
        <v>0</v>
      </c>
      <c r="E55" s="88">
        <f>Hovedskema!F105</f>
        <v>-126923</v>
      </c>
      <c r="F55" s="127">
        <f>Hovedskema!G105</f>
        <v>-253712.2</v>
      </c>
    </row>
    <row r="56" spans="1:6">
      <c r="A56" s="880">
        <f t="shared" si="0"/>
        <v>36</v>
      </c>
      <c r="B56" s="103" t="str">
        <f>Hovedskema!C106</f>
        <v>PASSIVER I ALT:</v>
      </c>
      <c r="C56" s="96">
        <f>Hovedskema!D106</f>
        <v>0</v>
      </c>
      <c r="D56" s="96">
        <f>Hovedskema!E106</f>
        <v>0</v>
      </c>
      <c r="E56" s="96">
        <f>Hovedskema!F106</f>
        <v>0</v>
      </c>
      <c r="F56" s="136">
        <f>Hovedskema!G106</f>
        <v>0</v>
      </c>
    </row>
    <row r="57" spans="1:6">
      <c r="A57" s="880"/>
      <c r="B57" s="103" t="str">
        <f>Hovedskema!C107</f>
        <v>LIKVIDITET:</v>
      </c>
      <c r="C57" s="96"/>
      <c r="D57" s="96"/>
      <c r="E57" s="96"/>
      <c r="F57" s="136"/>
    </row>
    <row r="58" spans="1:6">
      <c r="A58" s="138"/>
      <c r="F58" s="139"/>
    </row>
    <row r="59" spans="1:6">
      <c r="A59" s="138"/>
      <c r="F59" s="139"/>
    </row>
    <row r="60" spans="1:6">
      <c r="A60" s="138"/>
      <c r="F60" s="139"/>
    </row>
    <row r="61" spans="1:6" ht="16">
      <c r="A61" s="140" t="str">
        <f>"Budgetopstilling for børnehaven  "&amp;budgetår&amp;" :"</f>
        <v>Budgetopstilling for børnehaven  2025 :</v>
      </c>
      <c r="B61" s="141"/>
      <c r="C61" s="141"/>
      <c r="D61" s="141"/>
      <c r="E61" s="141"/>
      <c r="F61" s="139"/>
    </row>
    <row r="62" spans="1:6" ht="14" thickBot="1">
      <c r="A62" s="138"/>
      <c r="F62" s="139"/>
    </row>
    <row r="63" spans="1:6">
      <c r="A63" s="1003" t="s">
        <v>1167</v>
      </c>
      <c r="B63" s="1004"/>
      <c r="C63" s="1005"/>
      <c r="D63" s="1006" t="s">
        <v>1168</v>
      </c>
      <c r="E63" s="1006" t="str">
        <f>"i alt "&amp;budgetår</f>
        <v>i alt 2025</v>
      </c>
      <c r="F63" s="1007" t="str">
        <f>"i alt "&amp;budgetår+1</f>
        <v>i alt 2026</v>
      </c>
    </row>
    <row r="64" spans="1:6">
      <c r="A64" s="137"/>
      <c r="B64" s="43" t="s">
        <v>1169</v>
      </c>
      <c r="C64" s="43"/>
      <c r="D64" s="87" t="e">
        <f>SUM(Daginstitution!#REF!)</f>
        <v>#REF!</v>
      </c>
      <c r="E64" s="87" t="e">
        <f>D64*((Daginstitution!#REF!*7/12)+(Daginstitution!#REF!*5/12))</f>
        <v>#REF!</v>
      </c>
      <c r="F64" s="142" t="e">
        <f>D64*((Daginstitution!#REF!*7/12)+(Daginstitution!#REF!*5/12))</f>
        <v>#REF!</v>
      </c>
    </row>
    <row r="65" spans="1:10">
      <c r="A65" s="137"/>
      <c r="B65" s="43" t="s">
        <v>865</v>
      </c>
      <c r="C65" s="43"/>
      <c r="D65" s="87" t="e">
        <f>Daginstitution!#REF!</f>
        <v>#REF!</v>
      </c>
      <c r="E65" s="87" t="e">
        <f>D65*((Daginstitution!#REF!*7/12)+(Daginstitution!#REF!*5/12))</f>
        <v>#REF!</v>
      </c>
      <c r="F65" s="142" t="e">
        <f>D65*((Daginstitution!#REF!*7/12)+(Daginstitution!#REF!*5/12))</f>
        <v>#REF!</v>
      </c>
    </row>
    <row r="66" spans="1:10">
      <c r="A66" s="137"/>
      <c r="B66" s="43" t="s">
        <v>1170</v>
      </c>
      <c r="C66" s="43"/>
      <c r="D66" s="87" t="e">
        <f>Daginstitution!#REF!</f>
        <v>#REF!</v>
      </c>
      <c r="E66" s="87" t="e">
        <f>Daginstitution!#REF!</f>
        <v>#REF!</v>
      </c>
      <c r="F66" s="143"/>
    </row>
    <row r="67" spans="1:10">
      <c r="A67" s="137"/>
      <c r="B67" s="43" t="s">
        <v>1171</v>
      </c>
      <c r="C67" s="43"/>
      <c r="D67" s="87"/>
      <c r="E67" s="87"/>
      <c r="F67" s="143"/>
    </row>
    <row r="68" spans="1:10">
      <c r="A68" s="137"/>
      <c r="B68" s="43" t="s">
        <v>1172</v>
      </c>
      <c r="C68" s="43"/>
      <c r="D68" s="87" t="e">
        <f>Daginstitution!#REF!</f>
        <v>#REF!</v>
      </c>
      <c r="E68" s="87" t="e">
        <f>Daginstitution!#REF!</f>
        <v>#REF!</v>
      </c>
      <c r="F68" s="142" t="e">
        <f>E68*1.02</f>
        <v>#REF!</v>
      </c>
    </row>
    <row r="69" spans="1:10" ht="16">
      <c r="A69" s="144" t="str">
        <f>"Indtægter i alt "&amp;budgetår&amp;":"</f>
        <v>Indtægter i alt 2025:</v>
      </c>
      <c r="B69" s="92"/>
      <c r="C69" s="92"/>
      <c r="D69" s="93"/>
      <c r="E69" s="94"/>
      <c r="F69" s="145" t="e">
        <f>SUM(E64:E68)</f>
        <v>#REF!</v>
      </c>
    </row>
    <row r="70" spans="1:10">
      <c r="A70" s="137"/>
      <c r="B70" s="43"/>
      <c r="C70" s="43"/>
      <c r="D70" s="86"/>
      <c r="E70" s="86"/>
      <c r="F70" s="146"/>
    </row>
    <row r="71" spans="1:10">
      <c r="A71" s="815" t="s">
        <v>1173</v>
      </c>
      <c r="B71" s="43"/>
      <c r="C71" s="43"/>
      <c r="D71" s="86"/>
      <c r="E71" s="86"/>
      <c r="F71" s="146"/>
    </row>
    <row r="72" spans="1:10">
      <c r="A72" s="137"/>
      <c r="B72" s="43" t="s">
        <v>1174</v>
      </c>
      <c r="C72" s="43"/>
      <c r="D72" s="88" t="e">
        <f>'Lon pæd., TAP mm'!AZ364+'Lon pæd., TAP mm'!#REF!</f>
        <v>#REF!</v>
      </c>
      <c r="E72" s="86"/>
      <c r="F72" s="146"/>
    </row>
    <row r="73" spans="1:10">
      <c r="A73" s="137"/>
      <c r="B73" s="43" t="s">
        <v>891</v>
      </c>
      <c r="C73" s="43"/>
      <c r="D73" s="88">
        <f>'Lon pæd., TAP mm'!BA89</f>
        <v>0</v>
      </c>
      <c r="E73" s="86"/>
      <c r="F73" s="146"/>
    </row>
    <row r="74" spans="1:10">
      <c r="A74" s="137"/>
      <c r="B74" s="43" t="s">
        <v>1175</v>
      </c>
      <c r="C74" s="43"/>
      <c r="D74" s="88">
        <f>'Lon pæd., TAP mm'!BA70</f>
        <v>0</v>
      </c>
      <c r="E74" s="86"/>
      <c r="F74" s="146"/>
    </row>
    <row r="75" spans="1:10">
      <c r="A75" s="137"/>
      <c r="B75" s="89"/>
      <c r="C75" s="43"/>
      <c r="D75" s="88"/>
      <c r="E75" s="86"/>
      <c r="F75" s="146"/>
    </row>
    <row r="76" spans="1:10">
      <c r="A76" s="137"/>
      <c r="B76" s="104" t="s">
        <v>1176</v>
      </c>
      <c r="C76" s="103"/>
      <c r="D76" s="96"/>
      <c r="E76" s="2293" t="e">
        <f>SUM(D72:D75)</f>
        <v>#REF!</v>
      </c>
      <c r="F76" s="147"/>
    </row>
    <row r="77" spans="1:10">
      <c r="A77" s="137"/>
      <c r="B77" s="89" t="s">
        <v>961</v>
      </c>
      <c r="C77" s="43"/>
      <c r="D77" s="90"/>
      <c r="E77" s="91"/>
      <c r="F77" s="147"/>
    </row>
    <row r="78" spans="1:10">
      <c r="A78" s="137"/>
      <c r="B78" s="43" t="s">
        <v>1177</v>
      </c>
      <c r="C78" s="43"/>
      <c r="D78" s="91">
        <f>Daginstitution!F125</f>
        <v>0</v>
      </c>
      <c r="E78" s="91"/>
      <c r="F78" s="147"/>
      <c r="J78" s="1"/>
    </row>
    <row r="79" spans="1:10">
      <c r="A79" s="137"/>
      <c r="B79" s="89"/>
      <c r="C79" s="43"/>
      <c r="D79" s="91"/>
      <c r="E79" s="91"/>
      <c r="F79" s="147"/>
      <c r="J79" s="1"/>
    </row>
    <row r="80" spans="1:10">
      <c r="A80" s="137"/>
      <c r="B80" s="89" t="s">
        <v>1178</v>
      </c>
      <c r="C80" s="43"/>
      <c r="D80" s="91" t="e">
        <f>Daginstitution!#REF!</f>
        <v>#REF!</v>
      </c>
      <c r="E80" s="91"/>
      <c r="F80" s="147"/>
    </row>
    <row r="81" spans="1:6">
      <c r="A81" s="137"/>
      <c r="B81" s="89"/>
      <c r="C81" s="43"/>
      <c r="D81" s="91"/>
      <c r="E81" s="91"/>
      <c r="F81" s="147"/>
    </row>
    <row r="82" spans="1:6">
      <c r="A82" s="137"/>
      <c r="B82" s="43" t="s">
        <v>945</v>
      </c>
      <c r="C82" s="43"/>
      <c r="D82" s="91" t="e">
        <f>Daginstitution!#REF!</f>
        <v>#REF!</v>
      </c>
      <c r="E82" s="91"/>
      <c r="F82" s="147"/>
    </row>
    <row r="83" spans="1:6">
      <c r="A83" s="137"/>
      <c r="B83" s="43"/>
      <c r="C83" s="43"/>
      <c r="D83" s="91"/>
      <c r="E83" s="87"/>
      <c r="F83" s="147"/>
    </row>
    <row r="84" spans="1:6">
      <c r="A84" s="137"/>
      <c r="B84" s="43"/>
      <c r="C84" s="43"/>
      <c r="D84" s="91"/>
      <c r="E84" s="87"/>
      <c r="F84" s="147"/>
    </row>
    <row r="85" spans="1:6">
      <c r="A85" s="137"/>
      <c r="B85" s="43" t="s">
        <v>1179</v>
      </c>
      <c r="C85" s="43"/>
      <c r="D85" s="91">
        <f>Daginstitution!F192</f>
        <v>0</v>
      </c>
      <c r="E85" s="91"/>
      <c r="F85" s="147"/>
    </row>
    <row r="86" spans="1:6">
      <c r="A86" s="137"/>
      <c r="B86" s="43"/>
      <c r="C86" s="43"/>
      <c r="D86" s="91"/>
      <c r="E86" s="87"/>
      <c r="F86" s="147"/>
    </row>
    <row r="87" spans="1:6">
      <c r="A87" s="137"/>
      <c r="B87" s="43" t="s">
        <v>643</v>
      </c>
      <c r="C87" s="43"/>
      <c r="D87" s="91">
        <f>Daginstitution!F204</f>
        <v>0</v>
      </c>
      <c r="E87" s="91"/>
      <c r="F87" s="147"/>
    </row>
    <row r="88" spans="1:6">
      <c r="A88" s="137"/>
      <c r="B88" s="89"/>
      <c r="C88" s="43"/>
      <c r="D88" s="91"/>
      <c r="E88" s="91"/>
      <c r="F88" s="147"/>
    </row>
    <row r="89" spans="1:6">
      <c r="A89" s="137"/>
      <c r="B89" s="43" t="s">
        <v>966</v>
      </c>
      <c r="C89" s="43"/>
      <c r="D89" s="91">
        <f>Daginstitution!F198</f>
        <v>0</v>
      </c>
      <c r="E89" s="91"/>
      <c r="F89" s="147"/>
    </row>
    <row r="90" spans="1:6">
      <c r="A90" s="137"/>
      <c r="B90" s="104" t="s">
        <v>1180</v>
      </c>
      <c r="C90" s="103"/>
      <c r="D90" s="96"/>
      <c r="E90" s="2293" t="e">
        <f>SUM(D78:D89)</f>
        <v>#REF!</v>
      </c>
      <c r="F90" s="147"/>
    </row>
    <row r="91" spans="1:6" ht="16">
      <c r="A91" s="144" t="s">
        <v>1181</v>
      </c>
      <c r="B91" s="92"/>
      <c r="C91" s="92"/>
      <c r="D91" s="95"/>
      <c r="E91" s="94"/>
      <c r="F91" s="145" t="e">
        <f>SUM(E76:E90)</f>
        <v>#REF!</v>
      </c>
    </row>
    <row r="92" spans="1:6">
      <c r="A92" s="137"/>
      <c r="B92" s="43"/>
      <c r="C92" s="43"/>
      <c r="D92" s="86"/>
      <c r="E92" s="87"/>
      <c r="F92" s="147"/>
    </row>
    <row r="93" spans="1:6" ht="17" thickBot="1">
      <c r="A93" s="3269" t="s">
        <v>1182</v>
      </c>
      <c r="B93" s="3270"/>
      <c r="C93" s="959"/>
      <c r="D93" s="1008"/>
      <c r="E93" s="965"/>
      <c r="F93" s="1009" t="e">
        <f>F69-F91</f>
        <v>#REF!</v>
      </c>
    </row>
    <row r="94" spans="1:6" ht="14" thickBot="1">
      <c r="A94" s="2294"/>
      <c r="B94" s="948"/>
      <c r="C94" s="948"/>
      <c r="D94" s="948"/>
      <c r="E94" s="948"/>
      <c r="F94" s="1010"/>
    </row>
  </sheetData>
  <sheetProtection selectLockedCells="1"/>
  <mergeCells count="2">
    <mergeCell ref="A93:B93"/>
    <mergeCell ref="A2:F2"/>
  </mergeCells>
  <phoneticPr fontId="55" type="noConversion"/>
  <printOptions horizontalCentered="1" verticalCentered="1"/>
  <pageMargins left="0.78740157480314965" right="0.6692913385826772" top="0.98425196850393704" bottom="0.82677165354330717" header="0.51181102362204722" footer="0.51181102362204722"/>
  <pageSetup paperSize="9" scale="74" fitToHeight="0" orientation="portrait"/>
  <headerFooter alignWithMargins="0">
    <oddHeader>&amp;C&amp;"Arial,Fed"&amp;12RESULTATOPGØRELSE</oddHeader>
    <oddFooter>&amp;L&amp;G&amp;R
&amp;D
&amp;A</oddFooter>
  </headerFooter>
  <rowBreaks count="1" manualBreakCount="1">
    <brk id="57" max="16383" man="1"/>
  </rowBreaks>
  <drawing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273"/>
  <sheetViews>
    <sheetView showFormulas="1" showGridLines="0" workbookViewId="0">
      <selection activeCell="G24" sqref="G24"/>
    </sheetView>
  </sheetViews>
  <sheetFormatPr baseColWidth="10" defaultColWidth="12.1640625" defaultRowHeight="16"/>
  <cols>
    <col min="1" max="6" width="12.1640625" style="148"/>
    <col min="7" max="7" width="14.1640625" style="148" customWidth="1"/>
    <col min="8" max="9" width="12.1640625" style="148"/>
    <col min="10" max="10" width="7.1640625" style="148" bestFit="1" customWidth="1"/>
    <col min="11" max="11" width="10.1640625" style="148" bestFit="1" customWidth="1"/>
    <col min="12" max="12" width="34" style="148" bestFit="1" customWidth="1"/>
    <col min="13" max="14" width="10.83203125" style="148" bestFit="1" customWidth="1"/>
    <col min="15" max="260" width="12.1640625" style="148"/>
    <col min="261" max="261" width="14.1640625" style="148" customWidth="1"/>
    <col min="262" max="516" width="12.1640625" style="148"/>
    <col min="517" max="517" width="14.1640625" style="148" customWidth="1"/>
    <col min="518" max="772" width="12.1640625" style="148"/>
    <col min="773" max="773" width="14.1640625" style="148" customWidth="1"/>
    <col min="774" max="1028" width="12.1640625" style="148"/>
    <col min="1029" max="1029" width="14.1640625" style="148" customWidth="1"/>
    <col min="1030" max="1284" width="12.1640625" style="148"/>
    <col min="1285" max="1285" width="14.1640625" style="148" customWidth="1"/>
    <col min="1286" max="1540" width="12.1640625" style="148"/>
    <col min="1541" max="1541" width="14.1640625" style="148" customWidth="1"/>
    <col min="1542" max="1796" width="12.1640625" style="148"/>
    <col min="1797" max="1797" width="14.1640625" style="148" customWidth="1"/>
    <col min="1798" max="2052" width="12.1640625" style="148"/>
    <col min="2053" max="2053" width="14.1640625" style="148" customWidth="1"/>
    <col min="2054" max="2308" width="12.1640625" style="148"/>
    <col min="2309" max="2309" width="14.1640625" style="148" customWidth="1"/>
    <col min="2310" max="2564" width="12.1640625" style="148"/>
    <col min="2565" max="2565" width="14.1640625" style="148" customWidth="1"/>
    <col min="2566" max="2820" width="12.1640625" style="148"/>
    <col min="2821" max="2821" width="14.1640625" style="148" customWidth="1"/>
    <col min="2822" max="3076" width="12.1640625" style="148"/>
    <col min="3077" max="3077" width="14.1640625" style="148" customWidth="1"/>
    <col min="3078" max="3332" width="12.1640625" style="148"/>
    <col min="3333" max="3333" width="14.1640625" style="148" customWidth="1"/>
    <col min="3334" max="3588" width="12.1640625" style="148"/>
    <col min="3589" max="3589" width="14.1640625" style="148" customWidth="1"/>
    <col min="3590" max="3844" width="12.1640625" style="148"/>
    <col min="3845" max="3845" width="14.1640625" style="148" customWidth="1"/>
    <col min="3846" max="4100" width="12.1640625" style="148"/>
    <col min="4101" max="4101" width="14.1640625" style="148" customWidth="1"/>
    <col min="4102" max="4356" width="12.1640625" style="148"/>
    <col min="4357" max="4357" width="14.1640625" style="148" customWidth="1"/>
    <col min="4358" max="4612" width="12.1640625" style="148"/>
    <col min="4613" max="4613" width="14.1640625" style="148" customWidth="1"/>
    <col min="4614" max="4868" width="12.1640625" style="148"/>
    <col min="4869" max="4869" width="14.1640625" style="148" customWidth="1"/>
    <col min="4870" max="5124" width="12.1640625" style="148"/>
    <col min="5125" max="5125" width="14.1640625" style="148" customWidth="1"/>
    <col min="5126" max="5380" width="12.1640625" style="148"/>
    <col min="5381" max="5381" width="14.1640625" style="148" customWidth="1"/>
    <col min="5382" max="5636" width="12.1640625" style="148"/>
    <col min="5637" max="5637" width="14.1640625" style="148" customWidth="1"/>
    <col min="5638" max="5892" width="12.1640625" style="148"/>
    <col min="5893" max="5893" width="14.1640625" style="148" customWidth="1"/>
    <col min="5894" max="6148" width="12.1640625" style="148"/>
    <col min="6149" max="6149" width="14.1640625" style="148" customWidth="1"/>
    <col min="6150" max="6404" width="12.1640625" style="148"/>
    <col min="6405" max="6405" width="14.1640625" style="148" customWidth="1"/>
    <col min="6406" max="6660" width="12.1640625" style="148"/>
    <col min="6661" max="6661" width="14.1640625" style="148" customWidth="1"/>
    <col min="6662" max="6916" width="12.1640625" style="148"/>
    <col min="6917" max="6917" width="14.1640625" style="148" customWidth="1"/>
    <col min="6918" max="7172" width="12.1640625" style="148"/>
    <col min="7173" max="7173" width="14.1640625" style="148" customWidth="1"/>
    <col min="7174" max="7428" width="12.1640625" style="148"/>
    <col min="7429" max="7429" width="14.1640625" style="148" customWidth="1"/>
    <col min="7430" max="7684" width="12.1640625" style="148"/>
    <col min="7685" max="7685" width="14.1640625" style="148" customWidth="1"/>
    <col min="7686" max="7940" width="12.1640625" style="148"/>
    <col min="7941" max="7941" width="14.1640625" style="148" customWidth="1"/>
    <col min="7942" max="8196" width="12.1640625" style="148"/>
    <col min="8197" max="8197" width="14.1640625" style="148" customWidth="1"/>
    <col min="8198" max="8452" width="12.1640625" style="148"/>
    <col min="8453" max="8453" width="14.1640625" style="148" customWidth="1"/>
    <col min="8454" max="8708" width="12.1640625" style="148"/>
    <col min="8709" max="8709" width="14.1640625" style="148" customWidth="1"/>
    <col min="8710" max="8964" width="12.1640625" style="148"/>
    <col min="8965" max="8965" width="14.1640625" style="148" customWidth="1"/>
    <col min="8966" max="9220" width="12.1640625" style="148"/>
    <col min="9221" max="9221" width="14.1640625" style="148" customWidth="1"/>
    <col min="9222" max="9476" width="12.1640625" style="148"/>
    <col min="9477" max="9477" width="14.1640625" style="148" customWidth="1"/>
    <col min="9478" max="9732" width="12.1640625" style="148"/>
    <col min="9733" max="9733" width="14.1640625" style="148" customWidth="1"/>
    <col min="9734" max="9988" width="12.1640625" style="148"/>
    <col min="9989" max="9989" width="14.1640625" style="148" customWidth="1"/>
    <col min="9990" max="10244" width="12.1640625" style="148"/>
    <col min="10245" max="10245" width="14.1640625" style="148" customWidth="1"/>
    <col min="10246" max="10500" width="12.1640625" style="148"/>
    <col min="10501" max="10501" width="14.1640625" style="148" customWidth="1"/>
    <col min="10502" max="10756" width="12.1640625" style="148"/>
    <col min="10757" max="10757" width="14.1640625" style="148" customWidth="1"/>
    <col min="10758" max="11012" width="12.1640625" style="148"/>
    <col min="11013" max="11013" width="14.1640625" style="148" customWidth="1"/>
    <col min="11014" max="11268" width="12.1640625" style="148"/>
    <col min="11269" max="11269" width="14.1640625" style="148" customWidth="1"/>
    <col min="11270" max="11524" width="12.1640625" style="148"/>
    <col min="11525" max="11525" width="14.1640625" style="148" customWidth="1"/>
    <col min="11526" max="11780" width="12.1640625" style="148"/>
    <col min="11781" max="11781" width="14.1640625" style="148" customWidth="1"/>
    <col min="11782" max="12036" width="12.1640625" style="148"/>
    <col min="12037" max="12037" width="14.1640625" style="148" customWidth="1"/>
    <col min="12038" max="12292" width="12.1640625" style="148"/>
    <col min="12293" max="12293" width="14.1640625" style="148" customWidth="1"/>
    <col min="12294" max="12548" width="12.1640625" style="148"/>
    <col min="12549" max="12549" width="14.1640625" style="148" customWidth="1"/>
    <col min="12550" max="12804" width="12.1640625" style="148"/>
    <col min="12805" max="12805" width="14.1640625" style="148" customWidth="1"/>
    <col min="12806" max="13060" width="12.1640625" style="148"/>
    <col min="13061" max="13061" width="14.1640625" style="148" customWidth="1"/>
    <col min="13062" max="13316" width="12.1640625" style="148"/>
    <col min="13317" max="13317" width="14.1640625" style="148" customWidth="1"/>
    <col min="13318" max="13572" width="12.1640625" style="148"/>
    <col min="13573" max="13573" width="14.1640625" style="148" customWidth="1"/>
    <col min="13574" max="13828" width="12.1640625" style="148"/>
    <col min="13829" max="13829" width="14.1640625" style="148" customWidth="1"/>
    <col min="13830" max="14084" width="12.1640625" style="148"/>
    <col min="14085" max="14085" width="14.1640625" style="148" customWidth="1"/>
    <col min="14086" max="14340" width="12.1640625" style="148"/>
    <col min="14341" max="14341" width="14.1640625" style="148" customWidth="1"/>
    <col min="14342" max="14596" width="12.1640625" style="148"/>
    <col min="14597" max="14597" width="14.1640625" style="148" customWidth="1"/>
    <col min="14598" max="14852" width="12.1640625" style="148"/>
    <col min="14853" max="14853" width="14.1640625" style="148" customWidth="1"/>
    <col min="14854" max="15108" width="12.1640625" style="148"/>
    <col min="15109" max="15109" width="14.1640625" style="148" customWidth="1"/>
    <col min="15110" max="15364" width="12.1640625" style="148"/>
    <col min="15365" max="15365" width="14.1640625" style="148" customWidth="1"/>
    <col min="15366" max="15620" width="12.1640625" style="148"/>
    <col min="15621" max="15621" width="14.1640625" style="148" customWidth="1"/>
    <col min="15622" max="15876" width="12.1640625" style="148"/>
    <col min="15877" max="15877" width="14.1640625" style="148" customWidth="1"/>
    <col min="15878" max="16132" width="12.1640625" style="148"/>
    <col min="16133" max="16133" width="14.1640625" style="148" customWidth="1"/>
    <col min="16134" max="16384" width="12.1640625" style="148"/>
  </cols>
  <sheetData>
    <row r="1" spans="1:14">
      <c r="A1" s="2295" t="s">
        <v>1183</v>
      </c>
      <c r="B1" s="2296"/>
      <c r="C1" s="2296"/>
      <c r="D1" s="2296"/>
      <c r="E1" s="2296"/>
      <c r="F1" s="2296"/>
      <c r="G1" s="2297"/>
      <c r="J1" s="2298" t="s">
        <v>1184</v>
      </c>
      <c r="K1" s="2299" t="s">
        <v>1185</v>
      </c>
      <c r="L1" s="2298" t="s">
        <v>1186</v>
      </c>
      <c r="M1" s="2300" t="s">
        <v>1187</v>
      </c>
      <c r="N1" s="2300" t="s">
        <v>1188</v>
      </c>
    </row>
    <row r="2" spans="1:14">
      <c r="A2" s="149"/>
      <c r="B2" s="150"/>
      <c r="C2" s="151"/>
      <c r="D2" s="152" t="s">
        <v>510</v>
      </c>
      <c r="E2" s="151"/>
      <c r="F2" s="153"/>
      <c r="G2" s="154"/>
      <c r="J2" s="2301"/>
      <c r="K2" s="2302"/>
      <c r="L2" s="2301"/>
      <c r="M2" s="2303" t="str">
        <f>""</f>
        <v/>
      </c>
      <c r="N2" s="2303" t="str">
        <f>""</f>
        <v/>
      </c>
    </row>
    <row r="3" spans="1:14">
      <c r="A3" s="2304" t="s">
        <v>1189</v>
      </c>
      <c r="B3" s="155" t="s">
        <v>1190</v>
      </c>
      <c r="C3" s="156" t="s">
        <v>1191</v>
      </c>
      <c r="D3" s="156" t="s">
        <v>1192</v>
      </c>
      <c r="E3" s="156" t="s">
        <v>1193</v>
      </c>
      <c r="F3" s="156" t="s">
        <v>1194</v>
      </c>
      <c r="G3" s="2305" t="s">
        <v>1195</v>
      </c>
      <c r="J3" s="2301">
        <v>101077</v>
      </c>
      <c r="K3" s="2302">
        <v>101</v>
      </c>
      <c r="L3" s="2301" t="s">
        <v>1196</v>
      </c>
      <c r="M3" s="2303" t="s">
        <v>429</v>
      </c>
      <c r="N3" s="2303">
        <v>1</v>
      </c>
    </row>
    <row r="4" spans="1:14">
      <c r="A4" s="157">
        <v>1</v>
      </c>
      <c r="B4" s="158">
        <v>184817</v>
      </c>
      <c r="C4" s="159">
        <v>188265</v>
      </c>
      <c r="D4" s="159">
        <v>190650</v>
      </c>
      <c r="E4" s="159">
        <v>194098</v>
      </c>
      <c r="F4" s="159">
        <v>196484</v>
      </c>
      <c r="G4" s="160">
        <v>171917.38</v>
      </c>
      <c r="J4" s="2301">
        <v>101086</v>
      </c>
      <c r="K4" s="2302">
        <v>101</v>
      </c>
      <c r="L4" s="2301" t="s">
        <v>1197</v>
      </c>
      <c r="M4" s="2303" t="s">
        <v>429</v>
      </c>
      <c r="N4" s="2303">
        <v>1</v>
      </c>
    </row>
    <row r="5" spans="1:14">
      <c r="A5" s="157">
        <v>2</v>
      </c>
      <c r="B5" s="158">
        <v>187655</v>
      </c>
      <c r="C5" s="159">
        <v>191187</v>
      </c>
      <c r="D5" s="159">
        <v>193632</v>
      </c>
      <c r="E5" s="159">
        <v>197161</v>
      </c>
      <c r="F5" s="159">
        <v>199607</v>
      </c>
      <c r="G5" s="160">
        <v>174577.34</v>
      </c>
      <c r="J5" s="2301">
        <v>101129</v>
      </c>
      <c r="K5" s="2302">
        <v>101</v>
      </c>
      <c r="L5" s="2301" t="s">
        <v>1198</v>
      </c>
      <c r="M5" s="2303" t="s">
        <v>429</v>
      </c>
      <c r="N5" s="2303">
        <v>1</v>
      </c>
    </row>
    <row r="6" spans="1:14">
      <c r="A6" s="157">
        <v>3</v>
      </c>
      <c r="B6" s="158">
        <v>190571</v>
      </c>
      <c r="C6" s="159">
        <v>194187</v>
      </c>
      <c r="D6" s="159">
        <v>196692</v>
      </c>
      <c r="E6" s="159">
        <v>200308</v>
      </c>
      <c r="F6" s="159">
        <v>202814</v>
      </c>
      <c r="G6" s="160">
        <v>177309.48</v>
      </c>
      <c r="J6" s="2301">
        <v>101135</v>
      </c>
      <c r="K6" s="2302">
        <v>101</v>
      </c>
      <c r="L6" s="2301" t="s">
        <v>1199</v>
      </c>
      <c r="M6" s="2303" t="s">
        <v>429</v>
      </c>
      <c r="N6" s="2303">
        <v>1</v>
      </c>
    </row>
    <row r="7" spans="1:14">
      <c r="A7" s="157">
        <v>4</v>
      </c>
      <c r="B7" s="158">
        <v>193567</v>
      </c>
      <c r="C7" s="159">
        <v>197274</v>
      </c>
      <c r="D7" s="159">
        <v>199840</v>
      </c>
      <c r="E7" s="159">
        <v>203545</v>
      </c>
      <c r="F7" s="159">
        <v>206110</v>
      </c>
      <c r="G7" s="160">
        <v>180117.41</v>
      </c>
      <c r="J7" s="2301">
        <v>101149</v>
      </c>
      <c r="K7" s="2302">
        <v>101</v>
      </c>
      <c r="L7" s="2301" t="s">
        <v>1200</v>
      </c>
      <c r="M7" s="2303" t="s">
        <v>429</v>
      </c>
      <c r="N7" s="2303">
        <v>1</v>
      </c>
    </row>
    <row r="8" spans="1:14">
      <c r="A8" s="157">
        <v>5</v>
      </c>
      <c r="B8" s="158">
        <v>196645</v>
      </c>
      <c r="C8" s="159">
        <v>200442</v>
      </c>
      <c r="D8" s="159">
        <v>203072</v>
      </c>
      <c r="E8" s="159">
        <v>206869</v>
      </c>
      <c r="F8" s="159">
        <v>209497</v>
      </c>
      <c r="G8" s="160">
        <v>183001.14</v>
      </c>
      <c r="J8" s="2301">
        <v>101152</v>
      </c>
      <c r="K8" s="2302">
        <v>101</v>
      </c>
      <c r="L8" s="2301" t="s">
        <v>1201</v>
      </c>
      <c r="M8" s="2303" t="s">
        <v>429</v>
      </c>
      <c r="N8" s="2303">
        <v>1</v>
      </c>
    </row>
    <row r="9" spans="1:14">
      <c r="A9" s="157">
        <v>6</v>
      </c>
      <c r="B9" s="158">
        <v>199810</v>
      </c>
      <c r="C9" s="159">
        <v>203700</v>
      </c>
      <c r="D9" s="159">
        <v>206395</v>
      </c>
      <c r="E9" s="159">
        <v>210285</v>
      </c>
      <c r="F9" s="159">
        <v>212978</v>
      </c>
      <c r="G9" s="160">
        <v>185966.06</v>
      </c>
      <c r="J9" s="2301">
        <v>101162</v>
      </c>
      <c r="K9" s="2302">
        <v>101</v>
      </c>
      <c r="L9" s="2301" t="s">
        <v>1202</v>
      </c>
      <c r="M9" s="2303" t="s">
        <v>429</v>
      </c>
      <c r="N9" s="2303">
        <v>1</v>
      </c>
    </row>
    <row r="10" spans="1:14">
      <c r="A10" s="157">
        <v>7</v>
      </c>
      <c r="B10" s="158">
        <v>203058</v>
      </c>
      <c r="C10" s="159">
        <v>207045</v>
      </c>
      <c r="D10" s="159">
        <v>209805</v>
      </c>
      <c r="E10" s="159">
        <v>213792</v>
      </c>
      <c r="F10" s="159">
        <v>216551</v>
      </c>
      <c r="G10" s="160">
        <v>189010.4</v>
      </c>
      <c r="J10" s="2301">
        <v>101163</v>
      </c>
      <c r="K10" s="2302">
        <v>101</v>
      </c>
      <c r="L10" s="2301" t="s">
        <v>1203</v>
      </c>
      <c r="M10" s="2303" t="s">
        <v>429</v>
      </c>
      <c r="N10" s="2303">
        <v>1</v>
      </c>
    </row>
    <row r="11" spans="1:14">
      <c r="A11" s="157">
        <v>8</v>
      </c>
      <c r="B11" s="158">
        <v>206396</v>
      </c>
      <c r="C11" s="159">
        <v>210482</v>
      </c>
      <c r="D11" s="159">
        <v>213311</v>
      </c>
      <c r="E11" s="159">
        <v>217397</v>
      </c>
      <c r="F11" s="159">
        <v>220226</v>
      </c>
      <c r="G11" s="160">
        <v>192139.54</v>
      </c>
      <c r="J11" s="2301">
        <v>101166</v>
      </c>
      <c r="K11" s="2302">
        <v>101</v>
      </c>
      <c r="L11" s="2301" t="s">
        <v>1204</v>
      </c>
      <c r="M11" s="2303" t="s">
        <v>429</v>
      </c>
      <c r="N11" s="2303">
        <v>1</v>
      </c>
    </row>
    <row r="12" spans="1:14">
      <c r="A12" s="157">
        <v>9</v>
      </c>
      <c r="B12" s="158">
        <v>209829</v>
      </c>
      <c r="C12" s="159">
        <v>214015</v>
      </c>
      <c r="D12" s="159">
        <v>216916</v>
      </c>
      <c r="E12" s="159">
        <v>221102</v>
      </c>
      <c r="F12" s="159">
        <v>224002</v>
      </c>
      <c r="G12" s="160">
        <v>195355.31</v>
      </c>
      <c r="J12" s="2301">
        <v>101169</v>
      </c>
      <c r="K12" s="2302">
        <v>101</v>
      </c>
      <c r="L12" s="2301" t="s">
        <v>1205</v>
      </c>
      <c r="M12" s="2303" t="s">
        <v>429</v>
      </c>
      <c r="N12" s="2303">
        <v>1</v>
      </c>
    </row>
    <row r="13" spans="1:14">
      <c r="A13" s="157">
        <v>10</v>
      </c>
      <c r="B13" s="158">
        <v>213353</v>
      </c>
      <c r="C13" s="159">
        <v>217646</v>
      </c>
      <c r="D13" s="159">
        <v>220617</v>
      </c>
      <c r="E13" s="159">
        <v>224909</v>
      </c>
      <c r="F13" s="159">
        <v>227882</v>
      </c>
      <c r="G13" s="160">
        <v>198659.5</v>
      </c>
      <c r="J13" s="2301">
        <v>101172</v>
      </c>
      <c r="K13" s="2302">
        <v>101</v>
      </c>
      <c r="L13" s="2301" t="s">
        <v>1206</v>
      </c>
      <c r="M13" s="2303" t="s">
        <v>429</v>
      </c>
      <c r="N13" s="2303">
        <v>1</v>
      </c>
    </row>
    <row r="14" spans="1:14">
      <c r="A14" s="157">
        <v>11</v>
      </c>
      <c r="B14" s="158">
        <v>216134</v>
      </c>
      <c r="C14" s="159">
        <v>220533</v>
      </c>
      <c r="D14" s="159">
        <v>223579</v>
      </c>
      <c r="E14" s="159">
        <v>227978</v>
      </c>
      <c r="F14" s="159">
        <v>231023</v>
      </c>
      <c r="G14" s="160">
        <v>202053.93</v>
      </c>
      <c r="J14" s="2301">
        <v>101180</v>
      </c>
      <c r="K14" s="2302">
        <v>101</v>
      </c>
      <c r="L14" s="2301" t="s">
        <v>1207</v>
      </c>
      <c r="M14" s="2303" t="s">
        <v>429</v>
      </c>
      <c r="N14" s="2303">
        <v>1</v>
      </c>
    </row>
    <row r="15" spans="1:14">
      <c r="A15" s="157">
        <v>12</v>
      </c>
      <c r="B15" s="158">
        <v>219855</v>
      </c>
      <c r="C15" s="159">
        <v>224365</v>
      </c>
      <c r="D15" s="159">
        <v>227489</v>
      </c>
      <c r="E15" s="159">
        <v>231997</v>
      </c>
      <c r="F15" s="159">
        <v>235119</v>
      </c>
      <c r="G15" s="160">
        <v>205542.18</v>
      </c>
      <c r="J15" s="2301">
        <v>101181</v>
      </c>
      <c r="K15" s="2302">
        <v>101</v>
      </c>
      <c r="L15" s="2301" t="s">
        <v>1208</v>
      </c>
      <c r="M15" s="2303" t="s">
        <v>429</v>
      </c>
      <c r="N15" s="2303">
        <v>1</v>
      </c>
    </row>
    <row r="16" spans="1:14">
      <c r="A16" s="157">
        <v>13</v>
      </c>
      <c r="B16" s="158">
        <v>223681</v>
      </c>
      <c r="C16" s="159">
        <v>228304</v>
      </c>
      <c r="D16" s="159">
        <v>231504</v>
      </c>
      <c r="E16" s="159">
        <v>236129</v>
      </c>
      <c r="F16" s="159">
        <v>239328</v>
      </c>
      <c r="G16" s="160">
        <v>209126.09</v>
      </c>
      <c r="J16" s="2301">
        <v>101184</v>
      </c>
      <c r="K16" s="2302">
        <v>101</v>
      </c>
      <c r="L16" s="2301" t="s">
        <v>1209</v>
      </c>
      <c r="M16" s="2303" t="s">
        <v>429</v>
      </c>
      <c r="N16" s="2303">
        <v>1</v>
      </c>
    </row>
    <row r="17" spans="1:14">
      <c r="A17" s="157">
        <v>14</v>
      </c>
      <c r="B17" s="158">
        <v>227611</v>
      </c>
      <c r="C17" s="159">
        <v>232351</v>
      </c>
      <c r="D17" s="159">
        <v>235632</v>
      </c>
      <c r="E17" s="159">
        <v>240371</v>
      </c>
      <c r="F17" s="159">
        <v>243652</v>
      </c>
      <c r="G17" s="160">
        <v>212809.24</v>
      </c>
      <c r="J17" s="2301">
        <v>101185</v>
      </c>
      <c r="K17" s="2302">
        <v>101</v>
      </c>
      <c r="L17" s="2301" t="s">
        <v>1210</v>
      </c>
      <c r="M17" s="2303" t="s">
        <v>429</v>
      </c>
      <c r="N17" s="2303">
        <v>1</v>
      </c>
    </row>
    <row r="18" spans="1:14">
      <c r="A18" s="157">
        <v>15</v>
      </c>
      <c r="B18" s="158">
        <v>231649</v>
      </c>
      <c r="C18" s="159">
        <v>236507</v>
      </c>
      <c r="D18" s="159">
        <v>239870</v>
      </c>
      <c r="E18" s="159">
        <v>244730</v>
      </c>
      <c r="F18" s="159">
        <v>248094</v>
      </c>
      <c r="G18" s="160">
        <v>216591.65</v>
      </c>
      <c r="J18" s="2301">
        <v>101189</v>
      </c>
      <c r="K18" s="2302">
        <v>101</v>
      </c>
      <c r="L18" s="2301" t="s">
        <v>1211</v>
      </c>
      <c r="M18" s="2303" t="s">
        <v>429</v>
      </c>
      <c r="N18" s="2303">
        <v>1</v>
      </c>
    </row>
    <row r="19" spans="1:14">
      <c r="A19" s="157">
        <v>16</v>
      </c>
      <c r="B19" s="158">
        <v>234743</v>
      </c>
      <c r="C19" s="159">
        <v>239725</v>
      </c>
      <c r="D19" s="159">
        <v>243175</v>
      </c>
      <c r="E19" s="159">
        <v>248156</v>
      </c>
      <c r="F19" s="159">
        <v>251606</v>
      </c>
      <c r="G19" s="160">
        <v>220480.52</v>
      </c>
      <c r="J19" s="2301">
        <v>101516</v>
      </c>
      <c r="K19" s="2302">
        <v>101</v>
      </c>
      <c r="L19" s="2301" t="s">
        <v>1212</v>
      </c>
      <c r="M19" s="2303" t="s">
        <v>429</v>
      </c>
      <c r="N19" s="2303">
        <v>1</v>
      </c>
    </row>
    <row r="20" spans="1:14">
      <c r="A20" s="157">
        <v>17</v>
      </c>
      <c r="B20" s="158">
        <v>239005</v>
      </c>
      <c r="C20" s="159">
        <v>244114</v>
      </c>
      <c r="D20" s="159">
        <v>247651</v>
      </c>
      <c r="E20" s="159">
        <v>252759</v>
      </c>
      <c r="F20" s="159">
        <v>256294</v>
      </c>
      <c r="G20" s="160">
        <v>224474.06</v>
      </c>
      <c r="J20" s="2301">
        <v>101526</v>
      </c>
      <c r="K20" s="2302">
        <v>101</v>
      </c>
      <c r="L20" s="2301" t="s">
        <v>1213</v>
      </c>
      <c r="M20" s="2303" t="s">
        <v>429</v>
      </c>
      <c r="N20" s="2303">
        <v>1</v>
      </c>
    </row>
    <row r="21" spans="1:14">
      <c r="A21" s="157">
        <v>18</v>
      </c>
      <c r="B21" s="158">
        <v>243387</v>
      </c>
      <c r="C21" s="159">
        <v>248626</v>
      </c>
      <c r="D21" s="159">
        <v>252252</v>
      </c>
      <c r="E21" s="159">
        <v>257490</v>
      </c>
      <c r="F21" s="159">
        <v>261115</v>
      </c>
      <c r="G21" s="160">
        <v>228579.5</v>
      </c>
      <c r="J21" s="2301">
        <v>101533</v>
      </c>
      <c r="K21" s="2302">
        <v>101</v>
      </c>
      <c r="L21" s="2301" t="s">
        <v>1214</v>
      </c>
      <c r="M21" s="2303" t="s">
        <v>429</v>
      </c>
      <c r="N21" s="2303">
        <v>1</v>
      </c>
    </row>
    <row r="22" spans="1:14">
      <c r="A22" s="157">
        <v>19</v>
      </c>
      <c r="B22" s="158">
        <v>246657</v>
      </c>
      <c r="C22" s="159">
        <v>252029</v>
      </c>
      <c r="D22" s="159">
        <v>255746</v>
      </c>
      <c r="E22" s="159">
        <v>261119</v>
      </c>
      <c r="F22" s="159">
        <v>264839</v>
      </c>
      <c r="G22" s="160">
        <v>232796.81</v>
      </c>
      <c r="J22" s="2301">
        <v>101541</v>
      </c>
      <c r="K22" s="2302">
        <v>101</v>
      </c>
      <c r="L22" s="2301" t="s">
        <v>1215</v>
      </c>
      <c r="M22" s="2303" t="s">
        <v>429</v>
      </c>
      <c r="N22" s="2303">
        <v>1</v>
      </c>
    </row>
    <row r="23" spans="1:14">
      <c r="A23" s="157">
        <v>20</v>
      </c>
      <c r="B23" s="158">
        <v>250053</v>
      </c>
      <c r="C23" s="159">
        <v>255560</v>
      </c>
      <c r="D23" s="159">
        <v>259374</v>
      </c>
      <c r="E23" s="159">
        <v>264882</v>
      </c>
      <c r="F23" s="159">
        <v>268694</v>
      </c>
      <c r="G23" s="160">
        <v>237129.61</v>
      </c>
      <c r="J23" s="2301">
        <v>101564</v>
      </c>
      <c r="K23" s="2302">
        <v>101</v>
      </c>
      <c r="L23" s="2301" t="s">
        <v>1216</v>
      </c>
      <c r="M23" s="2303" t="s">
        <v>429</v>
      </c>
      <c r="N23" s="2303">
        <v>1</v>
      </c>
    </row>
    <row r="24" spans="1:14">
      <c r="A24" s="157">
        <v>21</v>
      </c>
      <c r="B24" s="158">
        <v>254192</v>
      </c>
      <c r="C24" s="159">
        <v>259841</v>
      </c>
      <c r="D24" s="159">
        <v>263752</v>
      </c>
      <c r="E24" s="159">
        <v>269401</v>
      </c>
      <c r="F24" s="159">
        <v>273312</v>
      </c>
      <c r="G24" s="160">
        <v>241583.32</v>
      </c>
      <c r="J24" s="2301">
        <v>101581</v>
      </c>
      <c r="K24" s="2302">
        <v>101</v>
      </c>
      <c r="L24" s="2301" t="s">
        <v>1217</v>
      </c>
      <c r="M24" s="2303" t="s">
        <v>429</v>
      </c>
      <c r="N24" s="2303">
        <v>1</v>
      </c>
    </row>
    <row r="25" spans="1:14">
      <c r="A25" s="157">
        <v>22</v>
      </c>
      <c r="B25" s="158">
        <v>258027</v>
      </c>
      <c r="C25" s="159">
        <v>263676</v>
      </c>
      <c r="D25" s="159">
        <v>267587</v>
      </c>
      <c r="E25" s="159">
        <v>273236</v>
      </c>
      <c r="F25" s="159">
        <v>277147</v>
      </c>
      <c r="G25" s="160">
        <v>246033.33</v>
      </c>
      <c r="J25" s="2301">
        <v>101584</v>
      </c>
      <c r="K25" s="2302">
        <v>101</v>
      </c>
      <c r="L25" s="2301" t="s">
        <v>1218</v>
      </c>
      <c r="M25" s="2303" t="s">
        <v>429</v>
      </c>
      <c r="N25" s="2303">
        <v>1</v>
      </c>
    </row>
    <row r="26" spans="1:14">
      <c r="A26" s="157">
        <v>23</v>
      </c>
      <c r="B26" s="158">
        <v>262137</v>
      </c>
      <c r="C26" s="159">
        <v>267629</v>
      </c>
      <c r="D26" s="159">
        <v>271434</v>
      </c>
      <c r="E26" s="159">
        <v>276928</v>
      </c>
      <c r="F26" s="159">
        <v>280730</v>
      </c>
      <c r="G26" s="160">
        <v>250472.55</v>
      </c>
      <c r="J26" s="2301">
        <v>101593</v>
      </c>
      <c r="K26" s="2302">
        <v>101</v>
      </c>
      <c r="L26" s="2301" t="s">
        <v>1219</v>
      </c>
      <c r="M26" s="2303" t="s">
        <v>429</v>
      </c>
      <c r="N26" s="2303">
        <v>1</v>
      </c>
    </row>
    <row r="27" spans="1:14">
      <c r="A27" s="157">
        <v>24</v>
      </c>
      <c r="B27" s="158">
        <v>266372</v>
      </c>
      <c r="C27" s="159">
        <v>271710</v>
      </c>
      <c r="D27" s="159">
        <v>275406</v>
      </c>
      <c r="E27" s="159">
        <v>280745</v>
      </c>
      <c r="F27" s="159">
        <v>284441</v>
      </c>
      <c r="G27" s="160">
        <v>255037.97</v>
      </c>
      <c r="J27" s="2301">
        <v>147031</v>
      </c>
      <c r="K27" s="2302">
        <v>147</v>
      </c>
      <c r="L27" s="2301" t="s">
        <v>1220</v>
      </c>
      <c r="M27" s="2303" t="s">
        <v>429</v>
      </c>
      <c r="N27" s="2303">
        <v>1</v>
      </c>
    </row>
    <row r="28" spans="1:14">
      <c r="A28" s="157">
        <v>25</v>
      </c>
      <c r="B28" s="158">
        <v>270701</v>
      </c>
      <c r="C28" s="159">
        <v>275873</v>
      </c>
      <c r="D28" s="159">
        <v>279454</v>
      </c>
      <c r="E28" s="159">
        <v>284626</v>
      </c>
      <c r="F28" s="159">
        <v>288206</v>
      </c>
      <c r="G28" s="160">
        <v>259721.7</v>
      </c>
      <c r="J28" s="2301">
        <v>151022</v>
      </c>
      <c r="K28" s="2302">
        <v>151</v>
      </c>
      <c r="L28" s="2301" t="s">
        <v>1221</v>
      </c>
      <c r="M28" s="2303" t="s">
        <v>429</v>
      </c>
      <c r="N28" s="2303">
        <v>1</v>
      </c>
    </row>
    <row r="29" spans="1:14">
      <c r="A29" s="157">
        <v>26</v>
      </c>
      <c r="B29" s="158">
        <v>275131</v>
      </c>
      <c r="C29" s="159">
        <v>280123</v>
      </c>
      <c r="D29" s="159">
        <v>283580</v>
      </c>
      <c r="E29" s="159">
        <v>288573</v>
      </c>
      <c r="F29" s="159">
        <v>292029</v>
      </c>
      <c r="G29" s="160">
        <v>264528.59000000003</v>
      </c>
      <c r="J29" s="2301">
        <v>157015</v>
      </c>
      <c r="K29" s="2302">
        <v>157</v>
      </c>
      <c r="L29" s="2301" t="s">
        <v>1222</v>
      </c>
      <c r="M29" s="2303" t="s">
        <v>429</v>
      </c>
      <c r="N29" s="2303">
        <v>1</v>
      </c>
    </row>
    <row r="30" spans="1:14">
      <c r="A30" s="157">
        <v>27</v>
      </c>
      <c r="B30" s="158">
        <v>279656</v>
      </c>
      <c r="C30" s="159">
        <v>284456</v>
      </c>
      <c r="D30" s="159">
        <v>287782</v>
      </c>
      <c r="E30" s="159">
        <v>292583</v>
      </c>
      <c r="F30" s="159">
        <v>295908</v>
      </c>
      <c r="G30" s="160">
        <v>269459.90000000002</v>
      </c>
      <c r="J30" s="2301">
        <v>157020</v>
      </c>
      <c r="K30" s="2302">
        <v>157</v>
      </c>
      <c r="L30" s="2301" t="s">
        <v>1223</v>
      </c>
      <c r="M30" s="2303" t="s">
        <v>429</v>
      </c>
      <c r="N30" s="2303">
        <v>1</v>
      </c>
    </row>
    <row r="31" spans="1:14">
      <c r="A31" s="157">
        <v>28</v>
      </c>
      <c r="B31" s="158">
        <v>284283</v>
      </c>
      <c r="C31" s="159">
        <v>288881</v>
      </c>
      <c r="D31" s="159">
        <v>292064</v>
      </c>
      <c r="E31" s="159">
        <v>296661</v>
      </c>
      <c r="F31" s="159">
        <v>299845</v>
      </c>
      <c r="G31" s="160">
        <v>274522.23</v>
      </c>
      <c r="J31" s="2301">
        <v>159040</v>
      </c>
      <c r="K31" s="2302">
        <v>159</v>
      </c>
      <c r="L31" s="2301" t="s">
        <v>1224</v>
      </c>
      <c r="M31" s="2303" t="s">
        <v>429</v>
      </c>
      <c r="N31" s="2303">
        <v>1</v>
      </c>
    </row>
    <row r="32" spans="1:14">
      <c r="A32" s="157">
        <v>29</v>
      </c>
      <c r="B32" s="158">
        <v>289014</v>
      </c>
      <c r="C32" s="159">
        <v>293394</v>
      </c>
      <c r="D32" s="159">
        <v>296427</v>
      </c>
      <c r="E32" s="159">
        <v>300807</v>
      </c>
      <c r="F32" s="159">
        <v>303839</v>
      </c>
      <c r="G32" s="160">
        <v>279714.99</v>
      </c>
      <c r="J32" s="2301">
        <v>181010</v>
      </c>
      <c r="K32" s="2302">
        <v>230</v>
      </c>
      <c r="L32" s="2301" t="s">
        <v>1225</v>
      </c>
      <c r="M32" s="2303">
        <v>6</v>
      </c>
      <c r="N32" s="2303">
        <v>1</v>
      </c>
    </row>
    <row r="33" spans="1:14">
      <c r="A33" s="157">
        <v>30</v>
      </c>
      <c r="B33" s="158">
        <v>293853</v>
      </c>
      <c r="C33" s="159">
        <v>298001</v>
      </c>
      <c r="D33" s="159">
        <v>300872</v>
      </c>
      <c r="E33" s="159">
        <v>305018</v>
      </c>
      <c r="F33" s="159">
        <v>307890</v>
      </c>
      <c r="G33" s="160">
        <v>285044.74</v>
      </c>
      <c r="J33" s="2301">
        <v>217020</v>
      </c>
      <c r="K33" s="2302">
        <v>217</v>
      </c>
      <c r="L33" s="2301" t="s">
        <v>1226</v>
      </c>
      <c r="M33" s="2303" t="s">
        <v>428</v>
      </c>
      <c r="N33" s="2303">
        <v>1</v>
      </c>
    </row>
    <row r="34" spans="1:14">
      <c r="A34" s="157">
        <v>31</v>
      </c>
      <c r="B34" s="158">
        <v>298795</v>
      </c>
      <c r="C34" s="159">
        <v>302696</v>
      </c>
      <c r="D34" s="159">
        <v>305398</v>
      </c>
      <c r="E34" s="159">
        <v>309299</v>
      </c>
      <c r="F34" s="159">
        <v>312000</v>
      </c>
      <c r="G34" s="160">
        <v>290512.64000000001</v>
      </c>
      <c r="J34" s="2301">
        <v>217029</v>
      </c>
      <c r="K34" s="2302">
        <v>217</v>
      </c>
      <c r="L34" s="2301" t="s">
        <v>1227</v>
      </c>
      <c r="M34" s="2303" t="s">
        <v>428</v>
      </c>
      <c r="N34" s="2303">
        <v>1</v>
      </c>
    </row>
    <row r="35" spans="1:14">
      <c r="A35" s="157">
        <v>32</v>
      </c>
      <c r="B35" s="158">
        <v>303852</v>
      </c>
      <c r="C35" s="159">
        <v>307490</v>
      </c>
      <c r="D35" s="159">
        <v>310009</v>
      </c>
      <c r="E35" s="159">
        <v>313649</v>
      </c>
      <c r="F35" s="159">
        <v>316167</v>
      </c>
      <c r="G35" s="160">
        <v>296125.21000000002</v>
      </c>
      <c r="J35" s="2301">
        <v>219022</v>
      </c>
      <c r="K35" s="2302">
        <v>219</v>
      </c>
      <c r="L35" s="2301" t="s">
        <v>1228</v>
      </c>
      <c r="M35" s="2303" t="s">
        <v>428</v>
      </c>
      <c r="N35" s="2303">
        <v>1</v>
      </c>
    </row>
    <row r="36" spans="1:14">
      <c r="A36" s="157">
        <v>33</v>
      </c>
      <c r="B36" s="158">
        <v>309016</v>
      </c>
      <c r="C36" s="159">
        <v>312375</v>
      </c>
      <c r="D36" s="159">
        <v>314703</v>
      </c>
      <c r="E36" s="159">
        <v>318063</v>
      </c>
      <c r="F36" s="159">
        <v>320390</v>
      </c>
      <c r="G36" s="160">
        <v>301881.8</v>
      </c>
      <c r="H36" s="197">
        <f>G36/12</f>
        <v>25156.816666666666</v>
      </c>
      <c r="J36" s="2301">
        <v>259020</v>
      </c>
      <c r="K36" s="2302">
        <v>259</v>
      </c>
      <c r="L36" s="2301" t="s">
        <v>1229</v>
      </c>
      <c r="M36" s="2303" t="s">
        <v>427</v>
      </c>
      <c r="N36" s="2303">
        <v>2</v>
      </c>
    </row>
    <row r="37" spans="1:14">
      <c r="A37" s="157">
        <v>34</v>
      </c>
      <c r="B37" s="158">
        <v>314298</v>
      </c>
      <c r="C37" s="159">
        <v>317363</v>
      </c>
      <c r="D37" s="159">
        <v>319485</v>
      </c>
      <c r="E37" s="159">
        <v>322548</v>
      </c>
      <c r="F37" s="159">
        <v>324670</v>
      </c>
      <c r="G37" s="160">
        <v>307790.62</v>
      </c>
      <c r="J37" s="2301">
        <v>261005</v>
      </c>
      <c r="K37" s="2302">
        <v>350</v>
      </c>
      <c r="L37" s="2301" t="s">
        <v>1230</v>
      </c>
      <c r="M37" s="2303">
        <v>4</v>
      </c>
      <c r="N37" s="2303">
        <v>2</v>
      </c>
    </row>
    <row r="38" spans="1:14">
      <c r="A38" s="157">
        <v>35</v>
      </c>
      <c r="B38" s="158">
        <v>319697</v>
      </c>
      <c r="C38" s="159">
        <v>322450</v>
      </c>
      <c r="D38" s="159">
        <v>324354</v>
      </c>
      <c r="E38" s="159">
        <v>327107</v>
      </c>
      <c r="F38" s="159">
        <v>329011</v>
      </c>
      <c r="G38" s="160">
        <v>313854.56</v>
      </c>
      <c r="J38" s="2301">
        <v>263003</v>
      </c>
      <c r="K38" s="2302">
        <v>265</v>
      </c>
      <c r="L38" s="2301" t="s">
        <v>1231</v>
      </c>
      <c r="M38" s="2303" t="s">
        <v>427</v>
      </c>
      <c r="N38" s="2303">
        <v>2</v>
      </c>
    </row>
    <row r="39" spans="1:14">
      <c r="A39" s="157">
        <v>36</v>
      </c>
      <c r="B39" s="158">
        <v>325214</v>
      </c>
      <c r="C39" s="159">
        <v>327634</v>
      </c>
      <c r="D39" s="159">
        <v>329310</v>
      </c>
      <c r="E39" s="159">
        <v>331731</v>
      </c>
      <c r="F39" s="159">
        <v>333406</v>
      </c>
      <c r="G39" s="160">
        <v>320074.68</v>
      </c>
      <c r="J39" s="2301">
        <v>265018</v>
      </c>
      <c r="K39" s="2302">
        <v>265</v>
      </c>
      <c r="L39" s="2301" t="s">
        <v>1232</v>
      </c>
      <c r="M39" s="2303" t="s">
        <v>427</v>
      </c>
      <c r="N39" s="2303">
        <v>2</v>
      </c>
    </row>
    <row r="40" spans="1:14">
      <c r="A40" s="157">
        <v>37</v>
      </c>
      <c r="B40" s="158">
        <v>330853</v>
      </c>
      <c r="C40" s="159">
        <v>332923</v>
      </c>
      <c r="D40" s="159">
        <v>334355</v>
      </c>
      <c r="E40" s="159">
        <v>336425</v>
      </c>
      <c r="F40" s="159">
        <v>337859</v>
      </c>
      <c r="G40" s="160">
        <v>326457.34000000003</v>
      </c>
      <c r="J40" s="2301">
        <v>265030</v>
      </c>
      <c r="K40" s="2302">
        <v>265</v>
      </c>
      <c r="L40" s="2301" t="s">
        <v>1233</v>
      </c>
      <c r="M40" s="2303" t="s">
        <v>427</v>
      </c>
      <c r="N40" s="2303">
        <v>2</v>
      </c>
    </row>
    <row r="41" spans="1:14">
      <c r="A41" s="157">
        <v>38</v>
      </c>
      <c r="B41" s="158">
        <v>336808</v>
      </c>
      <c r="C41" s="159">
        <v>338540</v>
      </c>
      <c r="D41" s="159">
        <v>339739</v>
      </c>
      <c r="E41" s="159">
        <v>341471</v>
      </c>
      <c r="F41" s="159">
        <v>342672</v>
      </c>
      <c r="G41" s="160">
        <v>333128.88</v>
      </c>
      <c r="J41" s="2301">
        <v>265036</v>
      </c>
      <c r="K41" s="2302">
        <v>265</v>
      </c>
      <c r="L41" s="2301" t="s">
        <v>1234</v>
      </c>
      <c r="M41" s="2303" t="s">
        <v>427</v>
      </c>
      <c r="N41" s="2303">
        <v>2</v>
      </c>
    </row>
    <row r="42" spans="1:14">
      <c r="A42" s="157">
        <v>39</v>
      </c>
      <c r="B42" s="158">
        <v>342821</v>
      </c>
      <c r="C42" s="159">
        <v>344156</v>
      </c>
      <c r="D42" s="159">
        <v>345080</v>
      </c>
      <c r="E42" s="159">
        <v>346413</v>
      </c>
      <c r="F42" s="159">
        <v>347337</v>
      </c>
      <c r="G42" s="160">
        <v>339989.41</v>
      </c>
      <c r="J42" s="2301">
        <v>265039</v>
      </c>
      <c r="K42" s="2302">
        <v>265</v>
      </c>
      <c r="L42" s="2301" t="s">
        <v>1235</v>
      </c>
      <c r="M42" s="2303" t="s">
        <v>427</v>
      </c>
      <c r="N42" s="2303">
        <v>2</v>
      </c>
    </row>
    <row r="43" spans="1:14">
      <c r="A43" s="157">
        <v>40</v>
      </c>
      <c r="B43" s="158">
        <v>348966</v>
      </c>
      <c r="C43" s="159">
        <v>349878</v>
      </c>
      <c r="D43" s="159">
        <v>350510</v>
      </c>
      <c r="E43" s="159">
        <v>351422</v>
      </c>
      <c r="F43" s="159">
        <v>352054</v>
      </c>
      <c r="G43" s="160">
        <v>347027.46</v>
      </c>
      <c r="J43" s="2301">
        <v>269006</v>
      </c>
      <c r="K43" s="2302">
        <v>269</v>
      </c>
      <c r="L43" s="2301" t="s">
        <v>1236</v>
      </c>
      <c r="M43" s="2303" t="s">
        <v>427</v>
      </c>
      <c r="N43" s="2303">
        <v>2</v>
      </c>
    </row>
    <row r="44" spans="1:14">
      <c r="A44" s="157">
        <v>41</v>
      </c>
      <c r="B44" s="158">
        <v>355245</v>
      </c>
      <c r="C44" s="159">
        <v>355712</v>
      </c>
      <c r="D44" s="159">
        <v>356037</v>
      </c>
      <c r="E44" s="159">
        <v>356505</v>
      </c>
      <c r="F44" s="159">
        <v>356828</v>
      </c>
      <c r="G44" s="160">
        <v>354249.23</v>
      </c>
      <c r="J44" s="2301">
        <v>280038</v>
      </c>
      <c r="K44" s="2302">
        <v>320</v>
      </c>
      <c r="L44" s="2301" t="s">
        <v>1237</v>
      </c>
      <c r="M44" s="2303">
        <v>2</v>
      </c>
      <c r="N44" s="2303">
        <v>2</v>
      </c>
    </row>
    <row r="45" spans="1:14">
      <c r="A45" s="157">
        <v>42</v>
      </c>
      <c r="B45" s="158">
        <v>361660</v>
      </c>
      <c r="C45" s="159">
        <v>361660</v>
      </c>
      <c r="D45" s="159">
        <v>361660</v>
      </c>
      <c r="E45" s="159">
        <v>361660</v>
      </c>
      <c r="F45" s="159">
        <v>361660</v>
      </c>
      <c r="G45" s="160">
        <v>361659.2</v>
      </c>
      <c r="H45" s="197">
        <f>G45/12</f>
        <v>30138.266666666666</v>
      </c>
      <c r="J45" s="2301">
        <v>280039</v>
      </c>
      <c r="K45" s="2302">
        <v>217</v>
      </c>
      <c r="L45" s="2301" t="s">
        <v>1238</v>
      </c>
      <c r="M45" s="2303" t="s">
        <v>428</v>
      </c>
      <c r="N45" s="2303">
        <v>1</v>
      </c>
    </row>
    <row r="46" spans="1:14">
      <c r="A46" s="157">
        <v>43</v>
      </c>
      <c r="B46" s="158">
        <v>369689</v>
      </c>
      <c r="C46" s="159">
        <v>369689</v>
      </c>
      <c r="D46" s="159">
        <v>369689</v>
      </c>
      <c r="E46" s="159">
        <v>369689</v>
      </c>
      <c r="F46" s="159">
        <v>369689</v>
      </c>
      <c r="G46" s="160">
        <v>369688.53</v>
      </c>
      <c r="J46" s="2301">
        <v>280040</v>
      </c>
      <c r="K46" s="2302">
        <v>706</v>
      </c>
      <c r="L46" s="2301" t="s">
        <v>1239</v>
      </c>
      <c r="M46" s="2303">
        <v>2</v>
      </c>
      <c r="N46" s="2303">
        <v>5</v>
      </c>
    </row>
    <row r="47" spans="1:14">
      <c r="A47" s="157">
        <v>44</v>
      </c>
      <c r="B47" s="158">
        <v>377937</v>
      </c>
      <c r="C47" s="159">
        <v>377937</v>
      </c>
      <c r="D47" s="159">
        <v>377937</v>
      </c>
      <c r="E47" s="159">
        <v>377937</v>
      </c>
      <c r="F47" s="159">
        <v>377937</v>
      </c>
      <c r="G47" s="160">
        <v>377937.3</v>
      </c>
      <c r="J47" s="2301">
        <v>280053</v>
      </c>
      <c r="K47" s="2302">
        <v>706</v>
      </c>
      <c r="L47" s="2301" t="s">
        <v>1240</v>
      </c>
      <c r="M47" s="2303">
        <v>2</v>
      </c>
      <c r="N47" s="2303">
        <v>5</v>
      </c>
    </row>
    <row r="48" spans="1:14">
      <c r="A48" s="157">
        <v>45</v>
      </c>
      <c r="B48" s="158">
        <v>386414</v>
      </c>
      <c r="C48" s="159">
        <v>386414</v>
      </c>
      <c r="D48" s="159">
        <v>386414</v>
      </c>
      <c r="E48" s="159">
        <v>386414</v>
      </c>
      <c r="F48" s="159">
        <v>386414</v>
      </c>
      <c r="G48" s="160">
        <v>386414.29</v>
      </c>
      <c r="J48" s="2301">
        <v>280055</v>
      </c>
      <c r="K48" s="2302">
        <v>306</v>
      </c>
      <c r="L48" s="2301" t="s">
        <v>1241</v>
      </c>
      <c r="M48" s="2303">
        <v>2</v>
      </c>
      <c r="N48" s="2303">
        <v>2</v>
      </c>
    </row>
    <row r="49" spans="1:14">
      <c r="A49" s="157">
        <v>46</v>
      </c>
      <c r="B49" s="158">
        <v>395125</v>
      </c>
      <c r="C49" s="159">
        <v>395125</v>
      </c>
      <c r="D49" s="159">
        <v>395125</v>
      </c>
      <c r="E49" s="159">
        <v>395125</v>
      </c>
      <c r="F49" s="159">
        <v>395125</v>
      </c>
      <c r="G49" s="160">
        <v>395124.74</v>
      </c>
      <c r="J49" s="2301">
        <v>280204</v>
      </c>
      <c r="K49" s="2302">
        <v>846</v>
      </c>
      <c r="L49" s="2301" t="s">
        <v>1242</v>
      </c>
      <c r="M49" s="2303">
        <v>2</v>
      </c>
      <c r="N49" s="2303">
        <v>6</v>
      </c>
    </row>
    <row r="50" spans="1:14">
      <c r="A50" s="157">
        <v>47</v>
      </c>
      <c r="B50" s="158">
        <v>413269</v>
      </c>
      <c r="C50" s="159">
        <v>413269</v>
      </c>
      <c r="D50" s="159">
        <v>413269</v>
      </c>
      <c r="E50" s="159">
        <v>413269</v>
      </c>
      <c r="F50" s="159">
        <v>413269</v>
      </c>
      <c r="G50" s="160">
        <v>413268.87</v>
      </c>
      <c r="J50" s="2301">
        <v>280207</v>
      </c>
      <c r="K50" s="2302">
        <v>860</v>
      </c>
      <c r="L50" s="2301" t="s">
        <v>1243</v>
      </c>
      <c r="M50" s="2303">
        <v>2</v>
      </c>
      <c r="N50" s="2303">
        <v>6</v>
      </c>
    </row>
    <row r="51" spans="1:14">
      <c r="A51" s="157">
        <v>48</v>
      </c>
      <c r="B51" s="158">
        <v>441027</v>
      </c>
      <c r="C51" s="159">
        <v>441027</v>
      </c>
      <c r="D51" s="159">
        <v>441027</v>
      </c>
      <c r="E51" s="159">
        <v>441027</v>
      </c>
      <c r="F51" s="159">
        <v>441027</v>
      </c>
      <c r="G51" s="160">
        <v>441025.75</v>
      </c>
      <c r="H51" s="148">
        <f>G51/12</f>
        <v>36752.145833333336</v>
      </c>
      <c r="J51" s="2301">
        <v>280208</v>
      </c>
      <c r="K51" s="2302">
        <v>580</v>
      </c>
      <c r="L51" s="2301" t="s">
        <v>1244</v>
      </c>
      <c r="M51" s="2303">
        <v>2</v>
      </c>
      <c r="N51" s="2303">
        <v>4</v>
      </c>
    </row>
    <row r="52" spans="1:14">
      <c r="A52" s="157">
        <v>49</v>
      </c>
      <c r="B52" s="158">
        <v>471781</v>
      </c>
      <c r="C52" s="159">
        <v>471781</v>
      </c>
      <c r="D52" s="159">
        <v>471781</v>
      </c>
      <c r="E52" s="159">
        <v>471781</v>
      </c>
      <c r="F52" s="159">
        <v>471781</v>
      </c>
      <c r="G52" s="160">
        <v>471780.9</v>
      </c>
      <c r="J52" s="2301">
        <v>280212</v>
      </c>
      <c r="K52" s="2302">
        <v>860</v>
      </c>
      <c r="L52" s="2301" t="s">
        <v>1245</v>
      </c>
      <c r="M52" s="2303">
        <v>2</v>
      </c>
      <c r="N52" s="2303">
        <v>6</v>
      </c>
    </row>
    <row r="53" spans="1:14">
      <c r="A53" s="157">
        <v>50</v>
      </c>
      <c r="B53" s="158">
        <v>521094</v>
      </c>
      <c r="C53" s="159">
        <v>521094</v>
      </c>
      <c r="D53" s="159">
        <v>521094</v>
      </c>
      <c r="E53" s="159">
        <v>521094</v>
      </c>
      <c r="F53" s="159">
        <v>521094</v>
      </c>
      <c r="G53" s="160">
        <v>521094.47</v>
      </c>
      <c r="J53" s="2301">
        <v>280214</v>
      </c>
      <c r="K53" s="2302">
        <v>727</v>
      </c>
      <c r="L53" s="2301" t="s">
        <v>1246</v>
      </c>
      <c r="M53" s="2303" t="s">
        <v>425</v>
      </c>
      <c r="N53" s="2303">
        <v>5</v>
      </c>
    </row>
    <row r="54" spans="1:14">
      <c r="A54" s="337">
        <v>51</v>
      </c>
      <c r="B54" s="338">
        <v>592911</v>
      </c>
      <c r="C54" s="339">
        <v>592911</v>
      </c>
      <c r="D54" s="339">
        <v>592911</v>
      </c>
      <c r="E54" s="339">
        <v>592911</v>
      </c>
      <c r="F54" s="339">
        <v>592911</v>
      </c>
      <c r="G54" s="340">
        <v>592911.94999999995</v>
      </c>
      <c r="J54" s="2301">
        <v>280215</v>
      </c>
      <c r="K54" s="2302">
        <v>787</v>
      </c>
      <c r="L54" s="2301" t="s">
        <v>1247</v>
      </c>
      <c r="M54" s="2303" t="s">
        <v>425</v>
      </c>
      <c r="N54" s="2303">
        <v>6</v>
      </c>
    </row>
    <row r="55" spans="1:14">
      <c r="A55" s="337">
        <v>52</v>
      </c>
      <c r="B55" s="338">
        <v>650993</v>
      </c>
      <c r="C55" s="339">
        <v>650993</v>
      </c>
      <c r="D55" s="339">
        <v>650993</v>
      </c>
      <c r="E55" s="339">
        <v>650993</v>
      </c>
      <c r="F55" s="339">
        <v>650993</v>
      </c>
      <c r="G55" s="340">
        <v>650993.51</v>
      </c>
      <c r="J55" s="2301">
        <v>280216</v>
      </c>
      <c r="K55" s="2302">
        <v>461</v>
      </c>
      <c r="L55" s="2301" t="s">
        <v>1248</v>
      </c>
      <c r="M55" s="2303" t="s">
        <v>426</v>
      </c>
      <c r="N55" s="2303">
        <v>3</v>
      </c>
    </row>
    <row r="56" spans="1:14">
      <c r="A56" s="337">
        <v>53</v>
      </c>
      <c r="B56" s="338">
        <v>728408</v>
      </c>
      <c r="C56" s="339">
        <v>728408</v>
      </c>
      <c r="D56" s="339">
        <v>728408</v>
      </c>
      <c r="E56" s="339">
        <v>728408</v>
      </c>
      <c r="F56" s="339">
        <v>728408</v>
      </c>
      <c r="G56" s="340">
        <v>728409.39</v>
      </c>
      <c r="J56" s="2301">
        <v>280218</v>
      </c>
      <c r="K56" s="2302">
        <v>621</v>
      </c>
      <c r="L56" s="2301" t="s">
        <v>1249</v>
      </c>
      <c r="M56" s="2303" t="s">
        <v>425</v>
      </c>
      <c r="N56" s="2303">
        <v>4</v>
      </c>
    </row>
    <row r="57" spans="1:14">
      <c r="A57" s="337">
        <v>54</v>
      </c>
      <c r="B57" s="338">
        <v>821385</v>
      </c>
      <c r="C57" s="339">
        <v>821385</v>
      </c>
      <c r="D57" s="339">
        <v>821385</v>
      </c>
      <c r="E57" s="339">
        <v>821385</v>
      </c>
      <c r="F57" s="339">
        <v>821385</v>
      </c>
      <c r="G57" s="340">
        <v>821385.31</v>
      </c>
      <c r="J57" s="2301">
        <v>280220</v>
      </c>
      <c r="K57" s="2302">
        <v>787</v>
      </c>
      <c r="L57" s="2301" t="s">
        <v>1250</v>
      </c>
      <c r="M57" s="2303" t="s">
        <v>425</v>
      </c>
      <c r="N57" s="2303">
        <v>6</v>
      </c>
    </row>
    <row r="58" spans="1:14">
      <c r="A58" s="337">
        <v>55</v>
      </c>
      <c r="B58" s="338">
        <v>925652</v>
      </c>
      <c r="C58" s="339">
        <v>925652</v>
      </c>
      <c r="D58" s="339">
        <v>925652</v>
      </c>
      <c r="E58" s="339">
        <v>925652</v>
      </c>
      <c r="F58" s="339">
        <v>925652</v>
      </c>
      <c r="G58" s="340">
        <v>925652.26</v>
      </c>
      <c r="J58" s="2301">
        <v>280221</v>
      </c>
      <c r="K58" s="2302">
        <v>860</v>
      </c>
      <c r="L58" s="2301" t="s">
        <v>1251</v>
      </c>
      <c r="M58" s="2303">
        <v>2</v>
      </c>
      <c r="N58" s="2303">
        <v>6</v>
      </c>
    </row>
    <row r="59" spans="1:14">
      <c r="A59" s="162" t="s">
        <v>1252</v>
      </c>
      <c r="B59" s="335">
        <v>273480</v>
      </c>
      <c r="C59" s="335">
        <v>273480</v>
      </c>
      <c r="D59" s="335">
        <v>273480</v>
      </c>
      <c r="E59" s="335">
        <v>273480</v>
      </c>
      <c r="F59" s="335">
        <v>273480</v>
      </c>
      <c r="G59" s="335">
        <v>273480</v>
      </c>
      <c r="J59" s="2301">
        <v>280224</v>
      </c>
      <c r="K59" s="2302">
        <v>727</v>
      </c>
      <c r="L59" s="2301" t="s">
        <v>1253</v>
      </c>
      <c r="M59" s="2303" t="s">
        <v>425</v>
      </c>
      <c r="N59" s="2303">
        <v>5</v>
      </c>
    </row>
    <row r="60" spans="1:14">
      <c r="A60" s="162" t="s">
        <v>1254</v>
      </c>
      <c r="B60" s="335">
        <v>305210</v>
      </c>
      <c r="C60" s="335">
        <v>305210</v>
      </c>
      <c r="D60" s="335">
        <v>305210</v>
      </c>
      <c r="E60" s="335">
        <v>305210</v>
      </c>
      <c r="F60" s="335">
        <v>305210</v>
      </c>
      <c r="G60" s="335">
        <v>305210</v>
      </c>
      <c r="J60" s="2301">
        <v>280226</v>
      </c>
      <c r="K60" s="2302">
        <v>450</v>
      </c>
      <c r="L60" s="2301" t="s">
        <v>1255</v>
      </c>
      <c r="M60" s="2303">
        <v>3</v>
      </c>
      <c r="N60" s="2303">
        <v>3</v>
      </c>
    </row>
    <row r="61" spans="1:14">
      <c r="A61" s="162" t="s">
        <v>1256</v>
      </c>
      <c r="B61" s="335">
        <v>336820</v>
      </c>
      <c r="C61" s="335">
        <v>336820</v>
      </c>
      <c r="D61" s="335">
        <v>336820</v>
      </c>
      <c r="E61" s="335">
        <v>336820</v>
      </c>
      <c r="F61" s="335">
        <v>336820</v>
      </c>
      <c r="G61" s="335">
        <v>336820</v>
      </c>
      <c r="J61" s="2301">
        <v>280227</v>
      </c>
      <c r="K61" s="2302">
        <v>550</v>
      </c>
      <c r="L61" s="2301" t="s">
        <v>1257</v>
      </c>
      <c r="M61" s="2303">
        <v>2</v>
      </c>
      <c r="N61" s="2303">
        <v>6</v>
      </c>
    </row>
    <row r="62" spans="1:14">
      <c r="A62" s="167" t="s">
        <v>1258</v>
      </c>
      <c r="B62" s="336">
        <v>354670</v>
      </c>
      <c r="C62" s="336">
        <v>354670</v>
      </c>
      <c r="D62" s="336">
        <v>354670</v>
      </c>
      <c r="E62" s="336">
        <v>354670</v>
      </c>
      <c r="F62" s="336">
        <v>354670</v>
      </c>
      <c r="G62" s="336">
        <v>354670</v>
      </c>
      <c r="J62" s="2301">
        <v>280380</v>
      </c>
      <c r="K62" s="2302">
        <v>329</v>
      </c>
      <c r="L62" s="2301" t="s">
        <v>1259</v>
      </c>
      <c r="M62" s="2303" t="s">
        <v>425</v>
      </c>
      <c r="N62" s="2303">
        <v>2</v>
      </c>
    </row>
    <row r="63" spans="1:14">
      <c r="A63" s="162" t="s">
        <v>483</v>
      </c>
      <c r="B63" s="163">
        <v>279695</v>
      </c>
      <c r="C63" s="164">
        <v>279695</v>
      </c>
      <c r="D63" s="164">
        <v>279695</v>
      </c>
      <c r="E63" s="164">
        <v>279695</v>
      </c>
      <c r="F63" s="164">
        <v>279695</v>
      </c>
      <c r="G63" s="2306">
        <v>279695</v>
      </c>
      <c r="J63" s="2301">
        <v>280381</v>
      </c>
      <c r="K63" s="2302">
        <v>250</v>
      </c>
      <c r="L63" s="2301" t="s">
        <v>1260</v>
      </c>
      <c r="M63" s="2303">
        <v>5</v>
      </c>
      <c r="N63" s="2303">
        <v>2</v>
      </c>
    </row>
    <row r="64" spans="1:14">
      <c r="A64" s="162" t="s">
        <v>480</v>
      </c>
      <c r="B64" s="163">
        <v>298044</v>
      </c>
      <c r="C64" s="165">
        <v>298044</v>
      </c>
      <c r="D64" s="165">
        <v>298044</v>
      </c>
      <c r="E64" s="165">
        <v>298044</v>
      </c>
      <c r="F64" s="165">
        <v>298044</v>
      </c>
      <c r="G64" s="166">
        <v>298044</v>
      </c>
      <c r="J64" s="2301">
        <v>280382</v>
      </c>
      <c r="K64" s="2302">
        <v>550</v>
      </c>
      <c r="L64" s="2301" t="s">
        <v>1261</v>
      </c>
      <c r="M64" s="2303">
        <v>2</v>
      </c>
      <c r="N64" s="2303">
        <v>4</v>
      </c>
    </row>
    <row r="65" spans="1:14">
      <c r="A65" s="162" t="s">
        <v>484</v>
      </c>
      <c r="B65" s="163">
        <v>325699</v>
      </c>
      <c r="C65" s="165">
        <v>325699</v>
      </c>
      <c r="D65" s="165">
        <v>325699</v>
      </c>
      <c r="E65" s="165">
        <v>325699</v>
      </c>
      <c r="F65" s="165">
        <v>325699</v>
      </c>
      <c r="G65" s="166">
        <v>325699</v>
      </c>
      <c r="J65" s="2301">
        <v>280384</v>
      </c>
      <c r="K65" s="2302">
        <v>791</v>
      </c>
      <c r="L65" s="2301" t="s">
        <v>1262</v>
      </c>
      <c r="M65" s="2303" t="s">
        <v>425</v>
      </c>
      <c r="N65" s="2303">
        <v>5</v>
      </c>
    </row>
    <row r="66" spans="1:14">
      <c r="A66" s="162" t="s">
        <v>481</v>
      </c>
      <c r="B66" s="163">
        <f>355979/1.01304</f>
        <v>351396.78591171128</v>
      </c>
      <c r="C66" s="165">
        <f>+B66+2100</f>
        <v>353496.78591171128</v>
      </c>
      <c r="D66" s="165">
        <f>+B66+3900</f>
        <v>355296.78591171128</v>
      </c>
      <c r="E66" s="165">
        <f>+B66+6000</f>
        <v>357396.78591171128</v>
      </c>
      <c r="F66" s="165">
        <f>+B66+7500</f>
        <v>358896.78591171128</v>
      </c>
      <c r="G66" s="166">
        <v>355970</v>
      </c>
      <c r="J66" s="2301">
        <v>280385</v>
      </c>
      <c r="K66" s="2302">
        <v>573</v>
      </c>
      <c r="L66" s="2301" t="s">
        <v>1263</v>
      </c>
      <c r="M66" s="2303" t="s">
        <v>425</v>
      </c>
      <c r="N66" s="2303">
        <v>4</v>
      </c>
    </row>
    <row r="67" spans="1:14">
      <c r="A67" s="162" t="s">
        <v>1264</v>
      </c>
      <c r="B67" s="163">
        <v>271288</v>
      </c>
      <c r="C67" s="163">
        <v>271288</v>
      </c>
      <c r="D67" s="163">
        <v>271288</v>
      </c>
      <c r="E67" s="163">
        <v>271288</v>
      </c>
      <c r="F67" s="163">
        <v>271288</v>
      </c>
      <c r="G67" s="163">
        <v>271288</v>
      </c>
      <c r="J67" s="2301">
        <v>280386</v>
      </c>
      <c r="K67" s="2302">
        <v>540</v>
      </c>
      <c r="L67" s="2301" t="s">
        <v>1265</v>
      </c>
      <c r="M67" s="2303">
        <v>3</v>
      </c>
      <c r="N67" s="2303">
        <v>4</v>
      </c>
    </row>
    <row r="68" spans="1:14">
      <c r="A68" s="162" t="s">
        <v>1266</v>
      </c>
      <c r="B68" s="163">
        <v>284395</v>
      </c>
      <c r="C68" s="163">
        <v>284395</v>
      </c>
      <c r="D68" s="163">
        <v>284395</v>
      </c>
      <c r="E68" s="163">
        <v>284395</v>
      </c>
      <c r="F68" s="163">
        <v>284395</v>
      </c>
      <c r="G68" s="163">
        <v>284395</v>
      </c>
      <c r="J68" s="2301">
        <v>280387</v>
      </c>
      <c r="K68" s="2302">
        <v>550</v>
      </c>
      <c r="L68" s="2301" t="s">
        <v>1267</v>
      </c>
      <c r="M68" s="2303">
        <v>2</v>
      </c>
      <c r="N68" s="2303">
        <v>4</v>
      </c>
    </row>
    <row r="69" spans="1:14">
      <c r="A69" s="167" t="s">
        <v>1268</v>
      </c>
      <c r="B69" s="168">
        <v>295011</v>
      </c>
      <c r="C69" s="168">
        <v>295011</v>
      </c>
      <c r="D69" s="168">
        <v>295011</v>
      </c>
      <c r="E69" s="168">
        <v>295011</v>
      </c>
      <c r="F69" s="168">
        <v>295011</v>
      </c>
      <c r="G69" s="168">
        <v>295011</v>
      </c>
      <c r="J69" s="2301">
        <v>280388</v>
      </c>
      <c r="K69" s="2302">
        <v>530</v>
      </c>
      <c r="L69" s="2301" t="s">
        <v>1269</v>
      </c>
      <c r="M69" s="2303">
        <v>2</v>
      </c>
      <c r="N69" s="2303">
        <v>5</v>
      </c>
    </row>
    <row r="70" spans="1:14">
      <c r="A70" s="167" t="s">
        <v>482</v>
      </c>
      <c r="B70" s="168">
        <v>313754</v>
      </c>
      <c r="C70" s="165">
        <f>+B70+2100</f>
        <v>315854</v>
      </c>
      <c r="D70" s="165">
        <f>+B70+3900</f>
        <v>317654</v>
      </c>
      <c r="E70" s="165">
        <f>+B70+6000</f>
        <v>319754</v>
      </c>
      <c r="F70" s="165">
        <f>+B70+7500</f>
        <v>321254</v>
      </c>
      <c r="G70" s="169">
        <v>313084</v>
      </c>
      <c r="J70" s="2301">
        <v>280389</v>
      </c>
      <c r="K70" s="2302">
        <v>661</v>
      </c>
      <c r="L70" s="2301" t="s">
        <v>1270</v>
      </c>
      <c r="M70" s="2303" t="s">
        <v>425</v>
      </c>
      <c r="N70" s="2303">
        <v>5</v>
      </c>
    </row>
    <row r="71" spans="1:14">
      <c r="A71" s="170"/>
      <c r="B71" s="170"/>
      <c r="C71" s="170"/>
      <c r="D71" s="170"/>
      <c r="E71" s="170"/>
      <c r="F71" s="170"/>
      <c r="G71" s="170"/>
      <c r="J71" s="2301">
        <v>280390</v>
      </c>
      <c r="K71" s="2302">
        <v>710</v>
      </c>
      <c r="L71" s="2301" t="s">
        <v>1271</v>
      </c>
      <c r="M71" s="2303">
        <v>2</v>
      </c>
      <c r="N71" s="2303">
        <v>5</v>
      </c>
    </row>
    <row r="72" spans="1:14" ht="18">
      <c r="A72" s="171" t="s">
        <v>515</v>
      </c>
      <c r="B72" s="170"/>
      <c r="C72" s="170" t="s">
        <v>1272</v>
      </c>
      <c r="D72" s="170"/>
      <c r="E72" s="170"/>
      <c r="F72" s="170"/>
      <c r="G72" s="170"/>
      <c r="J72" s="2301">
        <v>280391</v>
      </c>
      <c r="K72" s="2302">
        <v>329</v>
      </c>
      <c r="L72" s="2301" t="s">
        <v>1273</v>
      </c>
      <c r="M72" s="2303" t="s">
        <v>425</v>
      </c>
      <c r="N72" s="2303">
        <v>2</v>
      </c>
    </row>
    <row r="73" spans="1:14">
      <c r="A73" s="149"/>
      <c r="B73" s="150"/>
      <c r="C73" s="151"/>
      <c r="D73" s="152" t="s">
        <v>510</v>
      </c>
      <c r="E73" s="151"/>
      <c r="F73" s="172"/>
      <c r="G73" s="173"/>
      <c r="J73" s="2301">
        <v>280393</v>
      </c>
      <c r="K73" s="2302">
        <v>330</v>
      </c>
      <c r="L73" s="2301" t="s">
        <v>1274</v>
      </c>
      <c r="M73" s="2303">
        <v>3</v>
      </c>
      <c r="N73" s="2303">
        <v>2</v>
      </c>
    </row>
    <row r="74" spans="1:14">
      <c r="A74" s="2304" t="s">
        <v>1275</v>
      </c>
      <c r="B74" s="155" t="s">
        <v>1190</v>
      </c>
      <c r="C74" s="156" t="s">
        <v>1191</v>
      </c>
      <c r="D74" s="156" t="s">
        <v>1192</v>
      </c>
      <c r="E74" s="156" t="s">
        <v>1193</v>
      </c>
      <c r="F74" s="174" t="s">
        <v>1194</v>
      </c>
      <c r="G74" s="175"/>
      <c r="J74" s="2301">
        <v>280394</v>
      </c>
      <c r="K74" s="2302">
        <v>840</v>
      </c>
      <c r="L74" s="2301" t="s">
        <v>1276</v>
      </c>
      <c r="M74" s="2303">
        <v>2</v>
      </c>
      <c r="N74" s="2303">
        <v>6</v>
      </c>
    </row>
    <row r="75" spans="1:14">
      <c r="A75" s="157" t="s">
        <v>483</v>
      </c>
      <c r="B75" s="158">
        <v>0</v>
      </c>
      <c r="C75" s="176">
        <v>3900</v>
      </c>
      <c r="D75" s="176">
        <v>6900</v>
      </c>
      <c r="E75" s="176">
        <v>10800</v>
      </c>
      <c r="F75" s="177">
        <v>13800</v>
      </c>
      <c r="G75" s="170"/>
      <c r="J75" s="2301">
        <v>280396</v>
      </c>
      <c r="K75" s="2302">
        <v>265</v>
      </c>
      <c r="L75" s="2301" t="s">
        <v>1277</v>
      </c>
      <c r="M75" s="2303" t="s">
        <v>427</v>
      </c>
      <c r="N75" s="2303">
        <v>2</v>
      </c>
    </row>
    <row r="76" spans="1:14">
      <c r="A76" s="157" t="s">
        <v>480</v>
      </c>
      <c r="B76" s="158">
        <v>0</v>
      </c>
      <c r="C76" s="159">
        <v>3300</v>
      </c>
      <c r="D76" s="159">
        <v>5700</v>
      </c>
      <c r="E76" s="159">
        <v>9000</v>
      </c>
      <c r="F76" s="178">
        <v>11400</v>
      </c>
      <c r="G76" s="170"/>
      <c r="J76" s="2301">
        <v>280398</v>
      </c>
      <c r="K76" s="2302">
        <v>661</v>
      </c>
      <c r="L76" s="2301" t="s">
        <v>1278</v>
      </c>
      <c r="M76" s="2303" t="s">
        <v>425</v>
      </c>
      <c r="N76" s="2303">
        <v>5</v>
      </c>
    </row>
    <row r="77" spans="1:14">
      <c r="A77" s="157" t="s">
        <v>484</v>
      </c>
      <c r="B77" s="158">
        <v>0</v>
      </c>
      <c r="C77" s="159">
        <v>2100</v>
      </c>
      <c r="D77" s="159">
        <v>3900</v>
      </c>
      <c r="E77" s="159">
        <v>6000</v>
      </c>
      <c r="F77" s="178">
        <v>7500</v>
      </c>
      <c r="G77" s="170"/>
      <c r="J77" s="2301">
        <v>280405</v>
      </c>
      <c r="K77" s="2302">
        <v>730</v>
      </c>
      <c r="L77" s="2301" t="s">
        <v>1279</v>
      </c>
      <c r="M77" s="2303">
        <v>2</v>
      </c>
      <c r="N77" s="2303">
        <v>5</v>
      </c>
    </row>
    <row r="78" spans="1:14">
      <c r="A78" s="157" t="s">
        <v>481</v>
      </c>
      <c r="B78" s="158">
        <v>0</v>
      </c>
      <c r="C78" s="159">
        <v>2100</v>
      </c>
      <c r="D78" s="159">
        <v>3900</v>
      </c>
      <c r="E78" s="159">
        <v>6000</v>
      </c>
      <c r="F78" s="178">
        <v>7500</v>
      </c>
      <c r="G78" s="170"/>
      <c r="J78" s="2301">
        <v>280460</v>
      </c>
      <c r="K78" s="2302">
        <v>791</v>
      </c>
      <c r="L78" s="2301" t="s">
        <v>1280</v>
      </c>
      <c r="M78" s="2303" t="s">
        <v>425</v>
      </c>
      <c r="N78" s="2303">
        <v>5</v>
      </c>
    </row>
    <row r="79" spans="1:14">
      <c r="A79" s="157" t="s">
        <v>1264</v>
      </c>
      <c r="B79" s="158">
        <v>0</v>
      </c>
      <c r="C79" s="159">
        <v>4500</v>
      </c>
      <c r="D79" s="159">
        <v>7500</v>
      </c>
      <c r="E79" s="159">
        <v>12000</v>
      </c>
      <c r="F79" s="178">
        <v>15000</v>
      </c>
      <c r="G79" s="170"/>
      <c r="J79" s="2301">
        <v>280461</v>
      </c>
      <c r="K79" s="2302">
        <v>336</v>
      </c>
      <c r="L79" s="2301" t="s">
        <v>1281</v>
      </c>
      <c r="M79" s="2303">
        <v>2</v>
      </c>
      <c r="N79" s="2303">
        <v>2</v>
      </c>
    </row>
    <row r="80" spans="1:14">
      <c r="A80" s="157" t="s">
        <v>1266</v>
      </c>
      <c r="B80" s="158">
        <v>0</v>
      </c>
      <c r="C80" s="159">
        <v>3900</v>
      </c>
      <c r="D80" s="159">
        <v>6900</v>
      </c>
      <c r="E80" s="159">
        <v>10800</v>
      </c>
      <c r="F80" s="178">
        <v>13800</v>
      </c>
      <c r="G80" s="170"/>
      <c r="J80" s="2301">
        <v>280463</v>
      </c>
      <c r="K80" s="2302">
        <v>630</v>
      </c>
      <c r="L80" s="2301" t="s">
        <v>1282</v>
      </c>
      <c r="M80" s="2303">
        <v>2</v>
      </c>
      <c r="N80" s="2303">
        <v>4</v>
      </c>
    </row>
    <row r="81" spans="1:14">
      <c r="A81" s="161" t="s">
        <v>1268</v>
      </c>
      <c r="B81" s="179">
        <v>0</v>
      </c>
      <c r="C81" s="180">
        <v>3600</v>
      </c>
      <c r="D81" s="180">
        <v>6300</v>
      </c>
      <c r="E81" s="180">
        <v>9900</v>
      </c>
      <c r="F81" s="181">
        <v>12600</v>
      </c>
      <c r="G81" s="170"/>
      <c r="J81" s="2301">
        <v>280464</v>
      </c>
      <c r="K81" s="2302">
        <v>336</v>
      </c>
      <c r="L81" s="2301" t="s">
        <v>1283</v>
      </c>
      <c r="M81" s="2303">
        <v>2</v>
      </c>
      <c r="N81" s="2303">
        <v>2</v>
      </c>
    </row>
    <row r="82" spans="1:14">
      <c r="A82" s="161" t="s">
        <v>482</v>
      </c>
      <c r="B82" s="179">
        <v>0</v>
      </c>
      <c r="C82" s="180">
        <v>3600</v>
      </c>
      <c r="D82" s="180">
        <v>6300</v>
      </c>
      <c r="E82" s="180">
        <v>9900</v>
      </c>
      <c r="F82" s="181">
        <v>12600</v>
      </c>
      <c r="G82" s="170"/>
      <c r="J82" s="2301">
        <v>280465</v>
      </c>
      <c r="K82" s="2302">
        <v>540</v>
      </c>
      <c r="L82" s="2301" t="s">
        <v>1284</v>
      </c>
      <c r="M82" s="2303">
        <v>3</v>
      </c>
      <c r="N82" s="2303">
        <v>4</v>
      </c>
    </row>
    <row r="83" spans="1:14">
      <c r="A83" s="170"/>
      <c r="B83" s="170"/>
      <c r="C83" s="170"/>
      <c r="D83" s="170"/>
      <c r="E83" s="170"/>
      <c r="F83" s="170"/>
      <c r="G83" s="170"/>
      <c r="J83" s="2301">
        <v>280466</v>
      </c>
      <c r="K83" s="2302">
        <v>510</v>
      </c>
      <c r="L83" s="2301" t="s">
        <v>1285</v>
      </c>
      <c r="M83" s="2303">
        <v>2</v>
      </c>
      <c r="N83" s="2303">
        <v>4</v>
      </c>
    </row>
    <row r="84" spans="1:14">
      <c r="A84" s="170"/>
      <c r="B84" s="170"/>
      <c r="C84" s="170"/>
      <c r="D84" s="170"/>
      <c r="E84" s="170"/>
      <c r="F84" s="170"/>
      <c r="G84" s="170"/>
      <c r="J84" s="2301">
        <v>280474</v>
      </c>
      <c r="K84" s="2302">
        <v>630</v>
      </c>
      <c r="L84" s="2301" t="s">
        <v>1286</v>
      </c>
      <c r="M84" s="2303">
        <v>2</v>
      </c>
      <c r="N84" s="2303">
        <v>4</v>
      </c>
    </row>
    <row r="85" spans="1:14">
      <c r="A85" s="170"/>
      <c r="B85" s="170">
        <f>B76/B64</f>
        <v>0</v>
      </c>
      <c r="C85" s="170">
        <f>C76/C64</f>
        <v>1.1072190683254822E-2</v>
      </c>
      <c r="D85" s="170">
        <f>D76/D64</f>
        <v>1.9124692998349235E-2</v>
      </c>
      <c r="E85" s="170">
        <f>E76/E64</f>
        <v>3.0196883681604059E-2</v>
      </c>
      <c r="F85" s="170">
        <f>F76/F64</f>
        <v>3.8249385996698471E-2</v>
      </c>
      <c r="G85" s="170"/>
      <c r="J85" s="2301">
        <v>305011</v>
      </c>
      <c r="K85" s="2302">
        <v>306</v>
      </c>
      <c r="L85" s="2301" t="s">
        <v>1287</v>
      </c>
      <c r="M85" s="2303">
        <v>2</v>
      </c>
      <c r="N85" s="2303">
        <v>2</v>
      </c>
    </row>
    <row r="86" spans="1:14">
      <c r="A86" s="170"/>
      <c r="B86" s="170">
        <v>0</v>
      </c>
      <c r="C86" s="170">
        <v>1.5</v>
      </c>
      <c r="D86" s="170">
        <v>2.5</v>
      </c>
      <c r="E86" s="170">
        <v>4</v>
      </c>
      <c r="F86" s="170">
        <v>5</v>
      </c>
      <c r="G86" s="170"/>
      <c r="J86" s="2301">
        <v>305012</v>
      </c>
      <c r="K86" s="2302">
        <v>306</v>
      </c>
      <c r="L86" s="2301" t="s">
        <v>1288</v>
      </c>
      <c r="M86" s="2303">
        <v>2</v>
      </c>
      <c r="N86" s="2303">
        <v>2</v>
      </c>
    </row>
    <row r="87" spans="1:14">
      <c r="A87" s="170"/>
      <c r="B87" s="170"/>
      <c r="C87" s="170"/>
      <c r="D87" s="170"/>
      <c r="E87" s="170"/>
      <c r="F87" s="170"/>
      <c r="G87" s="170"/>
      <c r="J87" s="2301">
        <v>305015</v>
      </c>
      <c r="K87" s="2302">
        <v>306</v>
      </c>
      <c r="L87" s="2301" t="s">
        <v>1289</v>
      </c>
      <c r="M87" s="2303">
        <v>2</v>
      </c>
      <c r="N87" s="2303">
        <v>2</v>
      </c>
    </row>
    <row r="88" spans="1:14">
      <c r="J88" s="2301">
        <v>305019</v>
      </c>
      <c r="K88" s="2302">
        <v>306</v>
      </c>
      <c r="L88" s="2301" t="s">
        <v>1290</v>
      </c>
      <c r="M88" s="2303">
        <v>2</v>
      </c>
      <c r="N88" s="2303">
        <v>2</v>
      </c>
    </row>
    <row r="89" spans="1:14">
      <c r="A89" s="198" t="s">
        <v>543</v>
      </c>
      <c r="B89" s="200" t="s">
        <v>1291</v>
      </c>
      <c r="C89" s="200" t="s">
        <v>1292</v>
      </c>
      <c r="J89" s="2301">
        <v>309004</v>
      </c>
      <c r="K89" s="2302">
        <v>326</v>
      </c>
      <c r="L89" s="2301" t="s">
        <v>1293</v>
      </c>
      <c r="M89" s="2303">
        <v>2</v>
      </c>
      <c r="N89" s="2303">
        <v>2</v>
      </c>
    </row>
    <row r="90" spans="1:14">
      <c r="A90" s="199" t="s">
        <v>502</v>
      </c>
      <c r="B90" s="148" t="s">
        <v>494</v>
      </c>
      <c r="C90" s="148" t="s">
        <v>502</v>
      </c>
      <c r="J90" s="2301">
        <v>317006</v>
      </c>
      <c r="K90" s="2302">
        <v>326</v>
      </c>
      <c r="L90" s="2301" t="s">
        <v>1294</v>
      </c>
      <c r="M90" s="2303">
        <v>2</v>
      </c>
      <c r="N90" s="2303">
        <v>2</v>
      </c>
    </row>
    <row r="91" spans="1:14">
      <c r="A91" s="199" t="s">
        <v>1295</v>
      </c>
      <c r="B91" s="148" t="s">
        <v>500</v>
      </c>
      <c r="C91" s="148" t="s">
        <v>503</v>
      </c>
      <c r="J91" s="2301">
        <v>319010</v>
      </c>
      <c r="K91" s="2302">
        <v>326</v>
      </c>
      <c r="L91" s="2301" t="s">
        <v>1296</v>
      </c>
      <c r="M91" s="2303">
        <v>2</v>
      </c>
      <c r="N91" s="2303">
        <v>2</v>
      </c>
    </row>
    <row r="92" spans="1:14">
      <c r="A92" s="199" t="s">
        <v>1297</v>
      </c>
      <c r="C92" s="148" t="s">
        <v>1298</v>
      </c>
      <c r="J92" s="2301">
        <v>323010</v>
      </c>
      <c r="K92" s="2302">
        <v>326</v>
      </c>
      <c r="L92" s="2301" t="s">
        <v>1299</v>
      </c>
      <c r="M92" s="2303">
        <v>2</v>
      </c>
      <c r="N92" s="2303">
        <v>2</v>
      </c>
    </row>
    <row r="93" spans="1:14">
      <c r="A93" s="199" t="s">
        <v>1300</v>
      </c>
      <c r="C93" s="148" t="s">
        <v>1301</v>
      </c>
      <c r="J93" s="2301">
        <v>323013</v>
      </c>
      <c r="K93" s="2302">
        <v>326</v>
      </c>
      <c r="L93" s="2301" t="s">
        <v>1302</v>
      </c>
      <c r="M93" s="2303">
        <v>2</v>
      </c>
      <c r="N93" s="2303">
        <v>2</v>
      </c>
    </row>
    <row r="94" spans="1:14">
      <c r="A94" s="199" t="s">
        <v>1303</v>
      </c>
      <c r="C94" s="148" t="s">
        <v>1304</v>
      </c>
      <c r="J94" s="2301">
        <v>325007</v>
      </c>
      <c r="K94" s="2302">
        <v>330</v>
      </c>
      <c r="L94" s="2301" t="s">
        <v>1305</v>
      </c>
      <c r="M94" s="2303">
        <v>3</v>
      </c>
      <c r="N94" s="2303">
        <v>2</v>
      </c>
    </row>
    <row r="95" spans="1:14">
      <c r="A95" s="199" t="s">
        <v>1306</v>
      </c>
      <c r="C95" s="148" t="s">
        <v>1307</v>
      </c>
      <c r="J95" s="2301">
        <v>325008</v>
      </c>
      <c r="K95" s="2302">
        <v>330</v>
      </c>
      <c r="L95" s="2301" t="s">
        <v>1308</v>
      </c>
      <c r="M95" s="2303">
        <v>3</v>
      </c>
      <c r="N95" s="2303">
        <v>2</v>
      </c>
    </row>
    <row r="96" spans="1:14">
      <c r="A96" s="199" t="s">
        <v>1309</v>
      </c>
      <c r="C96" s="148" t="s">
        <v>1310</v>
      </c>
      <c r="J96" s="2301">
        <v>329018</v>
      </c>
      <c r="K96" s="2302">
        <v>329</v>
      </c>
      <c r="L96" s="2301" t="s">
        <v>1311</v>
      </c>
      <c r="M96" s="2303" t="s">
        <v>425</v>
      </c>
      <c r="N96" s="2303">
        <v>2</v>
      </c>
    </row>
    <row r="97" spans="1:14">
      <c r="A97" s="199" t="s">
        <v>1312</v>
      </c>
      <c r="C97" s="148" t="s">
        <v>1313</v>
      </c>
      <c r="J97" s="2301">
        <v>329022</v>
      </c>
      <c r="K97" s="2302">
        <v>329</v>
      </c>
      <c r="L97" s="2301" t="s">
        <v>1314</v>
      </c>
      <c r="M97" s="2303" t="s">
        <v>425</v>
      </c>
      <c r="N97" s="2303">
        <v>2</v>
      </c>
    </row>
    <row r="98" spans="1:14">
      <c r="A98" s="199" t="s">
        <v>1315</v>
      </c>
      <c r="C98" s="148" t="s">
        <v>1316</v>
      </c>
      <c r="J98" s="2301">
        <v>331008</v>
      </c>
      <c r="K98" s="2302">
        <v>330</v>
      </c>
      <c r="L98" s="2301" t="s">
        <v>1317</v>
      </c>
      <c r="M98" s="2303">
        <v>3</v>
      </c>
      <c r="N98" s="2303">
        <v>2</v>
      </c>
    </row>
    <row r="99" spans="1:14">
      <c r="A99" s="199" t="s">
        <v>1318</v>
      </c>
      <c r="C99" s="148" t="s">
        <v>1319</v>
      </c>
      <c r="J99" s="2301">
        <v>333012</v>
      </c>
      <c r="K99" s="2302">
        <v>330</v>
      </c>
      <c r="L99" s="2301" t="s">
        <v>1320</v>
      </c>
      <c r="M99" s="2303">
        <v>3</v>
      </c>
      <c r="N99" s="2303">
        <v>2</v>
      </c>
    </row>
    <row r="100" spans="1:14">
      <c r="A100" s="199" t="s">
        <v>1321</v>
      </c>
      <c r="C100" s="148" t="s">
        <v>1322</v>
      </c>
      <c r="J100" s="2301">
        <v>333023</v>
      </c>
      <c r="K100" s="2302">
        <v>330</v>
      </c>
      <c r="L100" s="2301" t="s">
        <v>1323</v>
      </c>
      <c r="M100" s="2303">
        <v>3</v>
      </c>
      <c r="N100" s="2303">
        <v>2</v>
      </c>
    </row>
    <row r="101" spans="1:14">
      <c r="A101" s="199" t="s">
        <v>1324</v>
      </c>
      <c r="C101" s="148" t="s">
        <v>1325</v>
      </c>
      <c r="J101" s="2301">
        <v>345009</v>
      </c>
      <c r="K101" s="2302">
        <v>316</v>
      </c>
      <c r="L101" s="2301" t="s">
        <v>1326</v>
      </c>
      <c r="M101" s="2303">
        <v>2</v>
      </c>
      <c r="N101" s="2303">
        <v>2</v>
      </c>
    </row>
    <row r="102" spans="1:14">
      <c r="A102" s="199" t="s">
        <v>1327</v>
      </c>
      <c r="C102" s="148" t="s">
        <v>1328</v>
      </c>
      <c r="J102" s="2301">
        <v>361005</v>
      </c>
      <c r="K102" s="2302">
        <v>390</v>
      </c>
      <c r="L102" s="2301" t="s">
        <v>1329</v>
      </c>
      <c r="M102" s="2303">
        <v>2</v>
      </c>
      <c r="N102" s="2303">
        <v>2</v>
      </c>
    </row>
    <row r="103" spans="1:14">
      <c r="A103" s="199" t="s">
        <v>503</v>
      </c>
      <c r="C103" s="148" t="s">
        <v>1330</v>
      </c>
      <c r="J103" s="2301">
        <v>365012</v>
      </c>
      <c r="K103" s="2302">
        <v>390</v>
      </c>
      <c r="L103" s="2301" t="s">
        <v>1331</v>
      </c>
      <c r="M103" s="2303">
        <v>2</v>
      </c>
      <c r="N103" s="2303">
        <v>2</v>
      </c>
    </row>
    <row r="104" spans="1:14">
      <c r="A104" s="199" t="s">
        <v>1332</v>
      </c>
      <c r="C104" s="148" t="s">
        <v>1333</v>
      </c>
      <c r="J104" s="2301">
        <v>370001</v>
      </c>
      <c r="K104" s="2302">
        <v>370</v>
      </c>
      <c r="L104" s="2301" t="s">
        <v>1334</v>
      </c>
      <c r="M104" s="2303">
        <v>3</v>
      </c>
      <c r="N104" s="2303">
        <v>2</v>
      </c>
    </row>
    <row r="105" spans="1:14">
      <c r="A105" s="199" t="s">
        <v>1335</v>
      </c>
      <c r="C105" s="148" t="s">
        <v>1336</v>
      </c>
      <c r="J105" s="2301">
        <v>375005</v>
      </c>
      <c r="K105" s="2302">
        <v>376</v>
      </c>
      <c r="L105" s="2301" t="s">
        <v>1337</v>
      </c>
      <c r="M105" s="2303">
        <v>2</v>
      </c>
      <c r="N105" s="2303">
        <v>2</v>
      </c>
    </row>
    <row r="106" spans="1:14">
      <c r="A106" s="199" t="s">
        <v>1338</v>
      </c>
      <c r="J106" s="2301">
        <v>385004</v>
      </c>
      <c r="K106" s="2302">
        <v>320</v>
      </c>
      <c r="L106" s="2301" t="s">
        <v>1339</v>
      </c>
      <c r="M106" s="2303">
        <v>2</v>
      </c>
      <c r="N106" s="2303">
        <v>2</v>
      </c>
    </row>
    <row r="107" spans="1:14">
      <c r="A107" s="199" t="s">
        <v>1340</v>
      </c>
      <c r="J107" s="2301">
        <v>389009</v>
      </c>
      <c r="K107" s="2302">
        <v>336</v>
      </c>
      <c r="L107" s="2301" t="s">
        <v>1341</v>
      </c>
      <c r="M107" s="2303">
        <v>2</v>
      </c>
      <c r="N107" s="2303">
        <v>2</v>
      </c>
    </row>
    <row r="108" spans="1:14">
      <c r="A108" s="199" t="s">
        <v>1342</v>
      </c>
      <c r="J108" s="2301">
        <v>397010</v>
      </c>
      <c r="K108" s="2302">
        <v>390</v>
      </c>
      <c r="L108" s="2301" t="s">
        <v>1343</v>
      </c>
      <c r="M108" s="2303">
        <v>2</v>
      </c>
      <c r="N108" s="2303">
        <v>2</v>
      </c>
    </row>
    <row r="109" spans="1:14">
      <c r="A109" s="199" t="s">
        <v>1344</v>
      </c>
      <c r="J109" s="2301">
        <v>397014</v>
      </c>
      <c r="K109" s="2302">
        <v>390</v>
      </c>
      <c r="L109" s="2301" t="s">
        <v>1345</v>
      </c>
      <c r="M109" s="2303">
        <v>2</v>
      </c>
      <c r="N109" s="2303">
        <v>2</v>
      </c>
    </row>
    <row r="110" spans="1:14">
      <c r="A110" s="199" t="s">
        <v>1346</v>
      </c>
      <c r="J110" s="2301">
        <v>400038</v>
      </c>
      <c r="K110" s="2302">
        <v>400</v>
      </c>
      <c r="L110" s="2301" t="s">
        <v>1347</v>
      </c>
      <c r="M110" s="2303" t="s">
        <v>425</v>
      </c>
      <c r="N110" s="2303">
        <v>1</v>
      </c>
    </row>
    <row r="111" spans="1:14">
      <c r="A111" s="199" t="s">
        <v>1348</v>
      </c>
      <c r="J111" s="2301">
        <v>425005</v>
      </c>
      <c r="K111" s="2302">
        <v>430</v>
      </c>
      <c r="L111" s="2301" t="s">
        <v>1349</v>
      </c>
      <c r="M111" s="2303">
        <v>3</v>
      </c>
      <c r="N111" s="2303">
        <v>3</v>
      </c>
    </row>
    <row r="112" spans="1:14">
      <c r="A112" s="199" t="s">
        <v>1350</v>
      </c>
      <c r="J112" s="2301">
        <v>427009</v>
      </c>
      <c r="K112" s="2302">
        <v>479</v>
      </c>
      <c r="L112" s="2301" t="s">
        <v>1351</v>
      </c>
      <c r="M112" s="2303" t="s">
        <v>425</v>
      </c>
      <c r="N112" s="2303">
        <v>3</v>
      </c>
    </row>
    <row r="113" spans="1:14">
      <c r="A113" s="199" t="s">
        <v>1352</v>
      </c>
      <c r="J113" s="2301">
        <v>427010</v>
      </c>
      <c r="K113" s="2302">
        <v>479</v>
      </c>
      <c r="L113" s="2301" t="s">
        <v>1353</v>
      </c>
      <c r="M113" s="2303" t="s">
        <v>425</v>
      </c>
      <c r="N113" s="2303">
        <v>3</v>
      </c>
    </row>
    <row r="114" spans="1:14">
      <c r="A114" s="199" t="s">
        <v>1354</v>
      </c>
      <c r="J114" s="2301">
        <v>431011</v>
      </c>
      <c r="K114" s="2302">
        <v>430</v>
      </c>
      <c r="L114" s="2301" t="s">
        <v>1355</v>
      </c>
      <c r="M114" s="2303">
        <v>3</v>
      </c>
      <c r="N114" s="2303">
        <v>3</v>
      </c>
    </row>
    <row r="115" spans="1:14">
      <c r="A115" s="199" t="s">
        <v>1356</v>
      </c>
      <c r="J115" s="2301">
        <v>431014</v>
      </c>
      <c r="K115" s="2302">
        <v>430</v>
      </c>
      <c r="L115" s="2301" t="s">
        <v>1357</v>
      </c>
      <c r="M115" s="2303">
        <v>3</v>
      </c>
      <c r="N115" s="2303">
        <v>3</v>
      </c>
    </row>
    <row r="116" spans="1:14">
      <c r="A116" s="199" t="s">
        <v>1316</v>
      </c>
      <c r="J116" s="2301">
        <v>433005</v>
      </c>
      <c r="K116" s="2302">
        <v>420</v>
      </c>
      <c r="L116" s="2301" t="s">
        <v>1358</v>
      </c>
      <c r="M116" s="2303">
        <v>2</v>
      </c>
      <c r="N116" s="2303">
        <v>3</v>
      </c>
    </row>
    <row r="117" spans="1:14">
      <c r="J117" s="2301">
        <v>433008</v>
      </c>
      <c r="K117" s="2302">
        <v>420</v>
      </c>
      <c r="L117" s="2301" t="s">
        <v>1359</v>
      </c>
      <c r="M117" s="2303">
        <v>2</v>
      </c>
      <c r="N117" s="2303">
        <v>3</v>
      </c>
    </row>
    <row r="118" spans="1:14">
      <c r="J118" s="2301">
        <v>435006</v>
      </c>
      <c r="K118" s="2302">
        <v>479</v>
      </c>
      <c r="L118" s="2301" t="s">
        <v>1360</v>
      </c>
      <c r="M118" s="2303" t="s">
        <v>425</v>
      </c>
      <c r="N118" s="2303">
        <v>3</v>
      </c>
    </row>
    <row r="119" spans="1:14">
      <c r="J119" s="2301">
        <v>437004</v>
      </c>
      <c r="K119" s="2302">
        <v>420</v>
      </c>
      <c r="L119" s="2301" t="s">
        <v>1361</v>
      </c>
      <c r="M119" s="2303">
        <v>2</v>
      </c>
      <c r="N119" s="2303">
        <v>3</v>
      </c>
    </row>
    <row r="120" spans="1:14">
      <c r="J120" s="2301">
        <v>439007</v>
      </c>
      <c r="K120" s="2302">
        <v>440</v>
      </c>
      <c r="L120" s="2301" t="s">
        <v>1362</v>
      </c>
      <c r="M120" s="2303">
        <v>3</v>
      </c>
      <c r="N120" s="2303">
        <v>3</v>
      </c>
    </row>
    <row r="121" spans="1:14">
      <c r="J121" s="2301">
        <v>445009</v>
      </c>
      <c r="K121" s="2302">
        <v>410</v>
      </c>
      <c r="L121" s="2301" t="s">
        <v>1363</v>
      </c>
      <c r="M121" s="2303">
        <v>2</v>
      </c>
      <c r="N121" s="2303">
        <v>3</v>
      </c>
    </row>
    <row r="122" spans="1:14">
      <c r="J122" s="2301">
        <v>445010</v>
      </c>
      <c r="K122" s="2302">
        <v>410</v>
      </c>
      <c r="L122" s="2301" t="s">
        <v>1364</v>
      </c>
      <c r="M122" s="2303">
        <v>2</v>
      </c>
      <c r="N122" s="2303">
        <v>3</v>
      </c>
    </row>
    <row r="123" spans="1:14">
      <c r="J123" s="2301">
        <v>461041</v>
      </c>
      <c r="K123" s="2302">
        <v>461</v>
      </c>
      <c r="L123" s="2301" t="s">
        <v>1365</v>
      </c>
      <c r="M123" s="2303" t="s">
        <v>426</v>
      </c>
      <c r="N123" s="2303">
        <v>3</v>
      </c>
    </row>
    <row r="124" spans="1:14">
      <c r="J124" s="2301">
        <v>461044</v>
      </c>
      <c r="K124" s="2302">
        <v>461</v>
      </c>
      <c r="L124" s="2301" t="s">
        <v>1366</v>
      </c>
      <c r="M124" s="2303" t="s">
        <v>426</v>
      </c>
      <c r="N124" s="2303">
        <v>3</v>
      </c>
    </row>
    <row r="125" spans="1:14">
      <c r="J125" s="2301">
        <v>461046</v>
      </c>
      <c r="K125" s="2302">
        <v>461</v>
      </c>
      <c r="L125" s="2301" t="s">
        <v>1367</v>
      </c>
      <c r="M125" s="2303" t="s">
        <v>426</v>
      </c>
      <c r="N125" s="2303">
        <v>3</v>
      </c>
    </row>
    <row r="126" spans="1:14">
      <c r="J126" s="2301">
        <v>461047</v>
      </c>
      <c r="K126" s="2302">
        <v>461</v>
      </c>
      <c r="L126" s="2301" t="s">
        <v>1368</v>
      </c>
      <c r="M126" s="2303" t="s">
        <v>426</v>
      </c>
      <c r="N126" s="2303">
        <v>3</v>
      </c>
    </row>
    <row r="127" spans="1:14">
      <c r="J127" s="2301">
        <v>461054</v>
      </c>
      <c r="K127" s="2302">
        <v>461</v>
      </c>
      <c r="L127" s="2301" t="s">
        <v>1369</v>
      </c>
      <c r="M127" s="2303" t="s">
        <v>426</v>
      </c>
      <c r="N127" s="2303">
        <v>3</v>
      </c>
    </row>
    <row r="128" spans="1:14">
      <c r="J128" s="2301">
        <v>461070</v>
      </c>
      <c r="K128" s="2302">
        <v>461</v>
      </c>
      <c r="L128" s="2301" t="s">
        <v>1370</v>
      </c>
      <c r="M128" s="2303" t="s">
        <v>426</v>
      </c>
      <c r="N128" s="2303">
        <v>3</v>
      </c>
    </row>
    <row r="129" spans="10:14">
      <c r="J129" s="2301">
        <v>461078</v>
      </c>
      <c r="K129" s="2302">
        <v>461</v>
      </c>
      <c r="L129" s="2301" t="s">
        <v>1371</v>
      </c>
      <c r="M129" s="2303" t="s">
        <v>426</v>
      </c>
      <c r="N129" s="2303">
        <v>3</v>
      </c>
    </row>
    <row r="130" spans="10:14">
      <c r="J130" s="2301">
        <v>461079</v>
      </c>
      <c r="K130" s="2302">
        <v>461</v>
      </c>
      <c r="L130" s="2301" t="s">
        <v>1372</v>
      </c>
      <c r="M130" s="2303" t="s">
        <v>426</v>
      </c>
      <c r="N130" s="2303">
        <v>3</v>
      </c>
    </row>
    <row r="131" spans="10:14">
      <c r="J131" s="2301">
        <v>461080</v>
      </c>
      <c r="K131" s="2302">
        <v>461</v>
      </c>
      <c r="L131" s="2301" t="s">
        <v>1373</v>
      </c>
      <c r="M131" s="2303" t="s">
        <v>426</v>
      </c>
      <c r="N131" s="2303">
        <v>3</v>
      </c>
    </row>
    <row r="132" spans="10:14">
      <c r="J132" s="2301">
        <v>461109</v>
      </c>
      <c r="K132" s="2302">
        <v>461</v>
      </c>
      <c r="L132" s="2301" t="s">
        <v>1374</v>
      </c>
      <c r="M132" s="2303" t="s">
        <v>426</v>
      </c>
      <c r="N132" s="2303">
        <v>3</v>
      </c>
    </row>
    <row r="133" spans="10:14">
      <c r="J133" s="2301">
        <v>473011</v>
      </c>
      <c r="K133" s="2302">
        <v>430</v>
      </c>
      <c r="L133" s="2301" t="s">
        <v>1375</v>
      </c>
      <c r="M133" s="2303">
        <v>3</v>
      </c>
      <c r="N133" s="2303">
        <v>3</v>
      </c>
    </row>
    <row r="134" spans="10:14">
      <c r="J134" s="2301">
        <v>473012</v>
      </c>
      <c r="K134" s="2302">
        <v>430</v>
      </c>
      <c r="L134" s="2301" t="s">
        <v>1376</v>
      </c>
      <c r="M134" s="2303">
        <v>3</v>
      </c>
      <c r="N134" s="2303">
        <v>3</v>
      </c>
    </row>
    <row r="135" spans="10:14">
      <c r="J135" s="2301">
        <v>473013</v>
      </c>
      <c r="K135" s="2302">
        <v>430</v>
      </c>
      <c r="L135" s="2301" t="s">
        <v>1377</v>
      </c>
      <c r="M135" s="2303">
        <v>3</v>
      </c>
      <c r="N135" s="2303">
        <v>3</v>
      </c>
    </row>
    <row r="136" spans="10:14">
      <c r="J136" s="2301">
        <v>473015</v>
      </c>
      <c r="K136" s="2302">
        <v>430</v>
      </c>
      <c r="L136" s="2301" t="s">
        <v>1378</v>
      </c>
      <c r="M136" s="2303">
        <v>3</v>
      </c>
      <c r="N136" s="2303">
        <v>3</v>
      </c>
    </row>
    <row r="137" spans="10:14">
      <c r="J137" s="2301">
        <v>473022</v>
      </c>
      <c r="K137" s="2302">
        <v>430</v>
      </c>
      <c r="L137" s="2301" t="s">
        <v>1379</v>
      </c>
      <c r="M137" s="2303">
        <v>3</v>
      </c>
      <c r="N137" s="2303">
        <v>3</v>
      </c>
    </row>
    <row r="138" spans="10:14">
      <c r="J138" s="2301">
        <v>475004</v>
      </c>
      <c r="K138" s="2302">
        <v>482</v>
      </c>
      <c r="L138" s="2301" t="s">
        <v>1380</v>
      </c>
      <c r="M138" s="2303">
        <v>2</v>
      </c>
      <c r="N138" s="2303">
        <v>3</v>
      </c>
    </row>
    <row r="139" spans="10:14">
      <c r="J139" s="2301">
        <v>477004</v>
      </c>
      <c r="K139" s="2302">
        <v>430</v>
      </c>
      <c r="L139" s="2301" t="s">
        <v>1381</v>
      </c>
      <c r="M139" s="2303">
        <v>3</v>
      </c>
      <c r="N139" s="2303">
        <v>3</v>
      </c>
    </row>
    <row r="140" spans="10:14">
      <c r="J140" s="2301">
        <v>477005</v>
      </c>
      <c r="K140" s="2302">
        <v>430</v>
      </c>
      <c r="L140" s="2301" t="s">
        <v>1382</v>
      </c>
      <c r="M140" s="2303">
        <v>3</v>
      </c>
      <c r="N140" s="2303">
        <v>3</v>
      </c>
    </row>
    <row r="141" spans="10:14">
      <c r="J141" s="2301">
        <v>477006</v>
      </c>
      <c r="K141" s="2302">
        <v>430</v>
      </c>
      <c r="L141" s="2301" t="s">
        <v>1383</v>
      </c>
      <c r="M141" s="2303">
        <v>3</v>
      </c>
      <c r="N141" s="2303">
        <v>3</v>
      </c>
    </row>
    <row r="142" spans="10:14">
      <c r="J142" s="2301">
        <v>479016</v>
      </c>
      <c r="K142" s="2302">
        <v>479</v>
      </c>
      <c r="L142" s="2301" t="s">
        <v>1384</v>
      </c>
      <c r="M142" s="2303" t="s">
        <v>425</v>
      </c>
      <c r="N142" s="2303">
        <v>3</v>
      </c>
    </row>
    <row r="143" spans="10:14">
      <c r="J143" s="2301">
        <v>482001</v>
      </c>
      <c r="K143" s="2302">
        <v>482</v>
      </c>
      <c r="L143" s="2301" t="s">
        <v>1385</v>
      </c>
      <c r="M143" s="2303">
        <v>2</v>
      </c>
      <c r="N143" s="2303">
        <v>3</v>
      </c>
    </row>
    <row r="144" spans="10:14">
      <c r="J144" s="2301">
        <v>492001</v>
      </c>
      <c r="K144" s="2302">
        <v>492</v>
      </c>
      <c r="L144" s="2301" t="s">
        <v>1386</v>
      </c>
      <c r="M144" s="2303">
        <v>2</v>
      </c>
      <c r="N144" s="2303">
        <v>3</v>
      </c>
    </row>
    <row r="145" spans="10:14">
      <c r="J145" s="2301">
        <v>495006</v>
      </c>
      <c r="K145" s="2302">
        <v>450</v>
      </c>
      <c r="L145" s="2301" t="s">
        <v>1387</v>
      </c>
      <c r="M145" s="2303">
        <v>3</v>
      </c>
      <c r="N145" s="2303">
        <v>3</v>
      </c>
    </row>
    <row r="146" spans="10:14">
      <c r="J146" s="2301">
        <v>495007</v>
      </c>
      <c r="K146" s="2302">
        <v>450</v>
      </c>
      <c r="L146" s="2301" t="s">
        <v>1388</v>
      </c>
      <c r="M146" s="2303">
        <v>3</v>
      </c>
      <c r="N146" s="2303">
        <v>3</v>
      </c>
    </row>
    <row r="147" spans="10:14">
      <c r="J147" s="2301">
        <v>497005</v>
      </c>
      <c r="K147" s="2302">
        <v>430</v>
      </c>
      <c r="L147" s="2301" t="s">
        <v>1389</v>
      </c>
      <c r="M147" s="2303">
        <v>3</v>
      </c>
      <c r="N147" s="2303">
        <v>3</v>
      </c>
    </row>
    <row r="148" spans="10:14">
      <c r="J148" s="2301">
        <v>497006</v>
      </c>
      <c r="K148" s="2302">
        <v>430</v>
      </c>
      <c r="L148" s="2301" t="s">
        <v>1390</v>
      </c>
      <c r="M148" s="2303">
        <v>3</v>
      </c>
      <c r="N148" s="2303">
        <v>3</v>
      </c>
    </row>
    <row r="149" spans="10:14">
      <c r="J149" s="2301">
        <v>497007</v>
      </c>
      <c r="K149" s="2302">
        <v>430</v>
      </c>
      <c r="L149" s="2301" t="s">
        <v>1391</v>
      </c>
      <c r="M149" s="2303">
        <v>3</v>
      </c>
      <c r="N149" s="2303">
        <v>3</v>
      </c>
    </row>
    <row r="150" spans="10:14">
      <c r="J150" s="2301">
        <v>499005</v>
      </c>
      <c r="K150" s="2302">
        <v>420</v>
      </c>
      <c r="L150" s="2301" t="s">
        <v>1392</v>
      </c>
      <c r="M150" s="2303">
        <v>2</v>
      </c>
      <c r="N150" s="2303">
        <v>3</v>
      </c>
    </row>
    <row r="151" spans="10:14">
      <c r="J151" s="2301">
        <v>501003</v>
      </c>
      <c r="K151" s="2302">
        <v>540</v>
      </c>
      <c r="L151" s="2301" t="s">
        <v>1393</v>
      </c>
      <c r="M151" s="2303">
        <v>3</v>
      </c>
      <c r="N151" s="2303">
        <v>4</v>
      </c>
    </row>
    <row r="152" spans="10:14">
      <c r="J152" s="2301">
        <v>509011</v>
      </c>
      <c r="K152" s="2302">
        <v>510</v>
      </c>
      <c r="L152" s="2301" t="s">
        <v>1394</v>
      </c>
      <c r="M152" s="2303">
        <v>2</v>
      </c>
      <c r="N152" s="2303">
        <v>4</v>
      </c>
    </row>
    <row r="153" spans="10:14">
      <c r="J153" s="2301">
        <v>510006</v>
      </c>
      <c r="K153" s="2302">
        <v>510</v>
      </c>
      <c r="L153" s="2301" t="s">
        <v>1395</v>
      </c>
      <c r="M153" s="2303">
        <v>2</v>
      </c>
      <c r="N153" s="2303">
        <v>4</v>
      </c>
    </row>
    <row r="154" spans="10:14">
      <c r="J154" s="2301">
        <v>511005</v>
      </c>
      <c r="K154" s="2302">
        <v>510</v>
      </c>
      <c r="L154" s="2301" t="s">
        <v>1396</v>
      </c>
      <c r="M154" s="2303">
        <v>2</v>
      </c>
      <c r="N154" s="2303">
        <v>4</v>
      </c>
    </row>
    <row r="155" spans="10:14">
      <c r="J155" s="2301">
        <v>513008</v>
      </c>
      <c r="K155" s="2302">
        <v>540</v>
      </c>
      <c r="L155" s="2301" t="s">
        <v>1397</v>
      </c>
      <c r="M155" s="2303">
        <v>3</v>
      </c>
      <c r="N155" s="2303">
        <v>4</v>
      </c>
    </row>
    <row r="156" spans="10:14">
      <c r="J156" s="2301">
        <v>519008</v>
      </c>
      <c r="K156" s="2302">
        <v>580</v>
      </c>
      <c r="L156" s="2301" t="s">
        <v>1398</v>
      </c>
      <c r="M156" s="2303">
        <v>2</v>
      </c>
      <c r="N156" s="2303">
        <v>4</v>
      </c>
    </row>
    <row r="157" spans="10:14">
      <c r="J157" s="2301">
        <v>521011</v>
      </c>
      <c r="K157" s="2302">
        <v>550</v>
      </c>
      <c r="L157" s="2301" t="s">
        <v>1399</v>
      </c>
      <c r="M157" s="2303">
        <v>2</v>
      </c>
      <c r="N157" s="2303">
        <v>4</v>
      </c>
    </row>
    <row r="158" spans="10:14">
      <c r="J158" s="2301">
        <v>523012</v>
      </c>
      <c r="K158" s="2302">
        <v>540</v>
      </c>
      <c r="L158" s="2301" t="s">
        <v>1400</v>
      </c>
      <c r="M158" s="2303">
        <v>3</v>
      </c>
      <c r="N158" s="2303">
        <v>4</v>
      </c>
    </row>
    <row r="159" spans="10:14">
      <c r="J159" s="2301">
        <v>523013</v>
      </c>
      <c r="K159" s="2302">
        <v>540</v>
      </c>
      <c r="L159" s="2301" t="s">
        <v>1401</v>
      </c>
      <c r="M159" s="2303">
        <v>3</v>
      </c>
      <c r="N159" s="2303">
        <v>4</v>
      </c>
    </row>
    <row r="160" spans="10:14">
      <c r="J160" s="2301">
        <v>527008</v>
      </c>
      <c r="K160" s="2302">
        <v>575</v>
      </c>
      <c r="L160" s="2301" t="s">
        <v>1402</v>
      </c>
      <c r="M160" s="2303" t="s">
        <v>425</v>
      </c>
      <c r="N160" s="2303">
        <v>4</v>
      </c>
    </row>
    <row r="161" spans="10:14">
      <c r="J161" s="2301">
        <v>531008</v>
      </c>
      <c r="K161" s="2302">
        <v>550</v>
      </c>
      <c r="L161" s="2301" t="s">
        <v>1403</v>
      </c>
      <c r="M161" s="2303">
        <v>2</v>
      </c>
      <c r="N161" s="2303">
        <v>4</v>
      </c>
    </row>
    <row r="162" spans="10:14">
      <c r="J162" s="2301">
        <v>533005</v>
      </c>
      <c r="K162" s="2302">
        <v>540</v>
      </c>
      <c r="L162" s="2301" t="s">
        <v>1404</v>
      </c>
      <c r="M162" s="2303">
        <v>3</v>
      </c>
      <c r="N162" s="2303">
        <v>4</v>
      </c>
    </row>
    <row r="163" spans="10:14">
      <c r="J163" s="2301">
        <v>535007</v>
      </c>
      <c r="K163" s="2302">
        <v>540</v>
      </c>
      <c r="L163" s="2301" t="s">
        <v>1405</v>
      </c>
      <c r="M163" s="2303">
        <v>3</v>
      </c>
      <c r="N163" s="2303">
        <v>4</v>
      </c>
    </row>
    <row r="164" spans="10:14">
      <c r="J164" s="2301">
        <v>545011</v>
      </c>
      <c r="K164" s="2302">
        <v>580</v>
      </c>
      <c r="L164" s="2301" t="s">
        <v>1406</v>
      </c>
      <c r="M164" s="2303">
        <v>2</v>
      </c>
      <c r="N164" s="2303">
        <v>4</v>
      </c>
    </row>
    <row r="165" spans="10:14">
      <c r="J165" s="2301">
        <v>550001</v>
      </c>
      <c r="K165" s="2302">
        <v>550</v>
      </c>
      <c r="L165" s="2301" t="s">
        <v>1407</v>
      </c>
      <c r="M165" s="2303">
        <v>2</v>
      </c>
      <c r="N165" s="2303">
        <v>4</v>
      </c>
    </row>
    <row r="166" spans="10:14">
      <c r="J166" s="2301">
        <v>553009</v>
      </c>
      <c r="K166" s="2302">
        <v>573</v>
      </c>
      <c r="L166" s="2301" t="s">
        <v>1408</v>
      </c>
      <c r="M166" s="2303" t="s">
        <v>425</v>
      </c>
      <c r="N166" s="2303">
        <v>4</v>
      </c>
    </row>
    <row r="167" spans="10:14">
      <c r="J167" s="2301">
        <v>553010</v>
      </c>
      <c r="K167" s="2302">
        <v>573</v>
      </c>
      <c r="L167" s="2301" t="s">
        <v>1409</v>
      </c>
      <c r="M167" s="2303" t="s">
        <v>425</v>
      </c>
      <c r="N167" s="2303">
        <v>4</v>
      </c>
    </row>
    <row r="168" spans="10:14">
      <c r="J168" s="2301">
        <v>557007</v>
      </c>
      <c r="K168" s="2302">
        <v>561</v>
      </c>
      <c r="L168" s="2301" t="s">
        <v>1410</v>
      </c>
      <c r="M168" s="2303">
        <v>3</v>
      </c>
      <c r="N168" s="2303">
        <v>4</v>
      </c>
    </row>
    <row r="169" spans="10:14">
      <c r="J169" s="2301">
        <v>559007</v>
      </c>
      <c r="K169" s="2302">
        <v>575</v>
      </c>
      <c r="L169" s="2301" t="s">
        <v>1411</v>
      </c>
      <c r="M169" s="2303" t="s">
        <v>425</v>
      </c>
      <c r="N169" s="2303">
        <v>4</v>
      </c>
    </row>
    <row r="170" spans="10:14">
      <c r="J170" s="2301">
        <v>573012</v>
      </c>
      <c r="K170" s="2302">
        <v>573</v>
      </c>
      <c r="L170" s="2301" t="s">
        <v>1412</v>
      </c>
      <c r="M170" s="2303" t="s">
        <v>425</v>
      </c>
      <c r="N170" s="2303">
        <v>4</v>
      </c>
    </row>
    <row r="171" spans="10:14">
      <c r="J171" s="2301">
        <v>575013</v>
      </c>
      <c r="K171" s="2302">
        <v>575</v>
      </c>
      <c r="L171" s="2301" t="s">
        <v>1413</v>
      </c>
      <c r="M171" s="2303" t="s">
        <v>425</v>
      </c>
      <c r="N171" s="2303">
        <v>4</v>
      </c>
    </row>
    <row r="172" spans="10:14">
      <c r="J172" s="2301">
        <v>601008</v>
      </c>
      <c r="K172" s="2302">
        <v>615</v>
      </c>
      <c r="L172" s="2301" t="s">
        <v>1414</v>
      </c>
      <c r="M172" s="2303" t="s">
        <v>425</v>
      </c>
      <c r="N172" s="2303">
        <v>5</v>
      </c>
    </row>
    <row r="173" spans="10:14">
      <c r="J173" s="2301">
        <v>601009</v>
      </c>
      <c r="K173" s="2302">
        <v>615</v>
      </c>
      <c r="L173" s="2301" t="s">
        <v>1415</v>
      </c>
      <c r="M173" s="2303" t="s">
        <v>425</v>
      </c>
      <c r="N173" s="2303">
        <v>5</v>
      </c>
    </row>
    <row r="174" spans="10:14">
      <c r="J174" s="2301">
        <v>605009</v>
      </c>
      <c r="K174" s="2302">
        <v>630</v>
      </c>
      <c r="L174" s="2301" t="s">
        <v>1416</v>
      </c>
      <c r="M174" s="2303">
        <v>2</v>
      </c>
      <c r="N174" s="2303">
        <v>4</v>
      </c>
    </row>
    <row r="175" spans="10:14">
      <c r="J175" s="2301">
        <v>607022</v>
      </c>
      <c r="K175" s="2302">
        <v>607</v>
      </c>
      <c r="L175" s="2301" t="s">
        <v>1417</v>
      </c>
      <c r="M175" s="2303" t="s">
        <v>425</v>
      </c>
      <c r="N175" s="2303">
        <v>4</v>
      </c>
    </row>
    <row r="176" spans="10:14">
      <c r="J176" s="2301">
        <v>609005</v>
      </c>
      <c r="K176" s="2302">
        <v>615</v>
      </c>
      <c r="L176" s="2301" t="s">
        <v>1418</v>
      </c>
      <c r="M176" s="2303" t="s">
        <v>425</v>
      </c>
      <c r="N176" s="2303">
        <v>5</v>
      </c>
    </row>
    <row r="177" spans="10:14">
      <c r="J177" s="2301">
        <v>611011</v>
      </c>
      <c r="K177" s="2302">
        <v>630</v>
      </c>
      <c r="L177" s="2301" t="s">
        <v>1419</v>
      </c>
      <c r="M177" s="2303">
        <v>2</v>
      </c>
      <c r="N177" s="2303">
        <v>4</v>
      </c>
    </row>
    <row r="178" spans="10:14">
      <c r="J178" s="2301">
        <v>611013</v>
      </c>
      <c r="K178" s="2302">
        <v>630</v>
      </c>
      <c r="L178" s="2301" t="s">
        <v>1420</v>
      </c>
      <c r="M178" s="2303">
        <v>2</v>
      </c>
      <c r="N178" s="2303">
        <v>4</v>
      </c>
    </row>
    <row r="179" spans="10:14">
      <c r="J179" s="2301">
        <v>619017</v>
      </c>
      <c r="K179" s="2302">
        <v>766</v>
      </c>
      <c r="L179" s="2301" t="s">
        <v>1421</v>
      </c>
      <c r="M179" s="2303">
        <v>2</v>
      </c>
      <c r="N179" s="2303">
        <v>5</v>
      </c>
    </row>
    <row r="180" spans="10:14">
      <c r="J180" s="2301">
        <v>621024</v>
      </c>
      <c r="K180" s="2302">
        <v>621</v>
      </c>
      <c r="L180" s="2301" t="s">
        <v>1422</v>
      </c>
      <c r="M180" s="2303" t="s">
        <v>425</v>
      </c>
      <c r="N180" s="2303">
        <v>4</v>
      </c>
    </row>
    <row r="181" spans="10:14">
      <c r="J181" s="2301">
        <v>625005</v>
      </c>
      <c r="K181" s="2302">
        <v>756</v>
      </c>
      <c r="L181" s="2301" t="s">
        <v>1423</v>
      </c>
      <c r="M181" s="2303">
        <v>2</v>
      </c>
      <c r="N181" s="2303">
        <v>5</v>
      </c>
    </row>
    <row r="182" spans="10:14">
      <c r="J182" s="2301">
        <v>625006</v>
      </c>
      <c r="K182" s="2302">
        <v>756</v>
      </c>
      <c r="L182" s="2301" t="s">
        <v>1424</v>
      </c>
      <c r="M182" s="2303">
        <v>2</v>
      </c>
      <c r="N182" s="2303">
        <v>5</v>
      </c>
    </row>
    <row r="183" spans="10:14">
      <c r="J183" s="2301">
        <v>625007</v>
      </c>
      <c r="K183" s="2302">
        <v>756</v>
      </c>
      <c r="L183" s="2301" t="s">
        <v>1425</v>
      </c>
      <c r="M183" s="2303">
        <v>2</v>
      </c>
      <c r="N183" s="2303">
        <v>5</v>
      </c>
    </row>
    <row r="184" spans="10:14">
      <c r="J184" s="2301">
        <v>627008</v>
      </c>
      <c r="K184" s="2302">
        <v>630</v>
      </c>
      <c r="L184" s="2301" t="s">
        <v>1426</v>
      </c>
      <c r="M184" s="2303">
        <v>2</v>
      </c>
      <c r="N184" s="2303">
        <v>4</v>
      </c>
    </row>
    <row r="185" spans="10:14">
      <c r="J185" s="2301">
        <v>631023</v>
      </c>
      <c r="K185" s="2302">
        <v>630</v>
      </c>
      <c r="L185" s="2301" t="s">
        <v>1427</v>
      </c>
      <c r="M185" s="2303">
        <v>2</v>
      </c>
      <c r="N185" s="2303">
        <v>4</v>
      </c>
    </row>
    <row r="186" spans="10:14">
      <c r="J186" s="2301">
        <v>631024</v>
      </c>
      <c r="K186" s="2302">
        <v>630</v>
      </c>
      <c r="L186" s="2301" t="s">
        <v>1428</v>
      </c>
      <c r="M186" s="2303">
        <v>2</v>
      </c>
      <c r="N186" s="2303">
        <v>4</v>
      </c>
    </row>
    <row r="187" spans="10:14">
      <c r="J187" s="2301">
        <v>653006</v>
      </c>
      <c r="K187" s="2302">
        <v>756</v>
      </c>
      <c r="L187" s="2301" t="s">
        <v>1429</v>
      </c>
      <c r="M187" s="2303">
        <v>2</v>
      </c>
      <c r="N187" s="2303">
        <v>5</v>
      </c>
    </row>
    <row r="188" spans="10:14">
      <c r="J188" s="2301">
        <v>655012</v>
      </c>
      <c r="K188" s="2302">
        <v>760</v>
      </c>
      <c r="L188" s="2301" t="s">
        <v>1430</v>
      </c>
      <c r="M188" s="2303">
        <v>2</v>
      </c>
      <c r="N188" s="2303">
        <v>5</v>
      </c>
    </row>
    <row r="189" spans="10:14">
      <c r="J189" s="2301">
        <v>655013</v>
      </c>
      <c r="K189" s="2302">
        <v>760</v>
      </c>
      <c r="L189" s="2301" t="s">
        <v>1431</v>
      </c>
      <c r="M189" s="2303">
        <v>2</v>
      </c>
      <c r="N189" s="2303">
        <v>5</v>
      </c>
    </row>
    <row r="190" spans="10:14">
      <c r="J190" s="2301">
        <v>657024</v>
      </c>
      <c r="K190" s="2302">
        <v>657</v>
      </c>
      <c r="L190" s="2301" t="s">
        <v>1432</v>
      </c>
      <c r="M190" s="2303" t="s">
        <v>425</v>
      </c>
      <c r="N190" s="2303">
        <v>5</v>
      </c>
    </row>
    <row r="191" spans="10:14">
      <c r="J191" s="2301">
        <v>657025</v>
      </c>
      <c r="K191" s="2302">
        <v>657</v>
      </c>
      <c r="L191" s="2301" t="s">
        <v>1433</v>
      </c>
      <c r="M191" s="2303" t="s">
        <v>425</v>
      </c>
      <c r="N191" s="2303">
        <v>5</v>
      </c>
    </row>
    <row r="192" spans="10:14">
      <c r="J192" s="2301">
        <v>657036</v>
      </c>
      <c r="K192" s="2302">
        <v>657</v>
      </c>
      <c r="L192" s="2301" t="s">
        <v>1434</v>
      </c>
      <c r="M192" s="2303" t="s">
        <v>425</v>
      </c>
      <c r="N192" s="2303">
        <v>5</v>
      </c>
    </row>
    <row r="193" spans="10:14">
      <c r="J193" s="2301">
        <v>657038</v>
      </c>
      <c r="K193" s="2302">
        <v>657</v>
      </c>
      <c r="L193" s="2301" t="s">
        <v>1435</v>
      </c>
      <c r="M193" s="2303" t="s">
        <v>425</v>
      </c>
      <c r="N193" s="2303">
        <v>5</v>
      </c>
    </row>
    <row r="194" spans="10:14">
      <c r="J194" s="2301">
        <v>657042</v>
      </c>
      <c r="K194" s="2302">
        <v>657</v>
      </c>
      <c r="L194" s="2301" t="s">
        <v>1436</v>
      </c>
      <c r="M194" s="2303" t="s">
        <v>425</v>
      </c>
      <c r="N194" s="2303">
        <v>5</v>
      </c>
    </row>
    <row r="195" spans="10:14">
      <c r="J195" s="2301">
        <v>661018</v>
      </c>
      <c r="K195" s="2302">
        <v>661</v>
      </c>
      <c r="L195" s="2301" t="s">
        <v>1437</v>
      </c>
      <c r="M195" s="2303" t="s">
        <v>425</v>
      </c>
      <c r="N195" s="2303">
        <v>5</v>
      </c>
    </row>
    <row r="196" spans="10:14">
      <c r="J196" s="2301">
        <v>661020</v>
      </c>
      <c r="K196" s="2302">
        <v>661</v>
      </c>
      <c r="L196" s="2301" t="s">
        <v>1438</v>
      </c>
      <c r="M196" s="2303" t="s">
        <v>425</v>
      </c>
      <c r="N196" s="2303">
        <v>5</v>
      </c>
    </row>
    <row r="197" spans="10:14">
      <c r="J197" s="2301">
        <v>665014</v>
      </c>
      <c r="K197" s="2302">
        <v>665</v>
      </c>
      <c r="L197" s="2301" t="s">
        <v>1439</v>
      </c>
      <c r="M197" s="2303" t="s">
        <v>425</v>
      </c>
      <c r="N197" s="2303">
        <v>5</v>
      </c>
    </row>
    <row r="198" spans="10:14">
      <c r="J198" s="2301">
        <v>665015</v>
      </c>
      <c r="K198" s="2302">
        <v>665</v>
      </c>
      <c r="L198" s="2301" t="s">
        <v>1440</v>
      </c>
      <c r="M198" s="2303" t="s">
        <v>425</v>
      </c>
      <c r="N198" s="2303">
        <v>5</v>
      </c>
    </row>
    <row r="199" spans="10:14">
      <c r="J199" s="2301">
        <v>665016</v>
      </c>
      <c r="K199" s="2302">
        <v>665</v>
      </c>
      <c r="L199" s="2301" t="s">
        <v>1441</v>
      </c>
      <c r="M199" s="2303" t="s">
        <v>425</v>
      </c>
      <c r="N199" s="2303">
        <v>5</v>
      </c>
    </row>
    <row r="200" spans="10:14">
      <c r="J200" s="2301">
        <v>665024</v>
      </c>
      <c r="K200" s="2302">
        <v>665</v>
      </c>
      <c r="L200" s="2301" t="s">
        <v>1442</v>
      </c>
      <c r="M200" s="2303" t="s">
        <v>425</v>
      </c>
      <c r="N200" s="2303">
        <v>5</v>
      </c>
    </row>
    <row r="201" spans="10:14">
      <c r="J201" s="2301">
        <v>667018</v>
      </c>
      <c r="K201" s="2302">
        <v>760</v>
      </c>
      <c r="L201" s="2301" t="s">
        <v>1443</v>
      </c>
      <c r="M201" s="2303">
        <v>2</v>
      </c>
      <c r="N201" s="2303">
        <v>5</v>
      </c>
    </row>
    <row r="202" spans="10:14">
      <c r="J202" s="2301">
        <v>667019</v>
      </c>
      <c r="K202" s="2302">
        <v>760</v>
      </c>
      <c r="L202" s="2301" t="s">
        <v>1444</v>
      </c>
      <c r="M202" s="2303">
        <v>2</v>
      </c>
      <c r="N202" s="2303">
        <v>5</v>
      </c>
    </row>
    <row r="203" spans="10:14">
      <c r="J203" s="2301">
        <v>667021</v>
      </c>
      <c r="K203" s="2302">
        <v>760</v>
      </c>
      <c r="L203" s="2301" t="s">
        <v>1445</v>
      </c>
      <c r="M203" s="2303">
        <v>2</v>
      </c>
      <c r="N203" s="2303">
        <v>5</v>
      </c>
    </row>
    <row r="204" spans="10:14">
      <c r="J204" s="2301">
        <v>671011</v>
      </c>
      <c r="K204" s="2302">
        <v>671</v>
      </c>
      <c r="L204" s="2301" t="s">
        <v>1446</v>
      </c>
      <c r="M204" s="2303" t="s">
        <v>425</v>
      </c>
      <c r="N204" s="2303">
        <v>5</v>
      </c>
    </row>
    <row r="205" spans="10:14">
      <c r="J205" s="2301">
        <v>671013</v>
      </c>
      <c r="K205" s="2302">
        <v>671</v>
      </c>
      <c r="L205" s="2301" t="s">
        <v>1447</v>
      </c>
      <c r="M205" s="2303" t="s">
        <v>425</v>
      </c>
      <c r="N205" s="2303">
        <v>5</v>
      </c>
    </row>
    <row r="206" spans="10:14">
      <c r="J206" s="2301">
        <v>675006</v>
      </c>
      <c r="K206" s="2302">
        <v>671</v>
      </c>
      <c r="L206" s="2301" t="s">
        <v>1448</v>
      </c>
      <c r="M206" s="2303" t="s">
        <v>425</v>
      </c>
      <c r="N206" s="2303">
        <v>5</v>
      </c>
    </row>
    <row r="207" spans="10:14">
      <c r="J207" s="2301">
        <v>679011</v>
      </c>
      <c r="K207" s="2302">
        <v>661</v>
      </c>
      <c r="L207" s="2301" t="s">
        <v>1449</v>
      </c>
      <c r="M207" s="2303" t="s">
        <v>425</v>
      </c>
      <c r="N207" s="2303">
        <v>5</v>
      </c>
    </row>
    <row r="208" spans="10:14">
      <c r="J208" s="2301">
        <v>683009</v>
      </c>
      <c r="K208" s="2302">
        <v>661</v>
      </c>
      <c r="L208" s="2301" t="s">
        <v>1450</v>
      </c>
      <c r="M208" s="2303" t="s">
        <v>425</v>
      </c>
      <c r="N208" s="2303">
        <v>5</v>
      </c>
    </row>
    <row r="209" spans="10:14">
      <c r="J209" s="2301">
        <v>703007</v>
      </c>
      <c r="K209" s="2302">
        <v>746</v>
      </c>
      <c r="L209" s="2301" t="s">
        <v>1451</v>
      </c>
      <c r="M209" s="2303">
        <v>3</v>
      </c>
      <c r="N209" s="2303">
        <v>5</v>
      </c>
    </row>
    <row r="210" spans="10:14">
      <c r="J210" s="2301">
        <v>710003</v>
      </c>
      <c r="K210" s="2302">
        <v>710</v>
      </c>
      <c r="L210" s="2301" t="s">
        <v>1452</v>
      </c>
      <c r="M210" s="2303">
        <v>2</v>
      </c>
      <c r="N210" s="2303">
        <v>5</v>
      </c>
    </row>
    <row r="211" spans="10:14">
      <c r="J211" s="2301">
        <v>711005</v>
      </c>
      <c r="K211" s="2302">
        <v>710</v>
      </c>
      <c r="L211" s="2301" t="s">
        <v>1453</v>
      </c>
      <c r="M211" s="2303">
        <v>2</v>
      </c>
      <c r="N211" s="2303">
        <v>5</v>
      </c>
    </row>
    <row r="212" spans="10:14">
      <c r="J212" s="2301">
        <v>713005</v>
      </c>
      <c r="K212" s="2302">
        <v>710</v>
      </c>
      <c r="L212" s="2301" t="s">
        <v>1454</v>
      </c>
      <c r="M212" s="2303">
        <v>2</v>
      </c>
      <c r="N212" s="2303">
        <v>5</v>
      </c>
    </row>
    <row r="213" spans="10:14">
      <c r="J213" s="2301">
        <v>719004</v>
      </c>
      <c r="K213" s="2302">
        <v>846</v>
      </c>
      <c r="L213" s="2301" t="s">
        <v>1455</v>
      </c>
      <c r="M213" s="2303">
        <v>2</v>
      </c>
      <c r="N213" s="2303">
        <v>6</v>
      </c>
    </row>
    <row r="214" spans="10:14">
      <c r="J214" s="2301">
        <v>723005</v>
      </c>
      <c r="K214" s="2302">
        <v>730</v>
      </c>
      <c r="L214" s="2301" t="s">
        <v>1456</v>
      </c>
      <c r="M214" s="2303">
        <v>2</v>
      </c>
      <c r="N214" s="2303">
        <v>5</v>
      </c>
    </row>
    <row r="215" spans="10:14">
      <c r="J215" s="2301">
        <v>725010</v>
      </c>
      <c r="K215" s="2302">
        <v>707</v>
      </c>
      <c r="L215" s="2301" t="s">
        <v>1457</v>
      </c>
      <c r="M215" s="2303" t="s">
        <v>425</v>
      </c>
      <c r="N215" s="2303">
        <v>5</v>
      </c>
    </row>
    <row r="216" spans="10:14">
      <c r="J216" s="2301">
        <v>727013</v>
      </c>
      <c r="K216" s="2302">
        <v>727</v>
      </c>
      <c r="L216" s="2301" t="s">
        <v>1458</v>
      </c>
      <c r="M216" s="2303" t="s">
        <v>425</v>
      </c>
      <c r="N216" s="2303">
        <v>5</v>
      </c>
    </row>
    <row r="217" spans="10:14">
      <c r="J217" s="2301">
        <v>729006</v>
      </c>
      <c r="K217" s="2302">
        <v>730</v>
      </c>
      <c r="L217" s="2301" t="s">
        <v>1459</v>
      </c>
      <c r="M217" s="2303">
        <v>2</v>
      </c>
      <c r="N217" s="2303">
        <v>5</v>
      </c>
    </row>
    <row r="218" spans="10:14">
      <c r="J218" s="2301">
        <v>741005</v>
      </c>
      <c r="K218" s="2302">
        <v>741</v>
      </c>
      <c r="L218" s="2301" t="s">
        <v>1460</v>
      </c>
      <c r="M218" s="2303" t="s">
        <v>425</v>
      </c>
      <c r="N218" s="2303">
        <v>5</v>
      </c>
    </row>
    <row r="219" spans="10:14">
      <c r="J219" s="2301">
        <v>743026</v>
      </c>
      <c r="K219" s="2302">
        <v>740</v>
      </c>
      <c r="L219" s="2301" t="s">
        <v>1461</v>
      </c>
      <c r="M219" s="2303">
        <v>2</v>
      </c>
      <c r="N219" s="2303">
        <v>5</v>
      </c>
    </row>
    <row r="220" spans="10:14">
      <c r="J220" s="2301">
        <v>743031</v>
      </c>
      <c r="K220" s="2302">
        <v>740</v>
      </c>
      <c r="L220" s="2301" t="s">
        <v>1462</v>
      </c>
      <c r="M220" s="2303">
        <v>2</v>
      </c>
      <c r="N220" s="2303">
        <v>5</v>
      </c>
    </row>
    <row r="221" spans="10:14">
      <c r="J221" s="2301">
        <v>745008</v>
      </c>
      <c r="K221" s="2302">
        <v>746</v>
      </c>
      <c r="L221" s="2301" t="s">
        <v>1463</v>
      </c>
      <c r="M221" s="2303">
        <v>3</v>
      </c>
      <c r="N221" s="2303">
        <v>5</v>
      </c>
    </row>
    <row r="222" spans="10:14">
      <c r="J222" s="2301">
        <v>751062</v>
      </c>
      <c r="K222" s="2302">
        <v>751</v>
      </c>
      <c r="L222" s="2301" t="s">
        <v>1464</v>
      </c>
      <c r="M222" s="2303" t="s">
        <v>427</v>
      </c>
      <c r="N222" s="2303">
        <v>5</v>
      </c>
    </row>
    <row r="223" spans="10:14">
      <c r="J223" s="2301">
        <v>751092</v>
      </c>
      <c r="K223" s="2302">
        <v>751</v>
      </c>
      <c r="L223" s="2301" t="s">
        <v>1465</v>
      </c>
      <c r="M223" s="2303" t="s">
        <v>427</v>
      </c>
      <c r="N223" s="2303">
        <v>5</v>
      </c>
    </row>
    <row r="224" spans="10:14">
      <c r="J224" s="2301">
        <v>751094</v>
      </c>
      <c r="K224" s="2302">
        <v>751</v>
      </c>
      <c r="L224" s="2301" t="s">
        <v>1466</v>
      </c>
      <c r="M224" s="2303" t="s">
        <v>427</v>
      </c>
      <c r="N224" s="2303">
        <v>5</v>
      </c>
    </row>
    <row r="225" spans="10:14">
      <c r="J225" s="2301">
        <v>751098</v>
      </c>
      <c r="K225" s="2302">
        <v>751</v>
      </c>
      <c r="L225" s="2301" t="s">
        <v>1467</v>
      </c>
      <c r="M225" s="2303" t="s">
        <v>427</v>
      </c>
      <c r="N225" s="2303">
        <v>5</v>
      </c>
    </row>
    <row r="226" spans="10:14">
      <c r="J226" s="2301">
        <v>751111</v>
      </c>
      <c r="K226" s="2302">
        <v>751</v>
      </c>
      <c r="L226" s="2301" t="s">
        <v>1468</v>
      </c>
      <c r="M226" s="2303" t="s">
        <v>427</v>
      </c>
      <c r="N226" s="2303">
        <v>5</v>
      </c>
    </row>
    <row r="227" spans="10:14">
      <c r="J227" s="2301">
        <v>760003</v>
      </c>
      <c r="K227" s="2302">
        <v>760</v>
      </c>
      <c r="L227" s="2301" t="s">
        <v>1469</v>
      </c>
      <c r="M227" s="2303">
        <v>2</v>
      </c>
      <c r="N227" s="2303">
        <v>5</v>
      </c>
    </row>
    <row r="228" spans="10:14">
      <c r="J228" s="2301">
        <v>760004</v>
      </c>
      <c r="K228" s="2302">
        <v>760</v>
      </c>
      <c r="L228" s="2301" t="s">
        <v>1470</v>
      </c>
      <c r="M228" s="2303">
        <v>2</v>
      </c>
      <c r="N228" s="2303">
        <v>5</v>
      </c>
    </row>
    <row r="229" spans="10:14">
      <c r="J229" s="2301">
        <v>760005</v>
      </c>
      <c r="K229" s="2302">
        <v>760</v>
      </c>
      <c r="L229" s="2301" t="s">
        <v>1471</v>
      </c>
      <c r="M229" s="2303">
        <v>2</v>
      </c>
      <c r="N229" s="2303">
        <v>5</v>
      </c>
    </row>
    <row r="230" spans="10:14">
      <c r="J230" s="2301">
        <v>761011</v>
      </c>
      <c r="K230" s="2302">
        <v>791</v>
      </c>
      <c r="L230" s="2301" t="s">
        <v>1472</v>
      </c>
      <c r="M230" s="2303" t="s">
        <v>425</v>
      </c>
      <c r="N230" s="2303">
        <v>5</v>
      </c>
    </row>
    <row r="231" spans="10:14">
      <c r="J231" s="2301">
        <v>761015</v>
      </c>
      <c r="K231" s="2302">
        <v>791</v>
      </c>
      <c r="L231" s="2301" t="s">
        <v>1473</v>
      </c>
      <c r="M231" s="2303" t="s">
        <v>425</v>
      </c>
      <c r="N231" s="2303">
        <v>5</v>
      </c>
    </row>
    <row r="232" spans="10:14">
      <c r="J232" s="2301">
        <v>761016</v>
      </c>
      <c r="K232" s="2302">
        <v>791</v>
      </c>
      <c r="L232" s="2301" t="s">
        <v>1474</v>
      </c>
      <c r="M232" s="2303" t="s">
        <v>425</v>
      </c>
      <c r="N232" s="2303">
        <v>5</v>
      </c>
    </row>
    <row r="233" spans="10:14">
      <c r="J233" s="2301">
        <v>765005</v>
      </c>
      <c r="K233" s="2302">
        <v>787</v>
      </c>
      <c r="L233" s="2301" t="s">
        <v>1475</v>
      </c>
      <c r="M233" s="2303" t="s">
        <v>425</v>
      </c>
      <c r="N233" s="2303">
        <v>6</v>
      </c>
    </row>
    <row r="234" spans="10:14">
      <c r="J234" s="2301">
        <v>773021</v>
      </c>
      <c r="K234" s="2302">
        <v>773</v>
      </c>
      <c r="L234" s="2301" t="s">
        <v>1476</v>
      </c>
      <c r="M234" s="2303" t="s">
        <v>425</v>
      </c>
      <c r="N234" s="2303">
        <v>6</v>
      </c>
    </row>
    <row r="235" spans="10:14">
      <c r="J235" s="2301">
        <v>773022</v>
      </c>
      <c r="K235" s="2302">
        <v>773</v>
      </c>
      <c r="L235" s="2301" t="s">
        <v>1477</v>
      </c>
      <c r="M235" s="2303" t="s">
        <v>425</v>
      </c>
      <c r="N235" s="2303">
        <v>6</v>
      </c>
    </row>
    <row r="236" spans="10:14">
      <c r="J236" s="2301">
        <v>773023</v>
      </c>
      <c r="K236" s="2302">
        <v>773</v>
      </c>
      <c r="L236" s="2301" t="s">
        <v>1478</v>
      </c>
      <c r="M236" s="2303" t="s">
        <v>425</v>
      </c>
      <c r="N236" s="2303">
        <v>6</v>
      </c>
    </row>
    <row r="237" spans="10:14">
      <c r="J237" s="2301">
        <v>773028</v>
      </c>
      <c r="K237" s="2302">
        <v>773</v>
      </c>
      <c r="L237" s="2301" t="s">
        <v>1479</v>
      </c>
      <c r="M237" s="2303" t="s">
        <v>425</v>
      </c>
      <c r="N237" s="2303">
        <v>6</v>
      </c>
    </row>
    <row r="238" spans="10:14">
      <c r="J238" s="2301">
        <v>773029</v>
      </c>
      <c r="K238" s="2302">
        <v>773</v>
      </c>
      <c r="L238" s="2301" t="s">
        <v>1480</v>
      </c>
      <c r="M238" s="2303" t="s">
        <v>425</v>
      </c>
      <c r="N238" s="2303">
        <v>6</v>
      </c>
    </row>
    <row r="239" spans="10:14">
      <c r="J239" s="2301">
        <v>773031</v>
      </c>
      <c r="K239" s="2302">
        <v>773</v>
      </c>
      <c r="L239" s="2301" t="s">
        <v>1481</v>
      </c>
      <c r="M239" s="2303" t="s">
        <v>425</v>
      </c>
      <c r="N239" s="2303">
        <v>6</v>
      </c>
    </row>
    <row r="240" spans="10:14">
      <c r="J240" s="2301">
        <v>773032</v>
      </c>
      <c r="K240" s="2302">
        <v>773</v>
      </c>
      <c r="L240" s="2301" t="s">
        <v>1482</v>
      </c>
      <c r="M240" s="2303" t="s">
        <v>425</v>
      </c>
      <c r="N240" s="2303">
        <v>6</v>
      </c>
    </row>
    <row r="241" spans="10:14">
      <c r="J241" s="2301">
        <v>779015</v>
      </c>
      <c r="K241" s="2302">
        <v>779</v>
      </c>
      <c r="L241" s="2301" t="s">
        <v>1483</v>
      </c>
      <c r="M241" s="2303" t="s">
        <v>425</v>
      </c>
      <c r="N241" s="2303">
        <v>5</v>
      </c>
    </row>
    <row r="242" spans="10:14">
      <c r="J242" s="2301">
        <v>781008</v>
      </c>
      <c r="K242" s="2302">
        <v>779</v>
      </c>
      <c r="L242" s="2301" t="s">
        <v>1484</v>
      </c>
      <c r="M242" s="2303" t="s">
        <v>425</v>
      </c>
      <c r="N242" s="2303">
        <v>5</v>
      </c>
    </row>
    <row r="243" spans="10:14">
      <c r="J243" s="2301">
        <v>783005</v>
      </c>
      <c r="K243" s="2302">
        <v>779</v>
      </c>
      <c r="L243" s="2301" t="s">
        <v>1485</v>
      </c>
      <c r="M243" s="2303" t="s">
        <v>425</v>
      </c>
      <c r="N243" s="2303">
        <v>5</v>
      </c>
    </row>
    <row r="244" spans="10:14">
      <c r="J244" s="2301">
        <v>785013</v>
      </c>
      <c r="K244" s="2302">
        <v>787</v>
      </c>
      <c r="L244" s="2301" t="s">
        <v>1486</v>
      </c>
      <c r="M244" s="2303" t="s">
        <v>425</v>
      </c>
      <c r="N244" s="2303">
        <v>6</v>
      </c>
    </row>
    <row r="245" spans="10:14">
      <c r="J245" s="2301">
        <v>785016</v>
      </c>
      <c r="K245" s="2302">
        <v>787</v>
      </c>
      <c r="L245" s="2301" t="s">
        <v>1487</v>
      </c>
      <c r="M245" s="2303" t="s">
        <v>425</v>
      </c>
      <c r="N245" s="2303">
        <v>6</v>
      </c>
    </row>
    <row r="246" spans="10:14">
      <c r="J246" s="2301">
        <v>787021</v>
      </c>
      <c r="K246" s="2302">
        <v>787</v>
      </c>
      <c r="L246" s="2301" t="s">
        <v>1488</v>
      </c>
      <c r="M246" s="2303" t="s">
        <v>425</v>
      </c>
      <c r="N246" s="2303">
        <v>6</v>
      </c>
    </row>
    <row r="247" spans="10:14">
      <c r="J247" s="2301">
        <v>787022</v>
      </c>
      <c r="K247" s="2302">
        <v>787</v>
      </c>
      <c r="L247" s="2301" t="s">
        <v>1489</v>
      </c>
      <c r="M247" s="2303" t="s">
        <v>425</v>
      </c>
      <c r="N247" s="2303">
        <v>6</v>
      </c>
    </row>
    <row r="248" spans="10:14">
      <c r="J248" s="2301">
        <v>787030</v>
      </c>
      <c r="K248" s="2302">
        <v>787</v>
      </c>
      <c r="L248" s="2301" t="s">
        <v>1490</v>
      </c>
      <c r="M248" s="2303" t="s">
        <v>425</v>
      </c>
      <c r="N248" s="2303">
        <v>6</v>
      </c>
    </row>
    <row r="249" spans="10:14">
      <c r="J249" s="2301">
        <v>787033</v>
      </c>
      <c r="K249" s="2302">
        <v>787</v>
      </c>
      <c r="L249" s="2301" t="s">
        <v>1491</v>
      </c>
      <c r="M249" s="2303" t="s">
        <v>425</v>
      </c>
      <c r="N249" s="2303">
        <v>6</v>
      </c>
    </row>
    <row r="250" spans="10:14">
      <c r="J250" s="2301">
        <v>789009</v>
      </c>
      <c r="K250" s="2302">
        <v>791</v>
      </c>
      <c r="L250" s="2301" t="s">
        <v>1492</v>
      </c>
      <c r="M250" s="2303" t="s">
        <v>425</v>
      </c>
      <c r="N250" s="2303">
        <v>5</v>
      </c>
    </row>
    <row r="251" spans="10:14">
      <c r="J251" s="2301">
        <v>791027</v>
      </c>
      <c r="K251" s="2302">
        <v>791</v>
      </c>
      <c r="L251" s="2301" t="s">
        <v>1493</v>
      </c>
      <c r="M251" s="2303" t="s">
        <v>425</v>
      </c>
      <c r="N251" s="2303">
        <v>5</v>
      </c>
    </row>
    <row r="252" spans="10:14">
      <c r="J252" s="2301">
        <v>791028</v>
      </c>
      <c r="K252" s="2302">
        <v>791</v>
      </c>
      <c r="L252" s="2301" t="s">
        <v>1494</v>
      </c>
      <c r="M252" s="2303" t="s">
        <v>425</v>
      </c>
      <c r="N252" s="2303">
        <v>5</v>
      </c>
    </row>
    <row r="253" spans="10:14">
      <c r="J253" s="2301">
        <v>793009</v>
      </c>
      <c r="K253" s="2302">
        <v>820</v>
      </c>
      <c r="L253" s="2301" t="s">
        <v>1495</v>
      </c>
      <c r="M253" s="2303">
        <v>2</v>
      </c>
      <c r="N253" s="2303">
        <v>6</v>
      </c>
    </row>
    <row r="254" spans="10:14">
      <c r="J254" s="2301">
        <v>811007</v>
      </c>
      <c r="K254" s="2302">
        <v>849</v>
      </c>
      <c r="L254" s="2301" t="s">
        <v>1496</v>
      </c>
      <c r="M254" s="2303" t="s">
        <v>425</v>
      </c>
      <c r="N254" s="2303">
        <v>6</v>
      </c>
    </row>
    <row r="255" spans="10:14">
      <c r="J255" s="2301">
        <v>821016</v>
      </c>
      <c r="K255" s="2302">
        <v>860</v>
      </c>
      <c r="L255" s="2301" t="s">
        <v>1497</v>
      </c>
      <c r="M255" s="2303">
        <v>2</v>
      </c>
      <c r="N255" s="2303">
        <v>6</v>
      </c>
    </row>
    <row r="256" spans="10:14">
      <c r="J256" s="2301">
        <v>823009</v>
      </c>
      <c r="K256" s="2302">
        <v>846</v>
      </c>
      <c r="L256" s="2301" t="s">
        <v>1498</v>
      </c>
      <c r="M256" s="2303">
        <v>2</v>
      </c>
      <c r="N256" s="2303">
        <v>6</v>
      </c>
    </row>
    <row r="257" spans="10:14">
      <c r="J257" s="2301">
        <v>827006</v>
      </c>
      <c r="K257" s="2302">
        <v>820</v>
      </c>
      <c r="L257" s="2301" t="s">
        <v>1499</v>
      </c>
      <c r="M257" s="2303">
        <v>2</v>
      </c>
      <c r="N257" s="2303">
        <v>6</v>
      </c>
    </row>
    <row r="258" spans="10:14">
      <c r="J258" s="2301">
        <v>831006</v>
      </c>
      <c r="K258" s="2302">
        <v>851</v>
      </c>
      <c r="L258" s="2301" t="s">
        <v>1500</v>
      </c>
      <c r="M258" s="2303" t="s">
        <v>426</v>
      </c>
      <c r="N258" s="2303">
        <v>6</v>
      </c>
    </row>
    <row r="259" spans="10:14">
      <c r="J259" s="2301">
        <v>831007</v>
      </c>
      <c r="K259" s="2302">
        <v>851</v>
      </c>
      <c r="L259" s="2301" t="s">
        <v>1501</v>
      </c>
      <c r="M259" s="2303" t="s">
        <v>426</v>
      </c>
      <c r="N259" s="2303">
        <v>6</v>
      </c>
    </row>
    <row r="260" spans="10:14">
      <c r="J260" s="2301">
        <v>837007</v>
      </c>
      <c r="K260" s="2302">
        <v>851</v>
      </c>
      <c r="L260" s="2301" t="s">
        <v>1502</v>
      </c>
      <c r="M260" s="2303" t="s">
        <v>426</v>
      </c>
      <c r="N260" s="2303">
        <v>6</v>
      </c>
    </row>
    <row r="261" spans="10:14">
      <c r="J261" s="2301">
        <v>837009</v>
      </c>
      <c r="K261" s="2302">
        <v>851</v>
      </c>
      <c r="L261" s="2301" t="s">
        <v>1503</v>
      </c>
      <c r="M261" s="2303" t="s">
        <v>426</v>
      </c>
      <c r="N261" s="2303">
        <v>6</v>
      </c>
    </row>
    <row r="262" spans="10:14">
      <c r="J262" s="2301">
        <v>845008</v>
      </c>
      <c r="K262" s="2302">
        <v>840</v>
      </c>
      <c r="L262" s="2301" t="s">
        <v>1504</v>
      </c>
      <c r="M262" s="2303">
        <v>2</v>
      </c>
      <c r="N262" s="2303">
        <v>6</v>
      </c>
    </row>
    <row r="263" spans="10:14">
      <c r="J263" s="2301">
        <v>845013</v>
      </c>
      <c r="K263" s="2302">
        <v>840</v>
      </c>
      <c r="L263" s="2301" t="s">
        <v>1505</v>
      </c>
      <c r="M263" s="2303">
        <v>2</v>
      </c>
      <c r="N263" s="2303">
        <v>6</v>
      </c>
    </row>
    <row r="264" spans="10:14">
      <c r="J264" s="2301">
        <v>846002</v>
      </c>
      <c r="K264" s="2302">
        <v>846</v>
      </c>
      <c r="L264" s="2301" t="s">
        <v>1506</v>
      </c>
      <c r="M264" s="2303">
        <v>2</v>
      </c>
      <c r="N264" s="2303">
        <v>6</v>
      </c>
    </row>
    <row r="265" spans="10:14">
      <c r="J265" s="2301">
        <v>847011</v>
      </c>
      <c r="K265" s="2302">
        <v>813</v>
      </c>
      <c r="L265" s="2301" t="s">
        <v>1507</v>
      </c>
      <c r="M265" s="2303" t="s">
        <v>426</v>
      </c>
      <c r="N265" s="2303">
        <v>6</v>
      </c>
    </row>
    <row r="266" spans="10:14">
      <c r="J266" s="2301">
        <v>847012</v>
      </c>
      <c r="K266" s="2302">
        <v>813</v>
      </c>
      <c r="L266" s="2301" t="s">
        <v>1508</v>
      </c>
      <c r="M266" s="2303" t="s">
        <v>426</v>
      </c>
      <c r="N266" s="2303">
        <v>6</v>
      </c>
    </row>
    <row r="267" spans="10:14">
      <c r="J267" s="2301">
        <v>849006</v>
      </c>
      <c r="K267" s="2302">
        <v>849</v>
      </c>
      <c r="L267" s="2301" t="s">
        <v>1509</v>
      </c>
      <c r="M267" s="2303" t="s">
        <v>425</v>
      </c>
      <c r="N267" s="2303">
        <v>6</v>
      </c>
    </row>
    <row r="268" spans="10:14">
      <c r="J268" s="2301">
        <v>849008</v>
      </c>
      <c r="K268" s="2302">
        <v>849</v>
      </c>
      <c r="L268" s="2301" t="s">
        <v>1510</v>
      </c>
      <c r="M268" s="2303" t="s">
        <v>425</v>
      </c>
      <c r="N268" s="2303">
        <v>6</v>
      </c>
    </row>
    <row r="269" spans="10:14">
      <c r="J269" s="2301">
        <v>851071</v>
      </c>
      <c r="K269" s="2302">
        <v>851</v>
      </c>
      <c r="L269" s="2301" t="s">
        <v>1511</v>
      </c>
      <c r="M269" s="2303" t="s">
        <v>426</v>
      </c>
      <c r="N269" s="2303">
        <v>6</v>
      </c>
    </row>
    <row r="270" spans="10:14">
      <c r="J270" s="2301">
        <v>851075</v>
      </c>
      <c r="K270" s="2302">
        <v>851</v>
      </c>
      <c r="L270" s="2301" t="s">
        <v>1512</v>
      </c>
      <c r="M270" s="2303" t="s">
        <v>426</v>
      </c>
      <c r="N270" s="2303">
        <v>6</v>
      </c>
    </row>
    <row r="271" spans="10:14">
      <c r="J271" s="2301">
        <v>851076</v>
      </c>
      <c r="K271" s="2302">
        <v>851</v>
      </c>
      <c r="L271" s="2301" t="s">
        <v>1513</v>
      </c>
      <c r="M271" s="2303" t="s">
        <v>426</v>
      </c>
      <c r="N271" s="2303">
        <v>6</v>
      </c>
    </row>
    <row r="272" spans="10:14">
      <c r="J272" s="2301">
        <v>851087</v>
      </c>
      <c r="K272" s="2302">
        <v>851</v>
      </c>
      <c r="L272" s="2301" t="s">
        <v>1514</v>
      </c>
      <c r="M272" s="2303" t="s">
        <v>426</v>
      </c>
      <c r="N272" s="2303">
        <v>6</v>
      </c>
    </row>
    <row r="273" spans="10:14">
      <c r="J273" s="2301">
        <v>861012</v>
      </c>
      <c r="K273" s="2302">
        <v>820</v>
      </c>
      <c r="L273" s="2301" t="s">
        <v>1515</v>
      </c>
      <c r="M273" s="2303">
        <v>2</v>
      </c>
      <c r="N273" s="2303">
        <v>6</v>
      </c>
    </row>
  </sheetData>
  <phoneticPr fontId="55" type="noConversion"/>
  <printOptions horizontalCentered="1" verticalCentered="1" gridLinesSet="0"/>
  <pageMargins left="0.39370078740157483" right="0.39370078740157483" top="0.98425196850393704" bottom="0.98425196850393704" header="0.51181102362204722" footer="0.51181102362204722"/>
  <pageSetup paperSize="9" scale="16" orientation="portrait" horizontalDpi="4294967292" verticalDpi="4294967292"/>
  <headerFooter alignWithMargins="0">
    <oddHeader>&amp;L&amp;"Geneva,Fed"&amp;24LØNTABEL</oddHeader>
    <oddFooter>&amp;L&amp;"Geneva,Normal"FRISKOLERNES KONTOR, Prices Havevej 11, 5600 Fåborg&amp;R&amp;"Geneva,Normal"Ole Mikkelsen, friskolekonsulent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5">
    <pageSetUpPr fitToPage="1"/>
  </sheetPr>
  <dimension ref="A1:I79"/>
  <sheetViews>
    <sheetView workbookViewId="0">
      <selection activeCell="G36" sqref="G36"/>
    </sheetView>
  </sheetViews>
  <sheetFormatPr baseColWidth="10" defaultColWidth="11.5" defaultRowHeight="13"/>
  <cols>
    <col min="1" max="1" width="23" customWidth="1"/>
    <col min="6" max="6" width="16.5" customWidth="1"/>
  </cols>
  <sheetData>
    <row r="1" spans="1:5" s="99" customFormat="1" ht="27" customHeight="1" thickBot="1">
      <c r="A1" s="2688"/>
      <c r="B1" s="2688"/>
      <c r="C1" s="2688"/>
      <c r="D1" s="2688"/>
      <c r="E1" s="2688"/>
    </row>
    <row r="4" spans="1:5">
      <c r="A4" s="2307"/>
      <c r="B4" s="2308">
        <f>budgetår-2</f>
        <v>2023</v>
      </c>
      <c r="C4" s="2308">
        <f>budgetår-1</f>
        <v>2024</v>
      </c>
      <c r="D4" s="2308">
        <f>budgetår</f>
        <v>2025</v>
      </c>
      <c r="E4" s="2308">
        <f>budgetår+1</f>
        <v>2026</v>
      </c>
    </row>
    <row r="5" spans="1:5">
      <c r="A5" s="2309" t="s">
        <v>1516</v>
      </c>
      <c r="B5" s="2310" t="str">
        <f>IF(Hovedskema!D29=0,"",Hovedskema!D29)</f>
        <v/>
      </c>
      <c r="C5" s="2310" t="str">
        <f>IF(Hovedskema!E29=0,"",Hovedskema!E29)</f>
        <v/>
      </c>
      <c r="D5" s="2310">
        <f>IF(Hovedskema!F29=0,"",Hovedskema!F29)</f>
        <v>135843</v>
      </c>
      <c r="E5" s="2310">
        <f>IF(Hovedskema!G29=0,"",Hovedskema!G29)</f>
        <v>135843</v>
      </c>
    </row>
    <row r="6" spans="1:5">
      <c r="A6" s="2309" t="s">
        <v>1517</v>
      </c>
      <c r="B6" s="2310" t="str">
        <f>IF(Hovedskema!D66=0,"",Hovedskema!D66)</f>
        <v/>
      </c>
      <c r="C6" s="2310" t="str">
        <f>IF(Hovedskema!E66=0,"",Hovedskema!E66)</f>
        <v/>
      </c>
      <c r="D6" s="2310">
        <f>IF(Hovedskema!F66=0,"",Hovedskema!F66)</f>
        <v>8920</v>
      </c>
      <c r="E6" s="2310">
        <f>IF(Hovedskema!G66=0,"",Hovedskema!G66)</f>
        <v>9053.7999999999993</v>
      </c>
    </row>
    <row r="7" spans="1:5">
      <c r="A7" s="2309" t="s">
        <v>1518</v>
      </c>
      <c r="B7" s="2310" t="str">
        <f>IF(Hovedskema!D67=0,"",Hovedskema!D67)</f>
        <v/>
      </c>
      <c r="C7" s="2310" t="str">
        <f>IF(Hovedskema!E67=0,"",Hovedskema!E67)</f>
        <v/>
      </c>
      <c r="D7" s="2310">
        <f>IF(Hovedskema!F67=0,"",Hovedskema!F67)</f>
        <v>126923</v>
      </c>
      <c r="E7" s="2310">
        <f>IF(Hovedskema!G67=0,"",Hovedskema!G67)</f>
        <v>126789.2</v>
      </c>
    </row>
    <row r="8" spans="1:5" ht="14" thickBot="1">
      <c r="A8" s="2311" t="s">
        <v>1519</v>
      </c>
      <c r="B8" s="2312">
        <f>Hovedskema!D96-Hovedskema!D102</f>
        <v>0</v>
      </c>
      <c r="C8" s="2312">
        <f>Hovedskema!E96-Hovedskema!E102</f>
        <v>0</v>
      </c>
      <c r="D8" s="2312">
        <f>Hovedskema!F96-Hovedskema!F102</f>
        <v>126923</v>
      </c>
      <c r="E8" s="2312">
        <f>Hovedskema!G96-Hovedskema!G102</f>
        <v>253712.2</v>
      </c>
    </row>
    <row r="9" spans="1:5">
      <c r="A9" s="2309" t="s">
        <v>1520</v>
      </c>
      <c r="B9" s="2310">
        <f>Hovedskema!D4</f>
        <v>0</v>
      </c>
      <c r="C9" s="2310">
        <f>Hovedskema!E4</f>
        <v>0</v>
      </c>
      <c r="D9" s="2310">
        <f>Hovedskema!F4</f>
        <v>0</v>
      </c>
      <c r="E9" s="2310">
        <f>Hovedskema!G4</f>
        <v>0</v>
      </c>
    </row>
    <row r="10" spans="1:5" ht="14" thickBot="1">
      <c r="A10" s="2313" t="s">
        <v>1072</v>
      </c>
      <c r="B10" s="2312">
        <f>Hovedskema!D6</f>
        <v>0</v>
      </c>
      <c r="C10" s="2312">
        <f>Hovedskema!E6</f>
        <v>0</v>
      </c>
      <c r="D10" s="2312">
        <f>Hovedskema!F6</f>
        <v>0</v>
      </c>
      <c r="E10" s="2312">
        <f>Hovedskema!G6</f>
        <v>0</v>
      </c>
    </row>
    <row r="54" spans="1:3">
      <c r="A54" s="6"/>
      <c r="B54" s="6"/>
    </row>
    <row r="55" spans="1:3">
      <c r="A55" t="s">
        <v>1521</v>
      </c>
      <c r="B55" s="8"/>
      <c r="C55" s="193"/>
    </row>
    <row r="56" spans="1:3">
      <c r="A56" s="7"/>
    </row>
    <row r="78" spans="9:9">
      <c r="I78" s="1"/>
    </row>
    <row r="79" spans="9:9">
      <c r="I79" s="1"/>
    </row>
  </sheetData>
  <sheetProtection sheet="1" objects="1" scenarios="1"/>
  <mergeCells count="1">
    <mergeCell ref="A1:E1"/>
  </mergeCells>
  <phoneticPr fontId="55" type="noConversion"/>
  <hyperlinks>
    <hyperlink ref="A55" location="4Hovedskema!Print_Area" display="Gå til Hovedskemaet" xr:uid="{00000000-0004-0000-1200-000000000000}"/>
  </hyperlinks>
  <printOptions horizontalCentered="1" verticalCentered="1"/>
  <pageMargins left="0.79027777777777775" right="0.67013888888888884" top="0.97986111111111107" bottom="0.83958333333333335" header="0.51180555555555551" footer="0.50972222222222219"/>
  <pageSetup paperSize="9" scale="95" orientation="portrait"/>
  <headerFooter alignWithMargins="0">
    <oddFooter>&amp;LFriskolernes Kontor&amp;CKursusmateriale 2010&amp;R&amp;A</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5" defaultRowHeight="13"/>
  <sheetData/>
  <phoneticPr fontId="55" type="noConversion"/>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7">
    <pageSetUpPr fitToPage="1"/>
  </sheetPr>
  <dimension ref="A1:K63"/>
  <sheetViews>
    <sheetView topLeftCell="B1" workbookViewId="0">
      <selection activeCell="B5" sqref="B5:G59"/>
    </sheetView>
  </sheetViews>
  <sheetFormatPr baseColWidth="10" defaultColWidth="11.5" defaultRowHeight="13"/>
  <sheetData>
    <row r="1" spans="1:9">
      <c r="H1" t="s">
        <v>1522</v>
      </c>
      <c r="I1" t="s">
        <v>1523</v>
      </c>
    </row>
    <row r="2" spans="1:9">
      <c r="A2" t="s">
        <v>1524</v>
      </c>
      <c r="B2" s="2789" t="str">
        <f>"Årslønninger pr. "&amp;A2&amp;", statens takster.   Procentregulering: "&amp;A3</f>
        <v>Årslønninger pr.  , statens takster.   Procentregulering: -0,98696</v>
      </c>
      <c r="C2" s="2789"/>
      <c r="D2" s="2789"/>
      <c r="E2" s="2789"/>
      <c r="F2" s="2789"/>
      <c r="G2" s="2789"/>
      <c r="H2">
        <f>0.17/3</f>
        <v>5.6666666666666671E-2</v>
      </c>
      <c r="I2">
        <f>H2*2</f>
        <v>0.11333333333333334</v>
      </c>
    </row>
    <row r="3" spans="1:9">
      <c r="A3">
        <v>-0.98695999999999995</v>
      </c>
      <c r="B3">
        <f>A3+1</f>
        <v>1.3040000000000052E-2</v>
      </c>
      <c r="D3" t="s">
        <v>510</v>
      </c>
      <c r="G3" t="s">
        <v>1525</v>
      </c>
    </row>
    <row r="4" spans="1:9">
      <c r="A4" t="s">
        <v>1189</v>
      </c>
      <c r="B4" s="883" t="s">
        <v>1190</v>
      </c>
      <c r="C4" s="883" t="s">
        <v>1191</v>
      </c>
      <c r="D4" s="883" t="s">
        <v>1192</v>
      </c>
      <c r="E4" s="883" t="s">
        <v>1193</v>
      </c>
      <c r="F4" s="883" t="s">
        <v>1194</v>
      </c>
      <c r="G4" t="s">
        <v>1526</v>
      </c>
      <c r="H4" t="s">
        <v>1527</v>
      </c>
      <c r="I4" t="s">
        <v>1528</v>
      </c>
    </row>
    <row r="5" spans="1:9">
      <c r="A5">
        <v>1</v>
      </c>
      <c r="B5" s="38">
        <f>Grundlon!B4*'H2.Aktuel år'!$B$3</f>
        <v>2410.0136800000096</v>
      </c>
      <c r="C5" s="38">
        <f>Grundlon!C4*'H2.Aktuel år'!$B$3</f>
        <v>2454.9756000000098</v>
      </c>
      <c r="D5" s="38">
        <f>Grundlon!D4*'H2.Aktuel år'!$B$3</f>
        <v>2486.07600000001</v>
      </c>
      <c r="E5" s="38">
        <f>Grundlon!E4*'H2.Aktuel år'!$B$3</f>
        <v>2531.0379200000102</v>
      </c>
      <c r="F5" s="38">
        <f>Grundlon!F4*'H2.Aktuel år'!$B$3</f>
        <v>2562.1513600000103</v>
      </c>
      <c r="G5" s="38">
        <f>Grundlon!G4*'H2.Aktuel år'!$B$3</f>
        <v>2241.8026352000088</v>
      </c>
      <c r="H5" s="2314">
        <f t="shared" ref="H5:H59" si="0">ROUND($G5*100/(100-100*$H$2)*$H$2,0)</f>
        <v>135</v>
      </c>
      <c r="I5">
        <f t="shared" ref="I5:I59" si="1">2*H5</f>
        <v>270</v>
      </c>
    </row>
    <row r="6" spans="1:9">
      <c r="A6">
        <v>2</v>
      </c>
      <c r="B6" s="38">
        <f>Grundlon!B5*'H2.Aktuel år'!$B$3</f>
        <v>2447.0212000000097</v>
      </c>
      <c r="C6" s="38">
        <f>Grundlon!C5*'H2.Aktuel år'!$B$3</f>
        <v>2493.0784800000097</v>
      </c>
      <c r="D6" s="38">
        <f>Grundlon!D5*'H2.Aktuel år'!$B$3</f>
        <v>2524.96128000001</v>
      </c>
      <c r="E6" s="38">
        <f>Grundlon!E5*'H2.Aktuel år'!$B$3</f>
        <v>2570.9794400000101</v>
      </c>
      <c r="F6" s="38">
        <f>Grundlon!F5*'H2.Aktuel år'!$B$3</f>
        <v>2602.8752800000102</v>
      </c>
      <c r="G6" s="38">
        <f>Grundlon!G5*'H2.Aktuel år'!$B$3</f>
        <v>2276.4885136000089</v>
      </c>
      <c r="H6" s="36">
        <f t="shared" si="0"/>
        <v>137</v>
      </c>
      <c r="I6">
        <f t="shared" si="1"/>
        <v>274</v>
      </c>
    </row>
    <row r="7" spans="1:9">
      <c r="A7">
        <v>3</v>
      </c>
      <c r="B7" s="38">
        <f>Grundlon!B6*'H2.Aktuel år'!$B$3</f>
        <v>2485.0458400000098</v>
      </c>
      <c r="C7" s="38">
        <f>Grundlon!C6*'H2.Aktuel år'!$B$3</f>
        <v>2532.19848000001</v>
      </c>
      <c r="D7" s="38">
        <f>Grundlon!D6*'H2.Aktuel år'!$B$3</f>
        <v>2564.8636800000099</v>
      </c>
      <c r="E7" s="38">
        <f>Grundlon!E6*'H2.Aktuel år'!$B$3</f>
        <v>2612.0163200000102</v>
      </c>
      <c r="F7" s="38">
        <f>Grundlon!F6*'H2.Aktuel år'!$B$3</f>
        <v>2644.6945600000104</v>
      </c>
      <c r="G7" s="38">
        <f>Grundlon!G6*'H2.Aktuel år'!$B$3</f>
        <v>2312.1156192000094</v>
      </c>
      <c r="H7" s="36">
        <f t="shared" si="0"/>
        <v>139</v>
      </c>
      <c r="I7">
        <f t="shared" si="1"/>
        <v>278</v>
      </c>
    </row>
    <row r="8" spans="1:9">
      <c r="A8">
        <v>4</v>
      </c>
      <c r="B8" s="38">
        <f>Grundlon!B7*'H2.Aktuel år'!$B$3</f>
        <v>2524.1136800000099</v>
      </c>
      <c r="C8" s="38">
        <f>Grundlon!C7*'H2.Aktuel år'!$B$3</f>
        <v>2572.4529600000101</v>
      </c>
      <c r="D8" s="38">
        <f>Grundlon!D7*'H2.Aktuel år'!$B$3</f>
        <v>2605.9136000000103</v>
      </c>
      <c r="E8" s="38">
        <f>Grundlon!E7*'H2.Aktuel år'!$B$3</f>
        <v>2654.2268000000104</v>
      </c>
      <c r="F8" s="38">
        <f>Grundlon!F7*'H2.Aktuel år'!$B$3</f>
        <v>2687.6744000000108</v>
      </c>
      <c r="G8" s="38">
        <f>Grundlon!G7*'H2.Aktuel år'!$B$3</f>
        <v>2348.7310264000093</v>
      </c>
      <c r="H8" s="36">
        <f t="shared" si="0"/>
        <v>141</v>
      </c>
      <c r="I8">
        <f t="shared" si="1"/>
        <v>282</v>
      </c>
    </row>
    <row r="9" spans="1:9">
      <c r="A9">
        <v>5</v>
      </c>
      <c r="B9" s="38">
        <f>Grundlon!B8*'H2.Aktuel år'!$B$3</f>
        <v>2564.2508000000103</v>
      </c>
      <c r="C9" s="38">
        <f>Grundlon!C8*'H2.Aktuel år'!$B$3</f>
        <v>2613.7636800000105</v>
      </c>
      <c r="D9" s="38">
        <f>Grundlon!D8*'H2.Aktuel år'!$B$3</f>
        <v>2648.0588800000105</v>
      </c>
      <c r="E9" s="38">
        <f>Grundlon!E8*'H2.Aktuel år'!$B$3</f>
        <v>2697.5717600000107</v>
      </c>
      <c r="F9" s="38">
        <f>Grundlon!F8*'H2.Aktuel år'!$B$3</f>
        <v>2731.8408800000107</v>
      </c>
      <c r="G9" s="38">
        <f>Grundlon!G8*'H2.Aktuel år'!$B$3</f>
        <v>2386.3348656000098</v>
      </c>
      <c r="H9" s="36">
        <f t="shared" si="0"/>
        <v>143</v>
      </c>
      <c r="I9">
        <f t="shared" si="1"/>
        <v>286</v>
      </c>
    </row>
    <row r="10" spans="1:9">
      <c r="A10">
        <v>6</v>
      </c>
      <c r="B10" s="38">
        <f>Grundlon!B9*'H2.Aktuel år'!$B$3</f>
        <v>2605.5224000000103</v>
      </c>
      <c r="C10" s="38">
        <f>Grundlon!C9*'H2.Aktuel år'!$B$3</f>
        <v>2656.2480000000105</v>
      </c>
      <c r="D10" s="38">
        <f>Grundlon!D9*'H2.Aktuel år'!$B$3</f>
        <v>2691.3908000000106</v>
      </c>
      <c r="E10" s="38">
        <f>Grundlon!E9*'H2.Aktuel år'!$B$3</f>
        <v>2742.1164000000108</v>
      </c>
      <c r="F10" s="38">
        <f>Grundlon!F9*'H2.Aktuel år'!$B$3</f>
        <v>2777.2331200000108</v>
      </c>
      <c r="G10" s="38">
        <f>Grundlon!G9*'H2.Aktuel år'!$B$3</f>
        <v>2424.9974224000098</v>
      </c>
      <c r="H10" s="36">
        <f t="shared" si="0"/>
        <v>146</v>
      </c>
      <c r="I10">
        <f t="shared" si="1"/>
        <v>292</v>
      </c>
    </row>
    <row r="11" spans="1:9">
      <c r="A11">
        <v>7</v>
      </c>
      <c r="B11" s="38">
        <f>Grundlon!B10*'H2.Aktuel år'!$B$3</f>
        <v>2647.8763200000103</v>
      </c>
      <c r="C11" s="38">
        <f>Grundlon!C10*'H2.Aktuel år'!$B$3</f>
        <v>2699.8668000000107</v>
      </c>
      <c r="D11" s="38">
        <f>Grundlon!D10*'H2.Aktuel år'!$B$3</f>
        <v>2735.8572000000108</v>
      </c>
      <c r="E11" s="38">
        <f>Grundlon!E10*'H2.Aktuel år'!$B$3</f>
        <v>2787.8476800000112</v>
      </c>
      <c r="F11" s="38">
        <f>Grundlon!F10*'H2.Aktuel år'!$B$3</f>
        <v>2823.8250400000111</v>
      </c>
      <c r="G11" s="38">
        <f>Grundlon!G10*'H2.Aktuel år'!$B$3</f>
        <v>2464.6956160000095</v>
      </c>
      <c r="H11" s="36">
        <f t="shared" si="0"/>
        <v>148</v>
      </c>
      <c r="I11">
        <f t="shared" si="1"/>
        <v>296</v>
      </c>
    </row>
    <row r="12" spans="1:9">
      <c r="A12">
        <v>8</v>
      </c>
      <c r="B12" s="38">
        <f>Grundlon!B11*'H2.Aktuel år'!$B$3</f>
        <v>2691.4038400000109</v>
      </c>
      <c r="C12" s="38">
        <f>Grundlon!C11*'H2.Aktuel år'!$B$3</f>
        <v>2744.6852800000111</v>
      </c>
      <c r="D12" s="38">
        <f>Grundlon!D11*'H2.Aktuel år'!$B$3</f>
        <v>2781.575440000011</v>
      </c>
      <c r="E12" s="38">
        <f>Grundlon!E11*'H2.Aktuel år'!$B$3</f>
        <v>2834.8568800000112</v>
      </c>
      <c r="F12" s="38">
        <f>Grundlon!F11*'H2.Aktuel år'!$B$3</f>
        <v>2871.7470400000116</v>
      </c>
      <c r="G12" s="38">
        <f>Grundlon!G11*'H2.Aktuel år'!$B$3</f>
        <v>2505.49960160001</v>
      </c>
      <c r="H12" s="36">
        <f t="shared" si="0"/>
        <v>151</v>
      </c>
      <c r="I12">
        <f t="shared" si="1"/>
        <v>302</v>
      </c>
    </row>
    <row r="13" spans="1:9">
      <c r="A13">
        <v>9</v>
      </c>
      <c r="B13" s="38">
        <f>Grundlon!B12*'H2.Aktuel år'!$B$3</f>
        <v>2736.170160000011</v>
      </c>
      <c r="C13" s="38">
        <f>Grundlon!C12*'H2.Aktuel år'!$B$3</f>
        <v>2790.7556000000109</v>
      </c>
      <c r="D13" s="38">
        <f>Grundlon!D12*'H2.Aktuel år'!$B$3</f>
        <v>2828.5846400000114</v>
      </c>
      <c r="E13" s="38">
        <f>Grundlon!E12*'H2.Aktuel år'!$B$3</f>
        <v>2883.1700800000112</v>
      </c>
      <c r="F13" s="38">
        <f>Grundlon!F12*'H2.Aktuel år'!$B$3</f>
        <v>2920.9860800000115</v>
      </c>
      <c r="G13" s="38">
        <f>Grundlon!G12*'H2.Aktuel år'!$B$3</f>
        <v>2547.4332424000099</v>
      </c>
      <c r="H13" s="36">
        <f t="shared" si="0"/>
        <v>153</v>
      </c>
      <c r="I13">
        <f t="shared" si="1"/>
        <v>306</v>
      </c>
    </row>
    <row r="14" spans="1:9">
      <c r="A14">
        <v>10</v>
      </c>
      <c r="B14" s="38">
        <f>Grundlon!B13*'H2.Aktuel år'!$B$3</f>
        <v>2782.1231200000111</v>
      </c>
      <c r="C14" s="38">
        <f>Grundlon!C13*'H2.Aktuel år'!$B$3</f>
        <v>2838.1038400000111</v>
      </c>
      <c r="D14" s="38">
        <f>Grundlon!D13*'H2.Aktuel år'!$B$3</f>
        <v>2876.8456800000113</v>
      </c>
      <c r="E14" s="38">
        <f>Grundlon!E13*'H2.Aktuel år'!$B$3</f>
        <v>2932.8133600000115</v>
      </c>
      <c r="F14" s="38">
        <f>Grundlon!F13*'H2.Aktuel år'!$B$3</f>
        <v>2971.5812800000117</v>
      </c>
      <c r="G14" s="38">
        <f>Grundlon!G13*'H2.Aktuel år'!$B$3</f>
        <v>2590.5198800000103</v>
      </c>
      <c r="H14" s="36">
        <f t="shared" si="0"/>
        <v>156</v>
      </c>
      <c r="I14">
        <f t="shared" si="1"/>
        <v>312</v>
      </c>
    </row>
    <row r="15" spans="1:9">
      <c r="A15">
        <v>11</v>
      </c>
      <c r="B15" s="38">
        <f>Grundlon!B14*'H2.Aktuel år'!$B$3</f>
        <v>2818.3873600000111</v>
      </c>
      <c r="C15" s="38">
        <f>Grundlon!C14*'H2.Aktuel år'!$B$3</f>
        <v>2875.7503200000115</v>
      </c>
      <c r="D15" s="38">
        <f>Grundlon!D14*'H2.Aktuel år'!$B$3</f>
        <v>2915.4701600000117</v>
      </c>
      <c r="E15" s="38">
        <f>Grundlon!E14*'H2.Aktuel år'!$B$3</f>
        <v>2972.8331200000116</v>
      </c>
      <c r="F15" s="38">
        <f>Grundlon!F14*'H2.Aktuel år'!$B$3</f>
        <v>3012.539920000012</v>
      </c>
      <c r="G15" s="38">
        <f>Grundlon!G14*'H2.Aktuel år'!$B$3</f>
        <v>2634.7832472000105</v>
      </c>
      <c r="H15" s="36">
        <f t="shared" si="0"/>
        <v>158</v>
      </c>
      <c r="I15">
        <f t="shared" si="1"/>
        <v>316</v>
      </c>
    </row>
    <row r="16" spans="1:9">
      <c r="A16">
        <v>12</v>
      </c>
      <c r="B16" s="38">
        <f>Grundlon!B15*'H2.Aktuel år'!$B$3</f>
        <v>2866.9092000000114</v>
      </c>
      <c r="C16" s="38">
        <f>Grundlon!C15*'H2.Aktuel år'!$B$3</f>
        <v>2925.7196000000117</v>
      </c>
      <c r="D16" s="38">
        <f>Grundlon!D15*'H2.Aktuel år'!$B$3</f>
        <v>2966.4565600000119</v>
      </c>
      <c r="E16" s="38">
        <f>Grundlon!E15*'H2.Aktuel år'!$B$3</f>
        <v>3025.2408800000121</v>
      </c>
      <c r="F16" s="38">
        <f>Grundlon!F15*'H2.Aktuel år'!$B$3</f>
        <v>3065.9517600000122</v>
      </c>
      <c r="G16" s="38">
        <f>Grundlon!G15*'H2.Aktuel år'!$B$3</f>
        <v>2680.2700272000106</v>
      </c>
      <c r="H16" s="36">
        <f t="shared" si="0"/>
        <v>161</v>
      </c>
      <c r="I16">
        <f t="shared" si="1"/>
        <v>322</v>
      </c>
    </row>
    <row r="17" spans="1:11">
      <c r="A17">
        <v>13</v>
      </c>
      <c r="B17" s="38">
        <f>Grundlon!B16*'H2.Aktuel år'!$B$3</f>
        <v>2916.8002400000114</v>
      </c>
      <c r="C17" s="38">
        <f>Grundlon!C16*'H2.Aktuel år'!$B$3</f>
        <v>2977.0841600000117</v>
      </c>
      <c r="D17" s="38">
        <f>Grundlon!D16*'H2.Aktuel år'!$B$3</f>
        <v>3018.8121600000118</v>
      </c>
      <c r="E17" s="38">
        <f>Grundlon!E16*'H2.Aktuel år'!$B$3</f>
        <v>3079.1221600000122</v>
      </c>
      <c r="F17" s="38">
        <f>Grundlon!F16*'H2.Aktuel år'!$B$3</f>
        <v>3120.8371200000124</v>
      </c>
      <c r="G17" s="38">
        <f>Grundlon!G16*'H2.Aktuel år'!$B$3</f>
        <v>2727.0042136000106</v>
      </c>
      <c r="H17" s="36">
        <f t="shared" si="0"/>
        <v>164</v>
      </c>
      <c r="I17">
        <f t="shared" si="1"/>
        <v>328</v>
      </c>
      <c r="K17" s="37"/>
    </row>
    <row r="18" spans="1:11">
      <c r="A18">
        <v>14</v>
      </c>
      <c r="B18" s="38">
        <f>Grundlon!B17*'H2.Aktuel år'!$B$3</f>
        <v>2968.0474400000116</v>
      </c>
      <c r="C18" s="38">
        <f>Grundlon!C17*'H2.Aktuel år'!$B$3</f>
        <v>3029.8570400000121</v>
      </c>
      <c r="D18" s="38">
        <f>Grundlon!D17*'H2.Aktuel år'!$B$3</f>
        <v>3072.6412800000121</v>
      </c>
      <c r="E18" s="38">
        <f>Grundlon!E17*'H2.Aktuel år'!$B$3</f>
        <v>3134.4378400000123</v>
      </c>
      <c r="F18" s="38">
        <f>Grundlon!F17*'H2.Aktuel år'!$B$3</f>
        <v>3177.2220800000127</v>
      </c>
      <c r="G18" s="38">
        <f>Grundlon!G17*'H2.Aktuel år'!$B$3</f>
        <v>2775.0324896000106</v>
      </c>
      <c r="H18" s="36">
        <f t="shared" si="0"/>
        <v>167</v>
      </c>
      <c r="I18">
        <f t="shared" si="1"/>
        <v>334</v>
      </c>
    </row>
    <row r="19" spans="1:11">
      <c r="A19">
        <v>15</v>
      </c>
      <c r="B19" s="38">
        <f>Grundlon!B18*'H2.Aktuel år'!$B$3</f>
        <v>3020.7029600000119</v>
      </c>
      <c r="C19" s="38">
        <f>Grundlon!C18*'H2.Aktuel år'!$B$3</f>
        <v>3084.0512800000124</v>
      </c>
      <c r="D19" s="38">
        <f>Grundlon!D18*'H2.Aktuel år'!$B$3</f>
        <v>3127.9048000000125</v>
      </c>
      <c r="E19" s="38">
        <f>Grundlon!E18*'H2.Aktuel år'!$B$3</f>
        <v>3191.2792000000127</v>
      </c>
      <c r="F19" s="38">
        <f>Grundlon!F18*'H2.Aktuel år'!$B$3</f>
        <v>3235.1457600000126</v>
      </c>
      <c r="G19" s="38">
        <f>Grundlon!G18*'H2.Aktuel år'!$B$3</f>
        <v>2824.3551160000111</v>
      </c>
      <c r="H19" s="36">
        <f t="shared" si="0"/>
        <v>170</v>
      </c>
      <c r="I19">
        <f t="shared" si="1"/>
        <v>340</v>
      </c>
    </row>
    <row r="20" spans="1:11">
      <c r="A20">
        <v>16</v>
      </c>
      <c r="B20" s="38">
        <f>Grundlon!B19*'H2.Aktuel år'!$B$3</f>
        <v>3061.0487200000121</v>
      </c>
      <c r="C20" s="38">
        <f>Grundlon!C19*'H2.Aktuel år'!$B$3</f>
        <v>3126.0140000000124</v>
      </c>
      <c r="D20" s="38">
        <f>Grundlon!D19*'H2.Aktuel år'!$B$3</f>
        <v>3171.0020000000127</v>
      </c>
      <c r="E20" s="38">
        <f>Grundlon!E19*'H2.Aktuel år'!$B$3</f>
        <v>3235.9542400000128</v>
      </c>
      <c r="F20" s="38">
        <f>Grundlon!F19*'H2.Aktuel år'!$B$3</f>
        <v>3280.942240000013</v>
      </c>
      <c r="G20" s="38">
        <f>Grundlon!G19*'H2.Aktuel år'!$B$3</f>
        <v>2875.0659808000114</v>
      </c>
      <c r="H20" s="36">
        <f t="shared" si="0"/>
        <v>173</v>
      </c>
      <c r="I20">
        <f t="shared" si="1"/>
        <v>346</v>
      </c>
    </row>
    <row r="21" spans="1:11">
      <c r="A21">
        <v>17</v>
      </c>
      <c r="B21" s="38">
        <f>Grundlon!B20*'H2.Aktuel år'!$B$3</f>
        <v>3116.6252000000122</v>
      </c>
      <c r="C21" s="38">
        <f>Grundlon!C20*'H2.Aktuel år'!$B$3</f>
        <v>3183.2465600000128</v>
      </c>
      <c r="D21" s="38">
        <f>Grundlon!D20*'H2.Aktuel år'!$B$3</f>
        <v>3229.3690400000128</v>
      </c>
      <c r="E21" s="38">
        <f>Grundlon!E20*'H2.Aktuel år'!$B$3</f>
        <v>3295.9773600000131</v>
      </c>
      <c r="F21" s="38">
        <f>Grundlon!F20*'H2.Aktuel år'!$B$3</f>
        <v>3342.0737600000134</v>
      </c>
      <c r="G21" s="38">
        <f>Grundlon!G20*'H2.Aktuel år'!$B$3</f>
        <v>2927.1417424000115</v>
      </c>
      <c r="H21" s="36">
        <f t="shared" si="0"/>
        <v>176</v>
      </c>
      <c r="I21">
        <f t="shared" si="1"/>
        <v>352</v>
      </c>
    </row>
    <row r="22" spans="1:11">
      <c r="A22">
        <v>18</v>
      </c>
      <c r="B22" s="38">
        <f>Grundlon!B21*'H2.Aktuel år'!$B$3</f>
        <v>3173.7664800000125</v>
      </c>
      <c r="C22" s="38">
        <f>Grundlon!C21*'H2.Aktuel år'!$B$3</f>
        <v>3242.0830400000127</v>
      </c>
      <c r="D22" s="38">
        <f>Grundlon!D21*'H2.Aktuel år'!$B$3</f>
        <v>3289.366080000013</v>
      </c>
      <c r="E22" s="38">
        <f>Grundlon!E21*'H2.Aktuel år'!$B$3</f>
        <v>3357.6696000000134</v>
      </c>
      <c r="F22" s="38">
        <f>Grundlon!F21*'H2.Aktuel år'!$B$3</f>
        <v>3404.9396000000133</v>
      </c>
      <c r="G22" s="38">
        <f>Grundlon!G21*'H2.Aktuel år'!$B$3</f>
        <v>2980.6766800000119</v>
      </c>
      <c r="H22" s="36">
        <f t="shared" si="0"/>
        <v>179</v>
      </c>
      <c r="I22">
        <f t="shared" si="1"/>
        <v>358</v>
      </c>
    </row>
    <row r="23" spans="1:11">
      <c r="A23">
        <v>19</v>
      </c>
      <c r="B23" s="38">
        <f>Grundlon!B22*'H2.Aktuel år'!$B$3</f>
        <v>3216.4072800000126</v>
      </c>
      <c r="C23" s="38">
        <f>Grundlon!C22*'H2.Aktuel år'!$B$3</f>
        <v>3286.4581600000129</v>
      </c>
      <c r="D23" s="38">
        <f>Grundlon!D22*'H2.Aktuel år'!$B$3</f>
        <v>3334.927840000013</v>
      </c>
      <c r="E23" s="38">
        <f>Grundlon!E22*'H2.Aktuel år'!$B$3</f>
        <v>3404.9917600000135</v>
      </c>
      <c r="F23" s="38">
        <f>Grundlon!F22*'H2.Aktuel år'!$B$3</f>
        <v>3453.5005600000136</v>
      </c>
      <c r="G23" s="38">
        <f>Grundlon!G22*'H2.Aktuel år'!$B$3</f>
        <v>3035.6704024000119</v>
      </c>
      <c r="H23" s="36">
        <f t="shared" si="0"/>
        <v>182</v>
      </c>
      <c r="I23">
        <f t="shared" si="1"/>
        <v>364</v>
      </c>
    </row>
    <row r="24" spans="1:11">
      <c r="A24">
        <v>20</v>
      </c>
      <c r="B24" s="38">
        <f>Grundlon!B23*'H2.Aktuel år'!$B$3</f>
        <v>3260.6911200000127</v>
      </c>
      <c r="C24" s="38">
        <f>Grundlon!C23*'H2.Aktuel år'!$B$3</f>
        <v>3332.502400000013</v>
      </c>
      <c r="D24" s="38">
        <f>Grundlon!D23*'H2.Aktuel år'!$B$3</f>
        <v>3382.2369600000134</v>
      </c>
      <c r="E24" s="38">
        <f>Grundlon!E23*'H2.Aktuel år'!$B$3</f>
        <v>3454.0612800000135</v>
      </c>
      <c r="F24" s="38">
        <f>Grundlon!F23*'H2.Aktuel år'!$B$3</f>
        <v>3503.7697600000138</v>
      </c>
      <c r="G24" s="38">
        <f>Grundlon!G23*'H2.Aktuel år'!$B$3</f>
        <v>3092.1701144000122</v>
      </c>
      <c r="H24" s="36">
        <f t="shared" si="0"/>
        <v>186</v>
      </c>
      <c r="I24">
        <f t="shared" si="1"/>
        <v>372</v>
      </c>
    </row>
    <row r="25" spans="1:11">
      <c r="A25">
        <v>21</v>
      </c>
      <c r="B25" s="38">
        <f>Grundlon!B24*'H2.Aktuel år'!$B$3</f>
        <v>3314.6636800000133</v>
      </c>
      <c r="C25" s="38">
        <f>Grundlon!C24*'H2.Aktuel år'!$B$3</f>
        <v>3388.3266400000134</v>
      </c>
      <c r="D25" s="38">
        <f>Grundlon!D24*'H2.Aktuel år'!$B$3</f>
        <v>3439.3260800000135</v>
      </c>
      <c r="E25" s="38">
        <f>Grundlon!E24*'H2.Aktuel år'!$B$3</f>
        <v>3512.989040000014</v>
      </c>
      <c r="F25" s="38">
        <f>Grundlon!F24*'H2.Aktuel år'!$B$3</f>
        <v>3563.9884800000141</v>
      </c>
      <c r="G25" s="38">
        <f>Grundlon!G24*'H2.Aktuel år'!$B$3</f>
        <v>3150.2464928000127</v>
      </c>
      <c r="H25" s="36">
        <f t="shared" si="0"/>
        <v>189</v>
      </c>
      <c r="I25">
        <f t="shared" si="1"/>
        <v>378</v>
      </c>
    </row>
    <row r="26" spans="1:11">
      <c r="A26">
        <v>22</v>
      </c>
      <c r="B26" s="38">
        <f>Grundlon!B25*'H2.Aktuel år'!$B$3</f>
        <v>3364.6720800000135</v>
      </c>
      <c r="C26" s="38">
        <f>Grundlon!C25*'H2.Aktuel år'!$B$3</f>
        <v>3438.3350400000136</v>
      </c>
      <c r="D26" s="38">
        <f>Grundlon!D25*'H2.Aktuel år'!$B$3</f>
        <v>3489.3344800000136</v>
      </c>
      <c r="E26" s="38">
        <f>Grundlon!E25*'H2.Aktuel år'!$B$3</f>
        <v>3562.9974400000142</v>
      </c>
      <c r="F26" s="38">
        <f>Grundlon!F25*'H2.Aktuel år'!$B$3</f>
        <v>3613.9968800000142</v>
      </c>
      <c r="G26" s="38">
        <f>Grundlon!G25*'H2.Aktuel år'!$B$3</f>
        <v>3208.2746232000127</v>
      </c>
      <c r="H26" s="36">
        <f t="shared" si="0"/>
        <v>193</v>
      </c>
      <c r="I26">
        <f t="shared" si="1"/>
        <v>386</v>
      </c>
    </row>
    <row r="27" spans="1:11">
      <c r="A27">
        <v>23</v>
      </c>
      <c r="B27" s="38">
        <f>Grundlon!B26*'H2.Aktuel år'!$B$3</f>
        <v>3418.2664800000134</v>
      </c>
      <c r="C27" s="38">
        <f>Grundlon!C26*'H2.Aktuel år'!$B$3</f>
        <v>3489.8821600000138</v>
      </c>
      <c r="D27" s="38">
        <f>Grundlon!D26*'H2.Aktuel år'!$B$3</f>
        <v>3539.4993600000139</v>
      </c>
      <c r="E27" s="38">
        <f>Grundlon!E26*'H2.Aktuel år'!$B$3</f>
        <v>3611.1411200000143</v>
      </c>
      <c r="F27" s="38">
        <f>Grundlon!F26*'H2.Aktuel år'!$B$3</f>
        <v>3660.7192000000146</v>
      </c>
      <c r="G27" s="38">
        <f>Grundlon!G26*'H2.Aktuel år'!$B$3</f>
        <v>3266.1620520000129</v>
      </c>
      <c r="H27" s="36">
        <f t="shared" si="0"/>
        <v>196</v>
      </c>
      <c r="I27">
        <f t="shared" si="1"/>
        <v>392</v>
      </c>
    </row>
    <row r="28" spans="1:11">
      <c r="A28">
        <v>24</v>
      </c>
      <c r="B28" s="38">
        <f>Grundlon!B27*'H2.Aktuel år'!$B$3</f>
        <v>3473.4908800000139</v>
      </c>
      <c r="C28" s="38">
        <f>Grundlon!C27*'H2.Aktuel år'!$B$3</f>
        <v>3543.098400000014</v>
      </c>
      <c r="D28" s="38">
        <f>Grundlon!D27*'H2.Aktuel år'!$B$3</f>
        <v>3591.2942400000143</v>
      </c>
      <c r="E28" s="38">
        <f>Grundlon!E27*'H2.Aktuel år'!$B$3</f>
        <v>3660.9148000000146</v>
      </c>
      <c r="F28" s="38">
        <f>Grundlon!F27*'H2.Aktuel år'!$B$3</f>
        <v>3709.1106400000149</v>
      </c>
      <c r="G28" s="38">
        <f>Grundlon!G27*'H2.Aktuel år'!$B$3</f>
        <v>3325.6951288000132</v>
      </c>
      <c r="H28" s="36">
        <f t="shared" si="0"/>
        <v>200</v>
      </c>
      <c r="I28">
        <f t="shared" si="1"/>
        <v>400</v>
      </c>
    </row>
    <row r="29" spans="1:11">
      <c r="A29">
        <v>25</v>
      </c>
      <c r="B29" s="38">
        <f>Grundlon!B28*'H2.Aktuel år'!$B$3</f>
        <v>3529.9410400000138</v>
      </c>
      <c r="C29" s="38">
        <f>Grundlon!C28*'H2.Aktuel år'!$B$3</f>
        <v>3597.3839200000143</v>
      </c>
      <c r="D29" s="38">
        <f>Grundlon!D28*'H2.Aktuel år'!$B$3</f>
        <v>3644.0801600000145</v>
      </c>
      <c r="E29" s="38">
        <f>Grundlon!E28*'H2.Aktuel år'!$B$3</f>
        <v>3711.5230400000146</v>
      </c>
      <c r="F29" s="38">
        <f>Grundlon!F28*'H2.Aktuel år'!$B$3</f>
        <v>3758.206240000015</v>
      </c>
      <c r="G29" s="38">
        <f>Grundlon!G28*'H2.Aktuel år'!$B$3</f>
        <v>3386.7709680000135</v>
      </c>
      <c r="H29" s="36">
        <f t="shared" si="0"/>
        <v>203</v>
      </c>
      <c r="I29">
        <f t="shared" si="1"/>
        <v>406</v>
      </c>
    </row>
    <row r="30" spans="1:11">
      <c r="A30">
        <v>26</v>
      </c>
      <c r="B30" s="38">
        <f>Grundlon!B29*'H2.Aktuel år'!$B$3</f>
        <v>3587.708240000014</v>
      </c>
      <c r="C30" s="38">
        <f>Grundlon!C29*'H2.Aktuel år'!$B$3</f>
        <v>3652.8039200000144</v>
      </c>
      <c r="D30" s="38">
        <f>Grundlon!D29*'H2.Aktuel år'!$B$3</f>
        <v>3697.8832000000148</v>
      </c>
      <c r="E30" s="38">
        <f>Grundlon!E29*'H2.Aktuel år'!$B$3</f>
        <v>3762.9919200000149</v>
      </c>
      <c r="F30" s="38">
        <f>Grundlon!F29*'H2.Aktuel år'!$B$3</f>
        <v>3808.0581600000151</v>
      </c>
      <c r="G30" s="38">
        <f>Grundlon!G29*'H2.Aktuel år'!$B$3</f>
        <v>3449.452813600014</v>
      </c>
      <c r="H30" s="36">
        <f t="shared" si="0"/>
        <v>207</v>
      </c>
      <c r="I30">
        <f t="shared" si="1"/>
        <v>414</v>
      </c>
    </row>
    <row r="31" spans="1:11">
      <c r="A31">
        <v>27</v>
      </c>
      <c r="B31" s="38">
        <f>Grundlon!B30*'H2.Aktuel år'!$B$3</f>
        <v>3646.7142400000143</v>
      </c>
      <c r="C31" s="38">
        <f>Grundlon!C30*'H2.Aktuel år'!$B$3</f>
        <v>3709.3062400000144</v>
      </c>
      <c r="D31" s="38">
        <f>Grundlon!D30*'H2.Aktuel år'!$B$3</f>
        <v>3752.6772800000149</v>
      </c>
      <c r="E31" s="38">
        <f>Grundlon!E30*'H2.Aktuel år'!$B$3</f>
        <v>3815.2823200000153</v>
      </c>
      <c r="F31" s="38">
        <f>Grundlon!F30*'H2.Aktuel år'!$B$3</f>
        <v>3858.6403200000154</v>
      </c>
      <c r="G31" s="38">
        <f>Grundlon!G30*'H2.Aktuel år'!$B$3</f>
        <v>3513.7570960000144</v>
      </c>
      <c r="H31" s="36">
        <f t="shared" si="0"/>
        <v>211</v>
      </c>
      <c r="I31">
        <f t="shared" si="1"/>
        <v>422</v>
      </c>
    </row>
    <row r="32" spans="1:11">
      <c r="A32">
        <v>28</v>
      </c>
      <c r="B32" s="38">
        <f>Grundlon!B31*'H2.Aktuel år'!$B$3</f>
        <v>3707.0503200000148</v>
      </c>
      <c r="C32" s="38">
        <f>Grundlon!C31*'H2.Aktuel år'!$B$3</f>
        <v>3767.0082400000147</v>
      </c>
      <c r="D32" s="38">
        <f>Grundlon!D31*'H2.Aktuel år'!$B$3</f>
        <v>3808.5145600000151</v>
      </c>
      <c r="E32" s="38">
        <f>Grundlon!E31*'H2.Aktuel år'!$B$3</f>
        <v>3868.4594400000151</v>
      </c>
      <c r="F32" s="38">
        <f>Grundlon!F31*'H2.Aktuel år'!$B$3</f>
        <v>3909.9788000000153</v>
      </c>
      <c r="G32" s="38">
        <f>Grundlon!G31*'H2.Aktuel år'!$B$3</f>
        <v>3579.7698792000137</v>
      </c>
      <c r="H32" s="36">
        <f t="shared" si="0"/>
        <v>215</v>
      </c>
      <c r="I32">
        <f t="shared" si="1"/>
        <v>430</v>
      </c>
    </row>
    <row r="33" spans="1:9">
      <c r="A33">
        <v>29</v>
      </c>
      <c r="B33" s="38">
        <f>Grundlon!B32*'H2.Aktuel år'!$B$3</f>
        <v>3768.7425600000147</v>
      </c>
      <c r="C33" s="38">
        <f>Grundlon!C32*'H2.Aktuel år'!$B$3</f>
        <v>3825.8577600000153</v>
      </c>
      <c r="D33" s="38">
        <f>Grundlon!D32*'H2.Aktuel år'!$B$3</f>
        <v>3865.4080800000152</v>
      </c>
      <c r="E33" s="38">
        <f>Grundlon!E32*'H2.Aktuel år'!$B$3</f>
        <v>3922.5232800000153</v>
      </c>
      <c r="F33" s="38">
        <f>Grundlon!F32*'H2.Aktuel år'!$B$3</f>
        <v>3962.0605600000158</v>
      </c>
      <c r="G33" s="38">
        <f>Grundlon!G32*'H2.Aktuel år'!$B$3</f>
        <v>3647.4834696000144</v>
      </c>
      <c r="H33" s="36">
        <f t="shared" si="0"/>
        <v>219</v>
      </c>
      <c r="I33">
        <f t="shared" si="1"/>
        <v>438</v>
      </c>
    </row>
    <row r="34" spans="1:9">
      <c r="A34">
        <v>30</v>
      </c>
      <c r="B34" s="38">
        <f>Grundlon!B33*'H2.Aktuel år'!$B$3</f>
        <v>3831.843120000015</v>
      </c>
      <c r="C34" s="38">
        <f>Grundlon!C33*'H2.Aktuel år'!$B$3</f>
        <v>3885.9330400000154</v>
      </c>
      <c r="D34" s="38">
        <f>Grundlon!D33*'H2.Aktuel år'!$B$3</f>
        <v>3923.3708800000154</v>
      </c>
      <c r="E34" s="38">
        <f>Grundlon!E33*'H2.Aktuel år'!$B$3</f>
        <v>3977.4347200000157</v>
      </c>
      <c r="F34" s="38">
        <f>Grundlon!F33*'H2.Aktuel år'!$B$3</f>
        <v>4014.885600000016</v>
      </c>
      <c r="G34" s="38">
        <f>Grundlon!G33*'H2.Aktuel år'!$B$3</f>
        <v>3716.9834096000145</v>
      </c>
      <c r="H34" s="36">
        <f t="shared" si="0"/>
        <v>223</v>
      </c>
      <c r="I34">
        <f t="shared" si="1"/>
        <v>446</v>
      </c>
    </row>
    <row r="35" spans="1:9">
      <c r="A35">
        <v>31</v>
      </c>
      <c r="B35" s="38">
        <f>Grundlon!B34*'H2.Aktuel år'!$B$3</f>
        <v>3896.2868000000153</v>
      </c>
      <c r="C35" s="38">
        <f>Grundlon!C34*'H2.Aktuel år'!$B$3</f>
        <v>3947.1558400000158</v>
      </c>
      <c r="D35" s="38">
        <f>Grundlon!D34*'H2.Aktuel år'!$B$3</f>
        <v>3982.3899200000155</v>
      </c>
      <c r="E35" s="38">
        <f>Grundlon!E34*'H2.Aktuel år'!$B$3</f>
        <v>4033.258960000016</v>
      </c>
      <c r="F35" s="38">
        <f>Grundlon!F34*'H2.Aktuel år'!$B$3</f>
        <v>4068.4800000000159</v>
      </c>
      <c r="G35" s="38">
        <f>Grundlon!G34*'H2.Aktuel år'!$B$3</f>
        <v>3788.2848256000152</v>
      </c>
      <c r="H35" s="36">
        <f t="shared" si="0"/>
        <v>228</v>
      </c>
      <c r="I35">
        <f t="shared" si="1"/>
        <v>456</v>
      </c>
    </row>
    <row r="36" spans="1:9">
      <c r="A36">
        <v>32</v>
      </c>
      <c r="B36" s="38">
        <f>Grundlon!B35*'H2.Aktuel år'!$B$3</f>
        <v>3962.2300800000157</v>
      </c>
      <c r="C36" s="38">
        <f>Grundlon!C35*'H2.Aktuel år'!$B$3</f>
        <v>4009.6696000000156</v>
      </c>
      <c r="D36" s="38">
        <f>Grundlon!D35*'H2.Aktuel år'!$B$3</f>
        <v>4042.5173600000162</v>
      </c>
      <c r="E36" s="38">
        <f>Grundlon!E35*'H2.Aktuel år'!$B$3</f>
        <v>4089.9829600000162</v>
      </c>
      <c r="F36" s="38">
        <f>Grundlon!F35*'H2.Aktuel år'!$B$3</f>
        <v>4122.8176800000165</v>
      </c>
      <c r="G36" s="38">
        <f>Grundlon!G35*'H2.Aktuel år'!$B$3</f>
        <v>3861.4727384000157</v>
      </c>
      <c r="H36" s="36">
        <f t="shared" si="0"/>
        <v>232</v>
      </c>
      <c r="I36">
        <f t="shared" si="1"/>
        <v>464</v>
      </c>
    </row>
    <row r="37" spans="1:9">
      <c r="A37">
        <v>33</v>
      </c>
      <c r="B37" s="38">
        <f>Grundlon!B36*'H2.Aktuel år'!$B$3</f>
        <v>4029.5686400000159</v>
      </c>
      <c r="C37" s="38">
        <f>Grundlon!C36*'H2.Aktuel år'!$B$3</f>
        <v>4073.3700000000163</v>
      </c>
      <c r="D37" s="38">
        <f>Grundlon!D36*'H2.Aktuel år'!$B$3</f>
        <v>4103.7271200000159</v>
      </c>
      <c r="E37" s="38">
        <f>Grundlon!E36*'H2.Aktuel år'!$B$3</f>
        <v>4147.5415200000161</v>
      </c>
      <c r="F37" s="38">
        <f>Grundlon!F36*'H2.Aktuel år'!$B$3</f>
        <v>4177.8856000000169</v>
      </c>
      <c r="G37" s="38">
        <f>Grundlon!G36*'H2.Aktuel år'!$B$3</f>
        <v>3936.5386720000156</v>
      </c>
      <c r="H37" s="36">
        <f t="shared" si="0"/>
        <v>236</v>
      </c>
      <c r="I37">
        <f t="shared" si="1"/>
        <v>472</v>
      </c>
    </row>
    <row r="38" spans="1:9">
      <c r="A38">
        <v>34</v>
      </c>
      <c r="B38" s="38">
        <f>Grundlon!B37*'H2.Aktuel år'!$B$3</f>
        <v>4098.4459200000165</v>
      </c>
      <c r="C38" s="38">
        <f>Grundlon!C37*'H2.Aktuel år'!$B$3</f>
        <v>4138.4135200000164</v>
      </c>
      <c r="D38" s="38">
        <f>Grundlon!D37*'H2.Aktuel år'!$B$3</f>
        <v>4166.0844000000161</v>
      </c>
      <c r="E38" s="38">
        <f>Grundlon!E37*'H2.Aktuel år'!$B$3</f>
        <v>4206.0259200000164</v>
      </c>
      <c r="F38" s="38">
        <f>Grundlon!F37*'H2.Aktuel år'!$B$3</f>
        <v>4233.696800000017</v>
      </c>
      <c r="G38" s="38">
        <f>Grundlon!G37*'H2.Aktuel år'!$B$3</f>
        <v>4013.5896848000157</v>
      </c>
      <c r="H38" s="36">
        <f t="shared" si="0"/>
        <v>241</v>
      </c>
      <c r="I38">
        <f t="shared" si="1"/>
        <v>482</v>
      </c>
    </row>
    <row r="39" spans="1:9">
      <c r="A39">
        <v>35</v>
      </c>
      <c r="B39" s="38">
        <f>Grundlon!B38*'H2.Aktuel år'!$B$3</f>
        <v>4168.8488800000168</v>
      </c>
      <c r="C39" s="38">
        <f>Grundlon!C38*'H2.Aktuel år'!$B$3</f>
        <v>4204.7480000000169</v>
      </c>
      <c r="D39" s="38">
        <f>Grundlon!D38*'H2.Aktuel år'!$B$3</f>
        <v>4229.5761600000169</v>
      </c>
      <c r="E39" s="38">
        <f>Grundlon!E38*'H2.Aktuel år'!$B$3</f>
        <v>4265.4752800000169</v>
      </c>
      <c r="F39" s="38">
        <f>Grundlon!F38*'H2.Aktuel år'!$B$3</f>
        <v>4290.303440000017</v>
      </c>
      <c r="G39" s="38">
        <f>Grundlon!G38*'H2.Aktuel år'!$B$3</f>
        <v>4092.6634624000162</v>
      </c>
      <c r="H39" s="36">
        <f t="shared" si="0"/>
        <v>246</v>
      </c>
      <c r="I39">
        <f t="shared" si="1"/>
        <v>492</v>
      </c>
    </row>
    <row r="40" spans="1:9">
      <c r="A40">
        <v>36</v>
      </c>
      <c r="B40" s="38">
        <f>Grundlon!B39*'H2.Aktuel år'!$B$3</f>
        <v>4240.7905600000167</v>
      </c>
      <c r="C40" s="38">
        <f>Grundlon!C39*'H2.Aktuel år'!$B$3</f>
        <v>4272.347360000017</v>
      </c>
      <c r="D40" s="38">
        <f>Grundlon!D39*'H2.Aktuel år'!$B$3</f>
        <v>4294.2024000000174</v>
      </c>
      <c r="E40" s="38">
        <f>Grundlon!E39*'H2.Aktuel år'!$B$3</f>
        <v>4325.7722400000175</v>
      </c>
      <c r="F40" s="38">
        <f>Grundlon!F39*'H2.Aktuel år'!$B$3</f>
        <v>4347.6142400000172</v>
      </c>
      <c r="G40" s="38">
        <f>Grundlon!G39*'H2.Aktuel år'!$B$3</f>
        <v>4173.7738272000161</v>
      </c>
      <c r="H40" s="36">
        <f t="shared" si="0"/>
        <v>251</v>
      </c>
      <c r="I40">
        <f t="shared" si="1"/>
        <v>502</v>
      </c>
    </row>
    <row r="41" spans="1:9">
      <c r="A41">
        <v>37</v>
      </c>
      <c r="B41" s="38">
        <f>Grundlon!B40*'H2.Aktuel år'!$B$3</f>
        <v>4314.3231200000173</v>
      </c>
      <c r="C41" s="38">
        <f>Grundlon!C40*'H2.Aktuel år'!$B$3</f>
        <v>4341.3159200000173</v>
      </c>
      <c r="D41" s="38">
        <f>Grundlon!D40*'H2.Aktuel år'!$B$3</f>
        <v>4359.9892000000173</v>
      </c>
      <c r="E41" s="38">
        <f>Grundlon!E40*'H2.Aktuel år'!$B$3</f>
        <v>4386.9820000000173</v>
      </c>
      <c r="F41" s="38">
        <f>Grundlon!F40*'H2.Aktuel år'!$B$3</f>
        <v>4405.6813600000178</v>
      </c>
      <c r="G41" s="38">
        <f>Grundlon!G40*'H2.Aktuel år'!$B$3</f>
        <v>4257.0037136000174</v>
      </c>
      <c r="H41" s="36">
        <f t="shared" si="0"/>
        <v>256</v>
      </c>
      <c r="I41">
        <f t="shared" si="1"/>
        <v>512</v>
      </c>
    </row>
    <row r="42" spans="1:9">
      <c r="A42">
        <v>38</v>
      </c>
      <c r="B42" s="38">
        <f>Grundlon!B41*'H2.Aktuel år'!$B$3</f>
        <v>4391.976320000017</v>
      </c>
      <c r="C42" s="38">
        <f>Grundlon!C41*'H2.Aktuel år'!$B$3</f>
        <v>4414.5616000000173</v>
      </c>
      <c r="D42" s="38">
        <f>Grundlon!D41*'H2.Aktuel år'!$B$3</f>
        <v>4430.1965600000176</v>
      </c>
      <c r="E42" s="38">
        <f>Grundlon!E41*'H2.Aktuel år'!$B$3</f>
        <v>4452.7818400000178</v>
      </c>
      <c r="F42" s="38">
        <f>Grundlon!F41*'H2.Aktuel år'!$B$3</f>
        <v>4468.4428800000178</v>
      </c>
      <c r="G42" s="38">
        <f>Grundlon!G41*'H2.Aktuel år'!$B$3</f>
        <v>4344.0005952000174</v>
      </c>
      <c r="H42" s="36">
        <f t="shared" si="0"/>
        <v>261</v>
      </c>
      <c r="I42">
        <f t="shared" si="1"/>
        <v>522</v>
      </c>
    </row>
    <row r="43" spans="1:9">
      <c r="A43">
        <v>39</v>
      </c>
      <c r="B43" s="38">
        <f>Grundlon!B42*'H2.Aktuel år'!$B$3</f>
        <v>4470.3858400000181</v>
      </c>
      <c r="C43" s="38">
        <f>Grundlon!C42*'H2.Aktuel år'!$B$3</f>
        <v>4487.7942400000175</v>
      </c>
      <c r="D43" s="38">
        <f>Grundlon!D42*'H2.Aktuel år'!$B$3</f>
        <v>4499.8432000000175</v>
      </c>
      <c r="E43" s="38">
        <f>Grundlon!E42*'H2.Aktuel år'!$B$3</f>
        <v>4517.2255200000182</v>
      </c>
      <c r="F43" s="38">
        <f>Grundlon!F42*'H2.Aktuel år'!$B$3</f>
        <v>4529.2744800000182</v>
      </c>
      <c r="G43" s="38">
        <f>Grundlon!G42*'H2.Aktuel år'!$B$3</f>
        <v>4433.4619064000171</v>
      </c>
      <c r="H43" s="36">
        <f t="shared" si="0"/>
        <v>266</v>
      </c>
      <c r="I43">
        <f t="shared" si="1"/>
        <v>532</v>
      </c>
    </row>
    <row r="44" spans="1:9">
      <c r="A44">
        <v>40</v>
      </c>
      <c r="B44" s="38">
        <f>Grundlon!B43*'H2.Aktuel år'!$B$3</f>
        <v>4550.516640000018</v>
      </c>
      <c r="C44" s="38">
        <f>Grundlon!C43*'H2.Aktuel år'!$B$3</f>
        <v>4562.4091200000184</v>
      </c>
      <c r="D44" s="38">
        <f>Grundlon!D43*'H2.Aktuel år'!$B$3</f>
        <v>4570.6504000000177</v>
      </c>
      <c r="E44" s="38">
        <f>Grundlon!E43*'H2.Aktuel år'!$B$3</f>
        <v>4582.5428800000182</v>
      </c>
      <c r="F44" s="38">
        <f>Grundlon!F43*'H2.Aktuel år'!$B$3</f>
        <v>4590.7841600000183</v>
      </c>
      <c r="G44" s="38">
        <f>Grundlon!G43*'H2.Aktuel år'!$B$3</f>
        <v>4525.2380784000179</v>
      </c>
      <c r="H44" s="36">
        <f t="shared" si="0"/>
        <v>272</v>
      </c>
      <c r="I44">
        <f t="shared" si="1"/>
        <v>544</v>
      </c>
    </row>
    <row r="45" spans="1:9">
      <c r="A45">
        <v>41</v>
      </c>
      <c r="B45" s="38">
        <f>Grundlon!B44*'H2.Aktuel år'!$B$3</f>
        <v>4632.3948000000182</v>
      </c>
      <c r="C45" s="38">
        <f>Grundlon!C44*'H2.Aktuel år'!$B$3</f>
        <v>4638.4844800000183</v>
      </c>
      <c r="D45" s="38">
        <f>Grundlon!D44*'H2.Aktuel år'!$B$3</f>
        <v>4642.7224800000185</v>
      </c>
      <c r="E45" s="38">
        <f>Grundlon!E44*'H2.Aktuel år'!$B$3</f>
        <v>4648.8252000000184</v>
      </c>
      <c r="F45" s="38">
        <f>Grundlon!F44*'H2.Aktuel år'!$B$3</f>
        <v>4653.0371200000181</v>
      </c>
      <c r="G45" s="38">
        <f>Grundlon!G44*'H2.Aktuel år'!$B$3</f>
        <v>4619.4099592000184</v>
      </c>
      <c r="H45" s="36">
        <f t="shared" si="0"/>
        <v>277</v>
      </c>
      <c r="I45">
        <f t="shared" si="1"/>
        <v>554</v>
      </c>
    </row>
    <row r="46" spans="1:9">
      <c r="A46">
        <v>42</v>
      </c>
      <c r="B46" s="38">
        <f>Grundlon!B45*'H2.Aktuel år'!$B$3</f>
        <v>4716.0464000000184</v>
      </c>
      <c r="C46" s="38">
        <f>Grundlon!C45*'H2.Aktuel år'!$B$3</f>
        <v>4716.0464000000184</v>
      </c>
      <c r="D46" s="38">
        <f>Grundlon!D45*'H2.Aktuel år'!$B$3</f>
        <v>4716.0464000000184</v>
      </c>
      <c r="E46" s="38">
        <f>Grundlon!E45*'H2.Aktuel år'!$B$3</f>
        <v>4716.0464000000184</v>
      </c>
      <c r="F46" s="38">
        <f>Grundlon!F45*'H2.Aktuel år'!$B$3</f>
        <v>4716.0464000000184</v>
      </c>
      <c r="G46" s="38">
        <f>Grundlon!G45*'H2.Aktuel år'!$B$3</f>
        <v>4716.0359680000192</v>
      </c>
      <c r="H46" s="36">
        <f t="shared" si="0"/>
        <v>283</v>
      </c>
      <c r="I46">
        <f t="shared" si="1"/>
        <v>566</v>
      </c>
    </row>
    <row r="47" spans="1:9">
      <c r="A47">
        <v>43</v>
      </c>
      <c r="B47" s="38">
        <f>Grundlon!B46*'H2.Aktuel år'!$B$3</f>
        <v>4820.7445600000192</v>
      </c>
      <c r="C47" s="38">
        <f>Grundlon!C46*'H2.Aktuel år'!$B$3</f>
        <v>4820.7445600000192</v>
      </c>
      <c r="D47" s="38">
        <f>Grundlon!D46*'H2.Aktuel år'!$B$3</f>
        <v>4820.7445600000192</v>
      </c>
      <c r="E47" s="38">
        <f>Grundlon!E46*'H2.Aktuel år'!$B$3</f>
        <v>4820.7445600000192</v>
      </c>
      <c r="F47" s="38">
        <f>Grundlon!F46*'H2.Aktuel år'!$B$3</f>
        <v>4820.7445600000192</v>
      </c>
      <c r="G47" s="38">
        <f>Grundlon!G46*'H2.Aktuel år'!$B$3</f>
        <v>4820.7384312000195</v>
      </c>
      <c r="H47" s="36">
        <f t="shared" si="0"/>
        <v>290</v>
      </c>
      <c r="I47">
        <f t="shared" si="1"/>
        <v>580</v>
      </c>
    </row>
    <row r="48" spans="1:9">
      <c r="A48">
        <v>44</v>
      </c>
      <c r="B48" s="38">
        <f>Grundlon!B47*'H2.Aktuel år'!$B$3</f>
        <v>4928.2984800000195</v>
      </c>
      <c r="C48" s="38">
        <f>Grundlon!C47*'H2.Aktuel år'!$B$3</f>
        <v>4928.2984800000195</v>
      </c>
      <c r="D48" s="38">
        <f>Grundlon!D47*'H2.Aktuel år'!$B$3</f>
        <v>4928.2984800000195</v>
      </c>
      <c r="E48" s="38">
        <f>Grundlon!E47*'H2.Aktuel år'!$B$3</f>
        <v>4928.2984800000195</v>
      </c>
      <c r="F48" s="38">
        <f>Grundlon!F47*'H2.Aktuel år'!$B$3</f>
        <v>4928.2984800000195</v>
      </c>
      <c r="G48" s="38">
        <f>Grundlon!G47*'H2.Aktuel år'!$B$3</f>
        <v>4928.3023920000196</v>
      </c>
      <c r="H48" s="36">
        <f t="shared" si="0"/>
        <v>296</v>
      </c>
      <c r="I48">
        <f t="shared" si="1"/>
        <v>592</v>
      </c>
    </row>
    <row r="49" spans="1:9">
      <c r="A49">
        <v>45</v>
      </c>
      <c r="B49" s="38">
        <f>Grundlon!B48*'H2.Aktuel år'!$B$3</f>
        <v>5038.8385600000202</v>
      </c>
      <c r="C49" s="38">
        <f>Grundlon!C48*'H2.Aktuel år'!$B$3</f>
        <v>5038.8385600000202</v>
      </c>
      <c r="D49" s="38">
        <f>Grundlon!D48*'H2.Aktuel år'!$B$3</f>
        <v>5038.8385600000202</v>
      </c>
      <c r="E49" s="38">
        <f>Grundlon!E48*'H2.Aktuel år'!$B$3</f>
        <v>5038.8385600000202</v>
      </c>
      <c r="F49" s="38">
        <f>Grundlon!F48*'H2.Aktuel år'!$B$3</f>
        <v>5038.8385600000202</v>
      </c>
      <c r="G49" s="38">
        <f>Grundlon!G48*'H2.Aktuel år'!$B$3</f>
        <v>5038.8423416000196</v>
      </c>
      <c r="H49" s="36">
        <f t="shared" si="0"/>
        <v>303</v>
      </c>
      <c r="I49">
        <f t="shared" si="1"/>
        <v>606</v>
      </c>
    </row>
    <row r="50" spans="1:9">
      <c r="A50">
        <v>46</v>
      </c>
      <c r="B50" s="38">
        <f>Grundlon!B49*'H2.Aktuel år'!$B$3</f>
        <v>5152.4300000000203</v>
      </c>
      <c r="C50" s="38">
        <f>Grundlon!C49*'H2.Aktuel år'!$B$3</f>
        <v>5152.4300000000203</v>
      </c>
      <c r="D50" s="38">
        <f>Grundlon!D49*'H2.Aktuel år'!$B$3</f>
        <v>5152.4300000000203</v>
      </c>
      <c r="E50" s="38">
        <f>Grundlon!E49*'H2.Aktuel år'!$B$3</f>
        <v>5152.4300000000203</v>
      </c>
      <c r="F50" s="38">
        <f>Grundlon!F49*'H2.Aktuel år'!$B$3</f>
        <v>5152.4300000000203</v>
      </c>
      <c r="G50" s="38">
        <f>Grundlon!G49*'H2.Aktuel år'!$B$3</f>
        <v>5152.4266096000201</v>
      </c>
      <c r="H50" s="36">
        <f t="shared" si="0"/>
        <v>310</v>
      </c>
      <c r="I50">
        <f t="shared" si="1"/>
        <v>620</v>
      </c>
    </row>
    <row r="51" spans="1:9">
      <c r="A51">
        <v>47</v>
      </c>
      <c r="B51" s="38">
        <f>Grundlon!B50*'H2.Aktuel år'!$B$3</f>
        <v>5389.0277600000209</v>
      </c>
      <c r="C51" s="38">
        <f>Grundlon!C50*'H2.Aktuel år'!$B$3</f>
        <v>5389.0277600000209</v>
      </c>
      <c r="D51" s="38">
        <f>Grundlon!D50*'H2.Aktuel år'!$B$3</f>
        <v>5389.0277600000209</v>
      </c>
      <c r="E51" s="38">
        <f>Grundlon!E50*'H2.Aktuel år'!$B$3</f>
        <v>5389.0277600000209</v>
      </c>
      <c r="F51" s="38">
        <f>Grundlon!F50*'H2.Aktuel år'!$B$3</f>
        <v>5389.0277600000209</v>
      </c>
      <c r="G51" s="38">
        <f>Grundlon!G50*'H2.Aktuel år'!$B$3</f>
        <v>5389.0260648000212</v>
      </c>
      <c r="H51" s="36">
        <f t="shared" si="0"/>
        <v>324</v>
      </c>
      <c r="I51">
        <f t="shared" si="1"/>
        <v>648</v>
      </c>
    </row>
    <row r="52" spans="1:9">
      <c r="A52">
        <v>48</v>
      </c>
      <c r="B52" s="38">
        <f>Grundlon!B51*'H2.Aktuel år'!$B$3</f>
        <v>5750.9920800000227</v>
      </c>
      <c r="C52" s="38">
        <f>Grundlon!C51*'H2.Aktuel år'!$B$3</f>
        <v>5750.9920800000227</v>
      </c>
      <c r="D52" s="38">
        <f>Grundlon!D51*'H2.Aktuel år'!$B$3</f>
        <v>5750.9920800000227</v>
      </c>
      <c r="E52" s="38">
        <f>Grundlon!E51*'H2.Aktuel år'!$B$3</f>
        <v>5750.9920800000227</v>
      </c>
      <c r="F52" s="38">
        <f>Grundlon!F51*'H2.Aktuel år'!$B$3</f>
        <v>5750.9920800000227</v>
      </c>
      <c r="G52" s="38">
        <f>Grundlon!G51*'H2.Aktuel år'!$B$3</f>
        <v>5750.9757800000225</v>
      </c>
      <c r="H52">
        <f t="shared" si="0"/>
        <v>345</v>
      </c>
      <c r="I52">
        <f t="shared" si="1"/>
        <v>690</v>
      </c>
    </row>
    <row r="53" spans="1:9">
      <c r="A53">
        <v>49</v>
      </c>
      <c r="B53" s="38">
        <f>Grundlon!B52*'H2.Aktuel år'!$B$3</f>
        <v>6152.0242400000243</v>
      </c>
      <c r="C53" s="38">
        <f>Grundlon!C52*'H2.Aktuel år'!$B$3</f>
        <v>6152.0242400000243</v>
      </c>
      <c r="D53" s="38">
        <f>Grundlon!D52*'H2.Aktuel år'!$B$3</f>
        <v>6152.0242400000243</v>
      </c>
      <c r="E53" s="38">
        <f>Grundlon!E52*'H2.Aktuel år'!$B$3</f>
        <v>6152.0242400000243</v>
      </c>
      <c r="F53" s="38">
        <f>Grundlon!F52*'H2.Aktuel år'!$B$3</f>
        <v>6152.0242400000243</v>
      </c>
      <c r="G53" s="38">
        <f>Grundlon!G52*'H2.Aktuel år'!$B$3</f>
        <v>6152.0229360000249</v>
      </c>
      <c r="H53">
        <f t="shared" si="0"/>
        <v>370</v>
      </c>
      <c r="I53">
        <f t="shared" si="1"/>
        <v>740</v>
      </c>
    </row>
    <row r="54" spans="1:9">
      <c r="A54">
        <v>50</v>
      </c>
      <c r="B54" s="38">
        <f>Grundlon!B53*'H2.Aktuel år'!$B$3</f>
        <v>6795.0657600000268</v>
      </c>
      <c r="C54" s="38">
        <f>Grundlon!C53*'H2.Aktuel år'!$B$3</f>
        <v>6795.0657600000268</v>
      </c>
      <c r="D54" s="38">
        <f>Grundlon!D53*'H2.Aktuel år'!$B$3</f>
        <v>6795.0657600000268</v>
      </c>
      <c r="E54" s="38">
        <f>Grundlon!E53*'H2.Aktuel år'!$B$3</f>
        <v>6795.0657600000268</v>
      </c>
      <c r="F54" s="38">
        <f>Grundlon!F53*'H2.Aktuel år'!$B$3</f>
        <v>6795.0657600000268</v>
      </c>
      <c r="G54" s="38">
        <f>Grundlon!G53*'H2.Aktuel år'!$B$3</f>
        <v>6795.0718888000265</v>
      </c>
      <c r="H54">
        <f t="shared" si="0"/>
        <v>408</v>
      </c>
      <c r="I54">
        <f t="shared" si="1"/>
        <v>816</v>
      </c>
    </row>
    <row r="55" spans="1:9">
      <c r="A55">
        <v>51</v>
      </c>
      <c r="B55" s="38">
        <f>Grundlon!B54*'H2.Aktuel år'!$B$3</f>
        <v>7731.5594400000309</v>
      </c>
      <c r="C55" s="38">
        <f>Grundlon!C54*'H2.Aktuel år'!$B$3</f>
        <v>7731.5594400000309</v>
      </c>
      <c r="D55" s="38">
        <f>Grundlon!D54*'H2.Aktuel år'!$B$3</f>
        <v>7731.5594400000309</v>
      </c>
      <c r="E55" s="38">
        <f>Grundlon!E54*'H2.Aktuel år'!$B$3</f>
        <v>7731.5594400000309</v>
      </c>
      <c r="F55" s="38">
        <f>Grundlon!F54*'H2.Aktuel år'!$B$3</f>
        <v>7731.5594400000309</v>
      </c>
      <c r="G55" s="38">
        <f>Grundlon!G54*'H2.Aktuel år'!$B$3</f>
        <v>7731.5718280000301</v>
      </c>
      <c r="H55">
        <f t="shared" si="0"/>
        <v>464</v>
      </c>
      <c r="I55">
        <f t="shared" si="1"/>
        <v>928</v>
      </c>
    </row>
    <row r="56" spans="1:9">
      <c r="A56">
        <v>52</v>
      </c>
      <c r="B56" s="38">
        <f>Grundlon!B55*'H2.Aktuel år'!$B$3</f>
        <v>8488.9487200000331</v>
      </c>
      <c r="C56" s="38">
        <f>Grundlon!C55*'H2.Aktuel år'!$B$3</f>
        <v>8488.9487200000331</v>
      </c>
      <c r="D56" s="38">
        <f>Grundlon!D55*'H2.Aktuel år'!$B$3</f>
        <v>8488.9487200000331</v>
      </c>
      <c r="E56" s="38">
        <f>Grundlon!E55*'H2.Aktuel år'!$B$3</f>
        <v>8488.9487200000331</v>
      </c>
      <c r="F56" s="38">
        <f>Grundlon!F55*'H2.Aktuel år'!$B$3</f>
        <v>8488.9487200000331</v>
      </c>
      <c r="G56" s="38">
        <f>Grundlon!G55*'H2.Aktuel år'!$B$3</f>
        <v>8488.9553704000336</v>
      </c>
      <c r="H56">
        <f t="shared" si="0"/>
        <v>510</v>
      </c>
      <c r="I56">
        <f t="shared" si="1"/>
        <v>1020</v>
      </c>
    </row>
    <row r="57" spans="1:9">
      <c r="A57">
        <v>53</v>
      </c>
      <c r="B57" s="38">
        <f>Grundlon!B56*'H2.Aktuel år'!$B$3</f>
        <v>9498.4403200000379</v>
      </c>
      <c r="C57" s="38">
        <f>Grundlon!C56*'H2.Aktuel år'!$B$3</f>
        <v>9498.4403200000379</v>
      </c>
      <c r="D57" s="38">
        <f>Grundlon!D56*'H2.Aktuel år'!$B$3</f>
        <v>9498.4403200000379</v>
      </c>
      <c r="E57" s="38">
        <f>Grundlon!E56*'H2.Aktuel år'!$B$3</f>
        <v>9498.4403200000379</v>
      </c>
      <c r="F57" s="38">
        <f>Grundlon!F56*'H2.Aktuel år'!$B$3</f>
        <v>9498.4403200000379</v>
      </c>
      <c r="G57" s="38">
        <f>Grundlon!G56*'H2.Aktuel år'!$B$3</f>
        <v>9498.4584456000375</v>
      </c>
      <c r="H57">
        <f t="shared" si="0"/>
        <v>571</v>
      </c>
      <c r="I57">
        <f t="shared" si="1"/>
        <v>1142</v>
      </c>
    </row>
    <row r="58" spans="1:9">
      <c r="A58">
        <v>54</v>
      </c>
      <c r="B58" s="38">
        <f>Grundlon!B57*'H2.Aktuel år'!$B$3</f>
        <v>10710.860400000043</v>
      </c>
      <c r="C58" s="38">
        <f>Grundlon!C57*'H2.Aktuel år'!$B$3</f>
        <v>10710.860400000043</v>
      </c>
      <c r="D58" s="38">
        <f>Grundlon!D57*'H2.Aktuel år'!$B$3</f>
        <v>10710.860400000043</v>
      </c>
      <c r="E58" s="38">
        <f>Grundlon!E57*'H2.Aktuel år'!$B$3</f>
        <v>10710.860400000043</v>
      </c>
      <c r="F58" s="38">
        <f>Grundlon!F57*'H2.Aktuel år'!$B$3</f>
        <v>10710.860400000043</v>
      </c>
      <c r="G58" s="38">
        <f>Grundlon!G57*'H2.Aktuel år'!$B$3</f>
        <v>10710.864442400043</v>
      </c>
      <c r="H58">
        <f t="shared" si="0"/>
        <v>643</v>
      </c>
      <c r="I58">
        <f t="shared" si="1"/>
        <v>1286</v>
      </c>
    </row>
    <row r="59" spans="1:9">
      <c r="A59">
        <v>55</v>
      </c>
      <c r="B59" s="38">
        <f>Grundlon!B58*'H2.Aktuel år'!$B$3</f>
        <v>12070.502080000047</v>
      </c>
      <c r="C59" s="38">
        <f>Grundlon!C58*'H2.Aktuel år'!$B$3</f>
        <v>12070.502080000047</v>
      </c>
      <c r="D59" s="38">
        <f>Grundlon!D58*'H2.Aktuel år'!$B$3</f>
        <v>12070.502080000047</v>
      </c>
      <c r="E59" s="38">
        <f>Grundlon!E58*'H2.Aktuel år'!$B$3</f>
        <v>12070.502080000047</v>
      </c>
      <c r="F59" s="38">
        <f>Grundlon!F58*'H2.Aktuel år'!$B$3</f>
        <v>12070.502080000047</v>
      </c>
      <c r="G59" s="38">
        <f>Grundlon!G58*'H2.Aktuel år'!$B$3</f>
        <v>12070.505470400049</v>
      </c>
      <c r="H59">
        <f t="shared" si="0"/>
        <v>725</v>
      </c>
      <c r="I59">
        <f t="shared" si="1"/>
        <v>1450</v>
      </c>
    </row>
    <row r="62" spans="1:9">
      <c r="A62" s="18" t="s">
        <v>1529</v>
      </c>
      <c r="B62" s="20"/>
      <c r="D62" s="1"/>
    </row>
    <row r="63" spans="1:9">
      <c r="A63" s="20"/>
      <c r="B63" s="20"/>
      <c r="D63" s="1"/>
    </row>
  </sheetData>
  <mergeCells count="1">
    <mergeCell ref="B2:G2"/>
  </mergeCells>
  <phoneticPr fontId="55" type="noConversion"/>
  <hyperlinks>
    <hyperlink ref="A62" location="4Hovedskema!Print_Area" display="Tilbage til Hovedskemaet" xr:uid="{00000000-0004-0000-1400-000000000000}"/>
  </hyperlinks>
  <printOptions horizontalCentered="1" verticalCentered="1"/>
  <pageMargins left="0.78749999999999998" right="0.6694444444444444" top="0.98402777777777772" bottom="0.98402777777777772" header="0.51180555555555551" footer="0.51180555555555551"/>
  <headerFooter alignWithMargins="0">
    <oddHeader>&amp;C&amp;14Aktuel løntabel</oddHeader>
    <oddFooter>&amp;LFriskolernes Kontor&amp;CKursusmateriale 2008&amp;R                                                Bilag H2</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16"/>
  <sheetViews>
    <sheetView topLeftCell="A194" workbookViewId="0">
      <selection activeCell="C48" sqref="C48"/>
    </sheetView>
  </sheetViews>
  <sheetFormatPr baseColWidth="10" defaultColWidth="11.5" defaultRowHeight="13"/>
  <cols>
    <col min="1" max="3" width="10.83203125"/>
  </cols>
  <sheetData>
    <row r="1" spans="1:3">
      <c r="A1" s="193" t="s">
        <v>1184</v>
      </c>
      <c r="B1" s="193" t="s">
        <v>1530</v>
      </c>
      <c r="C1" s="193" t="s">
        <v>1531</v>
      </c>
    </row>
    <row r="2" spans="1:3">
      <c r="A2" s="2315">
        <v>101077</v>
      </c>
      <c r="B2" t="s">
        <v>1532</v>
      </c>
      <c r="C2">
        <v>1</v>
      </c>
    </row>
    <row r="3" spans="1:3">
      <c r="A3" s="2315">
        <v>101086</v>
      </c>
      <c r="B3" t="s">
        <v>1532</v>
      </c>
      <c r="C3">
        <v>1</v>
      </c>
    </row>
    <row r="4" spans="1:3">
      <c r="A4" s="2315">
        <v>101129</v>
      </c>
      <c r="B4" t="s">
        <v>1532</v>
      </c>
      <c r="C4">
        <v>1</v>
      </c>
    </row>
    <row r="5" spans="1:3">
      <c r="A5" s="2315">
        <v>101135</v>
      </c>
      <c r="B5" t="s">
        <v>1532</v>
      </c>
      <c r="C5">
        <v>1</v>
      </c>
    </row>
    <row r="6" spans="1:3">
      <c r="A6" s="2315">
        <v>101149</v>
      </c>
      <c r="B6" t="s">
        <v>1532</v>
      </c>
      <c r="C6">
        <v>1</v>
      </c>
    </row>
    <row r="7" spans="1:3">
      <c r="A7" s="2315">
        <v>101152</v>
      </c>
      <c r="B7" t="s">
        <v>1532</v>
      </c>
      <c r="C7">
        <v>1</v>
      </c>
    </row>
    <row r="8" spans="1:3">
      <c r="A8" s="2315">
        <v>101162</v>
      </c>
      <c r="B8" t="s">
        <v>1532</v>
      </c>
      <c r="C8">
        <v>1</v>
      </c>
    </row>
    <row r="9" spans="1:3">
      <c r="A9" s="2315">
        <v>101163</v>
      </c>
      <c r="B9" t="s">
        <v>1532</v>
      </c>
      <c r="C9">
        <v>1</v>
      </c>
    </row>
    <row r="10" spans="1:3">
      <c r="A10" s="2315">
        <v>101169</v>
      </c>
      <c r="B10" t="s">
        <v>1532</v>
      </c>
      <c r="C10">
        <v>1</v>
      </c>
    </row>
    <row r="11" spans="1:3">
      <c r="A11" s="2315">
        <v>101172</v>
      </c>
      <c r="B11" t="s">
        <v>1532</v>
      </c>
      <c r="C11">
        <v>1</v>
      </c>
    </row>
    <row r="12" spans="1:3">
      <c r="A12" s="2315">
        <v>101180</v>
      </c>
      <c r="B12" t="s">
        <v>1532</v>
      </c>
      <c r="C12">
        <v>1</v>
      </c>
    </row>
    <row r="13" spans="1:3">
      <c r="A13" s="2315">
        <v>101184</v>
      </c>
      <c r="B13" t="s">
        <v>1532</v>
      </c>
      <c r="C13">
        <v>1</v>
      </c>
    </row>
    <row r="14" spans="1:3">
      <c r="A14" s="2315">
        <v>101185</v>
      </c>
      <c r="B14" t="s">
        <v>1532</v>
      </c>
      <c r="C14">
        <v>1</v>
      </c>
    </row>
    <row r="15" spans="1:3">
      <c r="A15" s="2315">
        <v>101189</v>
      </c>
      <c r="B15" t="s">
        <v>1532</v>
      </c>
      <c r="C15">
        <v>1</v>
      </c>
    </row>
    <row r="16" spans="1:3">
      <c r="A16" s="2315">
        <v>101516</v>
      </c>
      <c r="B16" t="s">
        <v>1532</v>
      </c>
      <c r="C16">
        <v>1</v>
      </c>
    </row>
    <row r="17" spans="1:3">
      <c r="A17" s="2315">
        <v>101526</v>
      </c>
      <c r="B17" t="s">
        <v>1532</v>
      </c>
      <c r="C17">
        <v>1</v>
      </c>
    </row>
    <row r="18" spans="1:3">
      <c r="A18" s="2315">
        <v>101533</v>
      </c>
      <c r="B18" t="s">
        <v>1532</v>
      </c>
      <c r="C18">
        <v>1</v>
      </c>
    </row>
    <row r="19" spans="1:3">
      <c r="A19" s="2315">
        <v>101541</v>
      </c>
      <c r="B19" t="s">
        <v>1532</v>
      </c>
      <c r="C19">
        <v>1</v>
      </c>
    </row>
    <row r="20" spans="1:3">
      <c r="A20" s="2315">
        <v>101564</v>
      </c>
      <c r="B20" t="s">
        <v>1532</v>
      </c>
      <c r="C20">
        <v>1</v>
      </c>
    </row>
    <row r="21" spans="1:3">
      <c r="A21" s="2315">
        <v>101581</v>
      </c>
      <c r="B21" t="s">
        <v>1532</v>
      </c>
      <c r="C21">
        <v>1</v>
      </c>
    </row>
    <row r="22" spans="1:3">
      <c r="A22" s="2315">
        <v>101584</v>
      </c>
      <c r="B22" t="s">
        <v>1532</v>
      </c>
      <c r="C22">
        <v>1</v>
      </c>
    </row>
    <row r="23" spans="1:3">
      <c r="A23" s="2315">
        <v>101593</v>
      </c>
      <c r="B23" t="s">
        <v>1532</v>
      </c>
      <c r="C23">
        <v>1</v>
      </c>
    </row>
    <row r="24" spans="1:3">
      <c r="A24" s="2315">
        <v>147031</v>
      </c>
      <c r="B24" t="s">
        <v>1532</v>
      </c>
      <c r="C24">
        <v>1</v>
      </c>
    </row>
    <row r="25" spans="1:3">
      <c r="A25" s="2315">
        <v>151022</v>
      </c>
      <c r="B25" t="s">
        <v>1532</v>
      </c>
      <c r="C25">
        <v>1</v>
      </c>
    </row>
    <row r="26" spans="1:3">
      <c r="A26" s="2315">
        <v>157015</v>
      </c>
      <c r="B26" t="s">
        <v>1532</v>
      </c>
      <c r="C26">
        <v>1</v>
      </c>
    </row>
    <row r="27" spans="1:3">
      <c r="A27" s="2315">
        <v>157020</v>
      </c>
      <c r="B27" t="s">
        <v>1532</v>
      </c>
      <c r="C27">
        <v>1</v>
      </c>
    </row>
    <row r="28" spans="1:3">
      <c r="A28" s="2315">
        <v>159040</v>
      </c>
      <c r="B28" t="s">
        <v>1532</v>
      </c>
      <c r="C28">
        <v>1</v>
      </c>
    </row>
    <row r="29" spans="1:3">
      <c r="A29" s="2315">
        <v>181010</v>
      </c>
      <c r="B29" t="s">
        <v>1532</v>
      </c>
      <c r="C29">
        <v>1</v>
      </c>
    </row>
    <row r="30" spans="1:3">
      <c r="A30" s="2315">
        <v>217020</v>
      </c>
      <c r="B30" t="s">
        <v>1532</v>
      </c>
      <c r="C30">
        <v>1</v>
      </c>
    </row>
    <row r="31" spans="1:3">
      <c r="A31" s="2315">
        <v>217029</v>
      </c>
      <c r="B31" t="s">
        <v>1532</v>
      </c>
      <c r="C31">
        <v>1</v>
      </c>
    </row>
    <row r="32" spans="1:3">
      <c r="A32" s="2315">
        <v>219022</v>
      </c>
      <c r="B32" t="s">
        <v>1532</v>
      </c>
      <c r="C32">
        <v>1</v>
      </c>
    </row>
    <row r="33" spans="1:3">
      <c r="A33" s="2315">
        <v>280542</v>
      </c>
      <c r="B33" t="s">
        <v>1532</v>
      </c>
      <c r="C33">
        <v>1</v>
      </c>
    </row>
    <row r="34" spans="1:3">
      <c r="A34" s="2315">
        <v>280553</v>
      </c>
      <c r="B34" t="s">
        <v>1532</v>
      </c>
      <c r="C34">
        <v>1</v>
      </c>
    </row>
    <row r="35" spans="1:3">
      <c r="A35" s="2315">
        <v>400038</v>
      </c>
      <c r="B35" t="s">
        <v>1532</v>
      </c>
      <c r="C35">
        <v>1</v>
      </c>
    </row>
    <row r="36" spans="1:3">
      <c r="A36" s="2315">
        <v>280039</v>
      </c>
      <c r="B36" t="s">
        <v>1532</v>
      </c>
      <c r="C36">
        <v>1</v>
      </c>
    </row>
    <row r="37" spans="1:3">
      <c r="A37" s="2315">
        <v>259020</v>
      </c>
      <c r="B37" t="s">
        <v>1532</v>
      </c>
      <c r="C37">
        <v>2</v>
      </c>
    </row>
    <row r="38" spans="1:3">
      <c r="A38" s="2315">
        <v>263003</v>
      </c>
      <c r="B38" t="s">
        <v>1532</v>
      </c>
      <c r="C38">
        <v>2</v>
      </c>
    </row>
    <row r="39" spans="1:3">
      <c r="A39" s="2315">
        <v>265018</v>
      </c>
      <c r="B39" t="s">
        <v>1532</v>
      </c>
      <c r="C39">
        <v>2</v>
      </c>
    </row>
    <row r="40" spans="1:3">
      <c r="A40" s="2315">
        <v>265030</v>
      </c>
      <c r="B40" t="s">
        <v>1532</v>
      </c>
      <c r="C40">
        <v>2</v>
      </c>
    </row>
    <row r="41" spans="1:3">
      <c r="A41" s="2315">
        <v>280461</v>
      </c>
      <c r="B41" t="s">
        <v>1532</v>
      </c>
      <c r="C41">
        <v>2</v>
      </c>
    </row>
    <row r="42" spans="1:3">
      <c r="A42" s="2315">
        <v>280464</v>
      </c>
      <c r="B42" t="s">
        <v>1532</v>
      </c>
      <c r="C42">
        <v>2</v>
      </c>
    </row>
    <row r="43" spans="1:3">
      <c r="A43" s="2315">
        <v>305012</v>
      </c>
      <c r="B43" t="s">
        <v>1532</v>
      </c>
      <c r="C43">
        <v>2</v>
      </c>
    </row>
    <row r="44" spans="1:3">
      <c r="A44" s="2315">
        <v>305015</v>
      </c>
      <c r="B44" t="s">
        <v>1532</v>
      </c>
      <c r="C44">
        <v>2</v>
      </c>
    </row>
    <row r="45" spans="1:3">
      <c r="A45" s="2315">
        <v>319010</v>
      </c>
      <c r="B45" t="s">
        <v>1532</v>
      </c>
      <c r="C45">
        <v>2</v>
      </c>
    </row>
    <row r="46" spans="1:3">
      <c r="A46" s="2315">
        <v>323013</v>
      </c>
      <c r="B46" t="s">
        <v>1532</v>
      </c>
      <c r="C46">
        <v>2</v>
      </c>
    </row>
    <row r="47" spans="1:3">
      <c r="A47" s="2315">
        <v>325007</v>
      </c>
      <c r="B47" t="s">
        <v>1532</v>
      </c>
      <c r="C47">
        <v>2</v>
      </c>
    </row>
    <row r="48" spans="1:3">
      <c r="A48" s="2315">
        <v>325008</v>
      </c>
      <c r="B48" t="s">
        <v>1532</v>
      </c>
      <c r="C48">
        <v>2</v>
      </c>
    </row>
    <row r="49" spans="1:3">
      <c r="A49" s="2315">
        <v>329018</v>
      </c>
      <c r="B49" t="s">
        <v>1532</v>
      </c>
      <c r="C49">
        <v>2</v>
      </c>
    </row>
    <row r="50" spans="1:3">
      <c r="A50" s="2315">
        <v>329022</v>
      </c>
      <c r="B50" t="s">
        <v>1532</v>
      </c>
      <c r="C50">
        <v>2</v>
      </c>
    </row>
    <row r="51" spans="1:3">
      <c r="A51" s="2315">
        <v>331008</v>
      </c>
      <c r="B51" t="s">
        <v>1532</v>
      </c>
      <c r="C51">
        <v>2</v>
      </c>
    </row>
    <row r="52" spans="1:3">
      <c r="A52" s="2315">
        <v>333012</v>
      </c>
      <c r="B52" t="s">
        <v>1532</v>
      </c>
      <c r="C52">
        <v>2</v>
      </c>
    </row>
    <row r="53" spans="1:3">
      <c r="A53" s="2315">
        <v>333023</v>
      </c>
      <c r="B53" t="s">
        <v>1532</v>
      </c>
      <c r="C53">
        <v>2</v>
      </c>
    </row>
    <row r="54" spans="1:3">
      <c r="A54" s="2315">
        <v>345009</v>
      </c>
      <c r="B54" t="s">
        <v>1532</v>
      </c>
      <c r="C54">
        <v>2</v>
      </c>
    </row>
    <row r="55" spans="1:3">
      <c r="A55" s="2315">
        <v>361005</v>
      </c>
      <c r="B55" t="s">
        <v>1532</v>
      </c>
      <c r="C55">
        <v>2</v>
      </c>
    </row>
    <row r="56" spans="1:3">
      <c r="A56" s="2315">
        <v>365012</v>
      </c>
      <c r="B56" t="s">
        <v>1532</v>
      </c>
      <c r="C56">
        <v>2</v>
      </c>
    </row>
    <row r="57" spans="1:3">
      <c r="A57" s="2315">
        <v>370001</v>
      </c>
      <c r="B57" t="s">
        <v>1532</v>
      </c>
      <c r="C57">
        <v>2</v>
      </c>
    </row>
    <row r="58" spans="1:3">
      <c r="A58" s="2315">
        <v>375005</v>
      </c>
      <c r="B58" t="s">
        <v>1532</v>
      </c>
      <c r="C58">
        <v>2</v>
      </c>
    </row>
    <row r="59" spans="1:3">
      <c r="A59" s="2315">
        <v>385004</v>
      </c>
      <c r="B59" t="s">
        <v>1532</v>
      </c>
      <c r="C59">
        <v>2</v>
      </c>
    </row>
    <row r="60" spans="1:3">
      <c r="A60" s="2315">
        <v>389009</v>
      </c>
      <c r="B60" t="s">
        <v>1532</v>
      </c>
      <c r="C60">
        <v>2</v>
      </c>
    </row>
    <row r="61" spans="1:3">
      <c r="A61" s="2315">
        <v>397010</v>
      </c>
      <c r="B61" t="s">
        <v>1532</v>
      </c>
      <c r="C61">
        <v>2</v>
      </c>
    </row>
    <row r="62" spans="1:3">
      <c r="A62" s="2315">
        <v>397014</v>
      </c>
      <c r="B62" t="s">
        <v>1532</v>
      </c>
      <c r="C62">
        <v>2</v>
      </c>
    </row>
    <row r="63" spans="1:3">
      <c r="A63" s="2315">
        <v>265036</v>
      </c>
      <c r="B63" t="s">
        <v>1532</v>
      </c>
      <c r="C63">
        <v>2</v>
      </c>
    </row>
    <row r="64" spans="1:3">
      <c r="A64" s="2315">
        <v>269006</v>
      </c>
      <c r="B64" t="s">
        <v>1532</v>
      </c>
      <c r="C64">
        <v>2</v>
      </c>
    </row>
    <row r="65" spans="1:3">
      <c r="A65" s="2315">
        <v>280038</v>
      </c>
      <c r="B65" t="s">
        <v>1532</v>
      </c>
      <c r="C65">
        <v>2</v>
      </c>
    </row>
    <row r="66" spans="1:3">
      <c r="A66" s="2315">
        <v>280055</v>
      </c>
      <c r="B66" t="s">
        <v>1532</v>
      </c>
      <c r="C66">
        <v>2</v>
      </c>
    </row>
    <row r="67" spans="1:3">
      <c r="A67" s="2315">
        <v>280380</v>
      </c>
      <c r="B67" t="s">
        <v>1532</v>
      </c>
      <c r="C67">
        <v>2</v>
      </c>
    </row>
    <row r="68" spans="1:3">
      <c r="A68" s="2315">
        <v>280381</v>
      </c>
      <c r="B68" t="s">
        <v>1532</v>
      </c>
      <c r="C68">
        <v>2</v>
      </c>
    </row>
    <row r="69" spans="1:3">
      <c r="A69" s="2315">
        <v>280391</v>
      </c>
      <c r="B69" t="s">
        <v>1532</v>
      </c>
      <c r="C69">
        <v>2</v>
      </c>
    </row>
    <row r="70" spans="1:3">
      <c r="A70" s="2315">
        <v>280393</v>
      </c>
      <c r="B70" t="s">
        <v>1532</v>
      </c>
      <c r="C70">
        <v>2</v>
      </c>
    </row>
    <row r="71" spans="1:3">
      <c r="A71" s="2315">
        <v>280396</v>
      </c>
      <c r="B71" t="s">
        <v>1532</v>
      </c>
      <c r="C71">
        <v>2</v>
      </c>
    </row>
    <row r="72" spans="1:3">
      <c r="A72" s="2315">
        <v>280532</v>
      </c>
      <c r="B72" t="s">
        <v>1532</v>
      </c>
      <c r="C72">
        <v>2</v>
      </c>
    </row>
    <row r="73" spans="1:3">
      <c r="A73" s="2315">
        <v>280539</v>
      </c>
      <c r="B73" t="s">
        <v>1532</v>
      </c>
      <c r="C73">
        <v>3</v>
      </c>
    </row>
    <row r="74" spans="1:3">
      <c r="A74" s="2315">
        <v>280550</v>
      </c>
      <c r="B74" t="s">
        <v>1532</v>
      </c>
      <c r="C74">
        <v>3</v>
      </c>
    </row>
    <row r="75" spans="1:3">
      <c r="A75" s="2315">
        <v>427009</v>
      </c>
      <c r="B75" t="s">
        <v>1532</v>
      </c>
      <c r="C75">
        <v>3</v>
      </c>
    </row>
    <row r="76" spans="1:3">
      <c r="A76" s="2315">
        <v>427010</v>
      </c>
      <c r="B76" t="s">
        <v>1532</v>
      </c>
      <c r="C76">
        <v>3</v>
      </c>
    </row>
    <row r="77" spans="1:3">
      <c r="A77" s="2315">
        <v>431011</v>
      </c>
      <c r="B77" t="s">
        <v>1532</v>
      </c>
      <c r="C77">
        <v>3</v>
      </c>
    </row>
    <row r="78" spans="1:3">
      <c r="A78" s="2315">
        <v>431014</v>
      </c>
      <c r="B78" t="s">
        <v>1532</v>
      </c>
      <c r="C78">
        <v>3</v>
      </c>
    </row>
    <row r="79" spans="1:3">
      <c r="A79" s="2315">
        <v>433008</v>
      </c>
      <c r="B79" t="s">
        <v>1532</v>
      </c>
      <c r="C79">
        <v>3</v>
      </c>
    </row>
    <row r="80" spans="1:3">
      <c r="A80" s="2315">
        <v>435006</v>
      </c>
      <c r="B80" t="s">
        <v>1532</v>
      </c>
      <c r="C80">
        <v>3</v>
      </c>
    </row>
    <row r="81" spans="1:3">
      <c r="A81" s="2315">
        <v>437004</v>
      </c>
      <c r="B81" t="s">
        <v>1532</v>
      </c>
      <c r="C81">
        <v>3</v>
      </c>
    </row>
    <row r="82" spans="1:3">
      <c r="A82" s="2315">
        <v>439007</v>
      </c>
      <c r="B82" t="s">
        <v>1532</v>
      </c>
      <c r="C82">
        <v>3</v>
      </c>
    </row>
    <row r="83" spans="1:3">
      <c r="A83" s="2315">
        <v>445009</v>
      </c>
      <c r="B83" t="s">
        <v>1532</v>
      </c>
      <c r="C83">
        <v>3</v>
      </c>
    </row>
    <row r="84" spans="1:3">
      <c r="A84" s="2315">
        <v>445010</v>
      </c>
      <c r="B84" t="s">
        <v>1532</v>
      </c>
      <c r="C84">
        <v>3</v>
      </c>
    </row>
    <row r="85" spans="1:3">
      <c r="A85" s="2315">
        <v>461041</v>
      </c>
      <c r="B85" t="s">
        <v>1532</v>
      </c>
      <c r="C85">
        <v>3</v>
      </c>
    </row>
    <row r="86" spans="1:3">
      <c r="A86" s="2315">
        <v>461044</v>
      </c>
      <c r="B86" t="s">
        <v>1532</v>
      </c>
      <c r="C86">
        <v>3</v>
      </c>
    </row>
    <row r="87" spans="1:3">
      <c r="A87" s="2315">
        <v>461046</v>
      </c>
      <c r="B87" t="s">
        <v>1532</v>
      </c>
      <c r="C87">
        <v>3</v>
      </c>
    </row>
    <row r="88" spans="1:3">
      <c r="A88" s="2315">
        <v>461047</v>
      </c>
      <c r="B88" t="s">
        <v>1532</v>
      </c>
      <c r="C88">
        <v>3</v>
      </c>
    </row>
    <row r="89" spans="1:3">
      <c r="A89" s="2315">
        <v>461054</v>
      </c>
      <c r="B89" t="s">
        <v>1532</v>
      </c>
      <c r="C89">
        <v>3</v>
      </c>
    </row>
    <row r="90" spans="1:3">
      <c r="A90" s="2315">
        <v>461070</v>
      </c>
      <c r="B90" t="s">
        <v>1532</v>
      </c>
      <c r="C90">
        <v>3</v>
      </c>
    </row>
    <row r="91" spans="1:3">
      <c r="A91" s="2315">
        <v>461078</v>
      </c>
      <c r="B91" t="s">
        <v>1532</v>
      </c>
      <c r="C91">
        <v>3</v>
      </c>
    </row>
    <row r="92" spans="1:3">
      <c r="A92" s="2315">
        <v>461079</v>
      </c>
      <c r="B92" t="s">
        <v>1532</v>
      </c>
      <c r="C92">
        <v>3</v>
      </c>
    </row>
    <row r="93" spans="1:3">
      <c r="A93" s="2315">
        <v>461109</v>
      </c>
      <c r="B93" t="s">
        <v>1532</v>
      </c>
      <c r="C93">
        <v>3</v>
      </c>
    </row>
    <row r="94" spans="1:3">
      <c r="A94" s="2315">
        <v>473015</v>
      </c>
      <c r="B94" t="s">
        <v>1532</v>
      </c>
      <c r="C94">
        <v>3</v>
      </c>
    </row>
    <row r="95" spans="1:3">
      <c r="A95" s="2315">
        <v>473022</v>
      </c>
      <c r="B95" t="s">
        <v>1532</v>
      </c>
      <c r="C95">
        <v>3</v>
      </c>
    </row>
    <row r="96" spans="1:3">
      <c r="A96" s="2315">
        <v>475004</v>
      </c>
      <c r="B96" t="s">
        <v>1532</v>
      </c>
      <c r="C96">
        <v>3</v>
      </c>
    </row>
    <row r="97" spans="1:3">
      <c r="A97" s="2315">
        <v>477004</v>
      </c>
      <c r="B97" t="s">
        <v>1532</v>
      </c>
      <c r="C97">
        <v>3</v>
      </c>
    </row>
    <row r="98" spans="1:3">
      <c r="A98" s="2315">
        <v>477005</v>
      </c>
      <c r="B98" t="s">
        <v>1532</v>
      </c>
      <c r="C98">
        <v>3</v>
      </c>
    </row>
    <row r="99" spans="1:3">
      <c r="A99" s="2315">
        <v>477006</v>
      </c>
      <c r="B99" t="s">
        <v>1532</v>
      </c>
      <c r="C99">
        <v>3</v>
      </c>
    </row>
    <row r="100" spans="1:3">
      <c r="A100" s="2315">
        <v>479016</v>
      </c>
      <c r="B100" t="s">
        <v>1532</v>
      </c>
      <c r="C100">
        <v>3</v>
      </c>
    </row>
    <row r="101" spans="1:3">
      <c r="A101" s="2315">
        <v>492001</v>
      </c>
      <c r="B101" t="s">
        <v>1532</v>
      </c>
      <c r="C101">
        <v>3</v>
      </c>
    </row>
    <row r="102" spans="1:3">
      <c r="A102" s="2315">
        <v>495006</v>
      </c>
      <c r="B102" t="s">
        <v>1532</v>
      </c>
      <c r="C102">
        <v>3</v>
      </c>
    </row>
    <row r="103" spans="1:3">
      <c r="A103" s="2315">
        <v>495007</v>
      </c>
      <c r="B103" t="s">
        <v>1532</v>
      </c>
      <c r="C103">
        <v>3</v>
      </c>
    </row>
    <row r="104" spans="1:3">
      <c r="A104" s="2315">
        <v>497005</v>
      </c>
      <c r="B104" t="s">
        <v>1532</v>
      </c>
      <c r="C104">
        <v>3</v>
      </c>
    </row>
    <row r="105" spans="1:3">
      <c r="A105" s="2315">
        <v>497006</v>
      </c>
      <c r="B105" t="s">
        <v>1532</v>
      </c>
      <c r="C105">
        <v>3</v>
      </c>
    </row>
    <row r="106" spans="1:3">
      <c r="A106" s="2315">
        <v>499005</v>
      </c>
      <c r="B106" t="s">
        <v>1532</v>
      </c>
      <c r="C106">
        <v>3</v>
      </c>
    </row>
    <row r="107" spans="1:3">
      <c r="A107" s="2315">
        <v>280216</v>
      </c>
      <c r="B107" t="s">
        <v>1532</v>
      </c>
      <c r="C107">
        <v>3</v>
      </c>
    </row>
    <row r="108" spans="1:3">
      <c r="A108" s="2315">
        <v>280226</v>
      </c>
      <c r="B108" t="s">
        <v>1532</v>
      </c>
      <c r="C108">
        <v>3</v>
      </c>
    </row>
    <row r="109" spans="1:3">
      <c r="A109" s="2315">
        <v>280463</v>
      </c>
      <c r="B109" t="s">
        <v>1532</v>
      </c>
      <c r="C109">
        <v>4</v>
      </c>
    </row>
    <row r="110" spans="1:3">
      <c r="A110" s="2315">
        <v>280465</v>
      </c>
      <c r="B110" t="s">
        <v>1532</v>
      </c>
      <c r="C110">
        <v>4</v>
      </c>
    </row>
    <row r="111" spans="1:3">
      <c r="A111" s="2315">
        <v>280466</v>
      </c>
      <c r="B111" t="s">
        <v>1532</v>
      </c>
      <c r="C111">
        <v>4</v>
      </c>
    </row>
    <row r="112" spans="1:3">
      <c r="A112" s="2315">
        <v>280474</v>
      </c>
      <c r="B112" t="s">
        <v>1532</v>
      </c>
      <c r="C112">
        <v>4</v>
      </c>
    </row>
    <row r="113" spans="1:3">
      <c r="A113" s="2315">
        <v>501003</v>
      </c>
      <c r="B113" t="s">
        <v>1532</v>
      </c>
      <c r="C113">
        <v>4</v>
      </c>
    </row>
    <row r="114" spans="1:3">
      <c r="A114" s="2315">
        <v>510006</v>
      </c>
      <c r="B114" t="s">
        <v>1532</v>
      </c>
      <c r="C114">
        <v>4</v>
      </c>
    </row>
    <row r="115" spans="1:3">
      <c r="A115" s="2315">
        <v>513008</v>
      </c>
      <c r="B115" t="s">
        <v>1532</v>
      </c>
      <c r="C115">
        <v>4</v>
      </c>
    </row>
    <row r="116" spans="1:3">
      <c r="A116" s="2315">
        <v>519008</v>
      </c>
      <c r="B116" t="s">
        <v>1532</v>
      </c>
      <c r="C116">
        <v>4</v>
      </c>
    </row>
    <row r="117" spans="1:3">
      <c r="A117" s="2315">
        <v>521011</v>
      </c>
      <c r="B117" t="s">
        <v>1532</v>
      </c>
      <c r="C117">
        <v>4</v>
      </c>
    </row>
    <row r="118" spans="1:3">
      <c r="A118" s="2315">
        <v>523012</v>
      </c>
      <c r="B118" t="s">
        <v>1532</v>
      </c>
      <c r="C118">
        <v>4</v>
      </c>
    </row>
    <row r="119" spans="1:3">
      <c r="A119" s="2315">
        <v>523013</v>
      </c>
      <c r="B119" t="s">
        <v>1532</v>
      </c>
      <c r="C119">
        <v>4</v>
      </c>
    </row>
    <row r="120" spans="1:3">
      <c r="A120" s="2315">
        <v>527008</v>
      </c>
      <c r="B120" t="s">
        <v>1532</v>
      </c>
      <c r="C120">
        <v>4</v>
      </c>
    </row>
    <row r="121" spans="1:3">
      <c r="A121" s="2315">
        <v>533005</v>
      </c>
      <c r="B121" t="s">
        <v>1532</v>
      </c>
      <c r="C121">
        <v>4</v>
      </c>
    </row>
    <row r="122" spans="1:3">
      <c r="A122" s="2315">
        <v>535007</v>
      </c>
      <c r="B122" t="s">
        <v>1532</v>
      </c>
      <c r="C122">
        <v>4</v>
      </c>
    </row>
    <row r="123" spans="1:3">
      <c r="A123" s="2315">
        <v>545011</v>
      </c>
      <c r="B123" t="s">
        <v>1532</v>
      </c>
      <c r="C123">
        <v>4</v>
      </c>
    </row>
    <row r="124" spans="1:3">
      <c r="A124" s="2315">
        <v>550001</v>
      </c>
      <c r="B124" t="s">
        <v>1532</v>
      </c>
      <c r="C124">
        <v>4</v>
      </c>
    </row>
    <row r="125" spans="1:3">
      <c r="A125" s="2315">
        <v>553009</v>
      </c>
      <c r="B125" t="s">
        <v>1532</v>
      </c>
      <c r="C125">
        <v>4</v>
      </c>
    </row>
    <row r="126" spans="1:3">
      <c r="A126" s="2315">
        <v>553010</v>
      </c>
      <c r="B126" t="s">
        <v>1532</v>
      </c>
      <c r="C126">
        <v>4</v>
      </c>
    </row>
    <row r="127" spans="1:3">
      <c r="A127" s="2315">
        <v>557007</v>
      </c>
      <c r="B127" t="s">
        <v>1532</v>
      </c>
      <c r="C127">
        <v>4</v>
      </c>
    </row>
    <row r="128" spans="1:3">
      <c r="A128" s="2315">
        <v>559007</v>
      </c>
      <c r="B128" t="s">
        <v>1532</v>
      </c>
      <c r="C128">
        <v>4</v>
      </c>
    </row>
    <row r="129" spans="1:3">
      <c r="A129" s="2315">
        <v>573012</v>
      </c>
      <c r="B129" t="s">
        <v>1532</v>
      </c>
      <c r="C129">
        <v>4</v>
      </c>
    </row>
    <row r="130" spans="1:3">
      <c r="A130" s="2315">
        <v>575013</v>
      </c>
      <c r="B130" t="s">
        <v>1532</v>
      </c>
      <c r="C130">
        <v>4</v>
      </c>
    </row>
    <row r="131" spans="1:3">
      <c r="A131" s="2315">
        <v>607022</v>
      </c>
      <c r="B131" t="s">
        <v>1532</v>
      </c>
      <c r="C131">
        <v>4</v>
      </c>
    </row>
    <row r="132" spans="1:3">
      <c r="A132" s="2315">
        <v>611011</v>
      </c>
      <c r="B132" t="s">
        <v>1532</v>
      </c>
      <c r="C132">
        <v>4</v>
      </c>
    </row>
    <row r="133" spans="1:3">
      <c r="A133" s="2315">
        <v>611013</v>
      </c>
      <c r="B133" t="s">
        <v>1532</v>
      </c>
      <c r="C133">
        <v>4</v>
      </c>
    </row>
    <row r="134" spans="1:3">
      <c r="A134" s="2315">
        <v>621024</v>
      </c>
      <c r="B134" t="s">
        <v>1532</v>
      </c>
      <c r="C134">
        <v>4</v>
      </c>
    </row>
    <row r="135" spans="1:3">
      <c r="A135" s="2315">
        <v>627008</v>
      </c>
      <c r="B135" t="s">
        <v>1532</v>
      </c>
      <c r="C135">
        <v>4</v>
      </c>
    </row>
    <row r="136" spans="1:3">
      <c r="A136" s="2315">
        <v>631023</v>
      </c>
      <c r="B136" t="s">
        <v>1532</v>
      </c>
      <c r="C136">
        <v>4</v>
      </c>
    </row>
    <row r="137" spans="1:3">
      <c r="A137" s="2315">
        <v>631024</v>
      </c>
      <c r="B137" t="s">
        <v>1532</v>
      </c>
      <c r="C137">
        <v>4</v>
      </c>
    </row>
    <row r="138" spans="1:3">
      <c r="A138" s="2315">
        <v>280208</v>
      </c>
      <c r="B138" t="s">
        <v>1532</v>
      </c>
      <c r="C138">
        <v>4</v>
      </c>
    </row>
    <row r="139" spans="1:3">
      <c r="A139" s="2315">
        <v>280218</v>
      </c>
      <c r="B139" t="s">
        <v>1532</v>
      </c>
      <c r="C139">
        <v>4</v>
      </c>
    </row>
    <row r="140" spans="1:3">
      <c r="A140" s="2315">
        <v>280382</v>
      </c>
      <c r="B140" t="s">
        <v>1532</v>
      </c>
      <c r="C140">
        <v>4</v>
      </c>
    </row>
    <row r="141" spans="1:3">
      <c r="A141" s="2315">
        <v>280385</v>
      </c>
      <c r="B141" t="s">
        <v>1532</v>
      </c>
      <c r="C141">
        <v>4</v>
      </c>
    </row>
    <row r="142" spans="1:3">
      <c r="A142" s="2315">
        <v>280386</v>
      </c>
      <c r="B142" t="s">
        <v>1532</v>
      </c>
      <c r="C142">
        <v>4</v>
      </c>
    </row>
    <row r="143" spans="1:3">
      <c r="A143" s="2315">
        <v>280387</v>
      </c>
      <c r="B143" t="s">
        <v>1532</v>
      </c>
      <c r="C143">
        <v>4</v>
      </c>
    </row>
    <row r="144" spans="1:3">
      <c r="A144" s="2315">
        <v>280405</v>
      </c>
      <c r="B144" t="s">
        <v>1532</v>
      </c>
      <c r="C144">
        <v>5</v>
      </c>
    </row>
    <row r="145" spans="1:3">
      <c r="A145" s="2315">
        <v>280534</v>
      </c>
      <c r="B145" t="s">
        <v>1532</v>
      </c>
      <c r="C145">
        <v>5</v>
      </c>
    </row>
    <row r="146" spans="1:3">
      <c r="A146" s="2315">
        <v>280549</v>
      </c>
      <c r="B146" t="s">
        <v>1532</v>
      </c>
      <c r="C146">
        <v>5</v>
      </c>
    </row>
    <row r="147" spans="1:3">
      <c r="A147" s="2315">
        <v>601008</v>
      </c>
      <c r="B147" t="s">
        <v>1532</v>
      </c>
      <c r="C147">
        <v>5</v>
      </c>
    </row>
    <row r="148" spans="1:3">
      <c r="A148" s="2315">
        <v>601009</v>
      </c>
      <c r="B148" t="s">
        <v>1532</v>
      </c>
      <c r="C148">
        <v>5</v>
      </c>
    </row>
    <row r="149" spans="1:3">
      <c r="A149" s="2315">
        <v>609005</v>
      </c>
      <c r="B149" t="s">
        <v>1532</v>
      </c>
      <c r="C149">
        <v>5</v>
      </c>
    </row>
    <row r="150" spans="1:3">
      <c r="A150" s="2315">
        <v>619017</v>
      </c>
      <c r="B150" t="s">
        <v>1532</v>
      </c>
      <c r="C150">
        <v>5</v>
      </c>
    </row>
    <row r="151" spans="1:3">
      <c r="A151" s="2315">
        <v>625005</v>
      </c>
      <c r="B151" t="s">
        <v>1532</v>
      </c>
      <c r="C151">
        <v>5</v>
      </c>
    </row>
    <row r="152" spans="1:3">
      <c r="A152" s="2315">
        <v>625006</v>
      </c>
      <c r="B152" t="s">
        <v>1532</v>
      </c>
      <c r="C152">
        <v>5</v>
      </c>
    </row>
    <row r="153" spans="1:3">
      <c r="A153" s="2315">
        <v>625007</v>
      </c>
      <c r="B153" t="s">
        <v>1532</v>
      </c>
      <c r="C153">
        <v>5</v>
      </c>
    </row>
    <row r="154" spans="1:3">
      <c r="A154" s="2315">
        <v>653006</v>
      </c>
      <c r="B154" t="s">
        <v>1532</v>
      </c>
      <c r="C154">
        <v>5</v>
      </c>
    </row>
    <row r="155" spans="1:3">
      <c r="A155" s="2315">
        <v>655012</v>
      </c>
      <c r="B155" t="s">
        <v>1532</v>
      </c>
      <c r="C155">
        <v>5</v>
      </c>
    </row>
    <row r="156" spans="1:3">
      <c r="A156" s="2315">
        <v>655013</v>
      </c>
      <c r="B156" t="s">
        <v>1532</v>
      </c>
      <c r="C156">
        <v>5</v>
      </c>
    </row>
    <row r="157" spans="1:3">
      <c r="A157" s="2315">
        <v>657025</v>
      </c>
      <c r="B157" t="s">
        <v>1532</v>
      </c>
      <c r="C157">
        <v>5</v>
      </c>
    </row>
    <row r="158" spans="1:3">
      <c r="A158" s="2315">
        <v>657036</v>
      </c>
      <c r="B158" t="s">
        <v>1532</v>
      </c>
      <c r="C158">
        <v>5</v>
      </c>
    </row>
    <row r="159" spans="1:3">
      <c r="A159" s="2315">
        <v>657042</v>
      </c>
      <c r="B159" t="s">
        <v>1532</v>
      </c>
      <c r="C159">
        <v>5</v>
      </c>
    </row>
    <row r="160" spans="1:3">
      <c r="A160" s="2315">
        <v>661018</v>
      </c>
      <c r="B160" t="s">
        <v>1532</v>
      </c>
      <c r="C160">
        <v>5</v>
      </c>
    </row>
    <row r="161" spans="1:3">
      <c r="A161" s="2315">
        <v>661020</v>
      </c>
      <c r="B161" t="s">
        <v>1532</v>
      </c>
      <c r="C161">
        <v>5</v>
      </c>
    </row>
    <row r="162" spans="1:3">
      <c r="A162" s="2315">
        <v>665014</v>
      </c>
      <c r="B162" t="s">
        <v>1532</v>
      </c>
      <c r="C162">
        <v>5</v>
      </c>
    </row>
    <row r="163" spans="1:3">
      <c r="A163" s="2315">
        <v>665016</v>
      </c>
      <c r="B163" t="s">
        <v>1532</v>
      </c>
      <c r="C163">
        <v>5</v>
      </c>
    </row>
    <row r="164" spans="1:3">
      <c r="A164" s="2315">
        <v>665024</v>
      </c>
      <c r="B164" t="s">
        <v>1532</v>
      </c>
      <c r="C164">
        <v>5</v>
      </c>
    </row>
    <row r="165" spans="1:3">
      <c r="A165" s="2315">
        <v>667018</v>
      </c>
      <c r="B165" t="s">
        <v>1532</v>
      </c>
      <c r="C165">
        <v>5</v>
      </c>
    </row>
    <row r="166" spans="1:3">
      <c r="A166" s="2315">
        <v>667019</v>
      </c>
      <c r="B166" t="s">
        <v>1532</v>
      </c>
      <c r="C166">
        <v>5</v>
      </c>
    </row>
    <row r="167" spans="1:3">
      <c r="A167" s="2315">
        <v>667021</v>
      </c>
      <c r="B167" t="s">
        <v>1532</v>
      </c>
      <c r="C167">
        <v>5</v>
      </c>
    </row>
    <row r="168" spans="1:3">
      <c r="A168" s="2315">
        <v>671011</v>
      </c>
      <c r="B168" t="s">
        <v>1532</v>
      </c>
      <c r="C168">
        <v>5</v>
      </c>
    </row>
    <row r="169" spans="1:3">
      <c r="A169" s="2315">
        <v>671013</v>
      </c>
      <c r="B169" t="s">
        <v>1532</v>
      </c>
      <c r="C169">
        <v>5</v>
      </c>
    </row>
    <row r="170" spans="1:3">
      <c r="A170" s="2315">
        <v>675006</v>
      </c>
      <c r="B170" t="s">
        <v>1532</v>
      </c>
      <c r="C170">
        <v>5</v>
      </c>
    </row>
    <row r="171" spans="1:3">
      <c r="A171" s="2315">
        <v>683009</v>
      </c>
      <c r="B171" t="s">
        <v>1532</v>
      </c>
      <c r="C171">
        <v>5</v>
      </c>
    </row>
    <row r="172" spans="1:3">
      <c r="A172" s="2315">
        <v>703007</v>
      </c>
      <c r="B172" t="s">
        <v>1532</v>
      </c>
      <c r="C172">
        <v>5</v>
      </c>
    </row>
    <row r="173" spans="1:3">
      <c r="A173" s="2315">
        <v>710003</v>
      </c>
      <c r="B173" t="s">
        <v>1532</v>
      </c>
      <c r="C173">
        <v>5</v>
      </c>
    </row>
    <row r="174" spans="1:3">
      <c r="A174" s="2315">
        <v>711005</v>
      </c>
      <c r="B174" t="s">
        <v>1532</v>
      </c>
      <c r="C174">
        <v>5</v>
      </c>
    </row>
    <row r="175" spans="1:3">
      <c r="A175" s="2315">
        <v>713005</v>
      </c>
      <c r="B175" t="s">
        <v>1532</v>
      </c>
      <c r="C175">
        <v>5</v>
      </c>
    </row>
    <row r="176" spans="1:3">
      <c r="A176" s="2315">
        <v>725010</v>
      </c>
      <c r="B176" t="s">
        <v>1532</v>
      </c>
      <c r="C176">
        <v>5</v>
      </c>
    </row>
    <row r="177" spans="1:3">
      <c r="A177" s="2315">
        <v>727013</v>
      </c>
      <c r="B177" t="s">
        <v>1532</v>
      </c>
      <c r="C177">
        <v>5</v>
      </c>
    </row>
    <row r="178" spans="1:3">
      <c r="A178" s="2315">
        <v>729006</v>
      </c>
      <c r="B178" t="s">
        <v>1532</v>
      </c>
      <c r="C178">
        <v>5</v>
      </c>
    </row>
    <row r="179" spans="1:3">
      <c r="A179" s="2315">
        <v>741005</v>
      </c>
      <c r="B179" t="s">
        <v>1532</v>
      </c>
      <c r="C179">
        <v>5</v>
      </c>
    </row>
    <row r="180" spans="1:3">
      <c r="A180" s="2315">
        <v>743026</v>
      </c>
      <c r="B180" t="s">
        <v>1532</v>
      </c>
      <c r="C180">
        <v>5</v>
      </c>
    </row>
    <row r="181" spans="1:3">
      <c r="A181" s="2315">
        <v>743031</v>
      </c>
      <c r="B181" t="s">
        <v>1532</v>
      </c>
      <c r="C181">
        <v>5</v>
      </c>
    </row>
    <row r="182" spans="1:3">
      <c r="A182" s="2315">
        <v>745008</v>
      </c>
      <c r="B182" t="s">
        <v>1532</v>
      </c>
      <c r="C182">
        <v>5</v>
      </c>
    </row>
    <row r="183" spans="1:3">
      <c r="A183" s="2315">
        <v>751062</v>
      </c>
      <c r="B183" t="s">
        <v>1532</v>
      </c>
      <c r="C183">
        <v>5</v>
      </c>
    </row>
    <row r="184" spans="1:3">
      <c r="A184" s="2315">
        <v>751092</v>
      </c>
      <c r="B184" t="s">
        <v>1532</v>
      </c>
      <c r="C184">
        <v>5</v>
      </c>
    </row>
    <row r="185" spans="1:3">
      <c r="A185" s="2315">
        <v>751094</v>
      </c>
      <c r="B185" t="s">
        <v>1532</v>
      </c>
      <c r="C185">
        <v>5</v>
      </c>
    </row>
    <row r="186" spans="1:3">
      <c r="A186" s="2315">
        <v>751098</v>
      </c>
      <c r="B186" t="s">
        <v>1532</v>
      </c>
      <c r="C186">
        <v>5</v>
      </c>
    </row>
    <row r="187" spans="1:3">
      <c r="A187" s="2315">
        <v>751111</v>
      </c>
      <c r="B187" t="s">
        <v>1532</v>
      </c>
      <c r="C187">
        <v>5</v>
      </c>
    </row>
    <row r="188" spans="1:3">
      <c r="A188" s="2315">
        <v>760003</v>
      </c>
      <c r="B188" t="s">
        <v>1532</v>
      </c>
      <c r="C188">
        <v>5</v>
      </c>
    </row>
    <row r="189" spans="1:3">
      <c r="A189" s="2315">
        <v>760004</v>
      </c>
      <c r="B189" t="s">
        <v>1532</v>
      </c>
      <c r="C189">
        <v>5</v>
      </c>
    </row>
    <row r="190" spans="1:3">
      <c r="A190" s="2315">
        <v>760005</v>
      </c>
      <c r="B190" t="s">
        <v>1532</v>
      </c>
      <c r="C190">
        <v>5</v>
      </c>
    </row>
    <row r="191" spans="1:3">
      <c r="A191" s="2315">
        <v>761011</v>
      </c>
      <c r="B191" t="s">
        <v>1532</v>
      </c>
      <c r="C191">
        <v>5</v>
      </c>
    </row>
    <row r="192" spans="1:3">
      <c r="A192" s="2315">
        <v>761015</v>
      </c>
      <c r="B192" t="s">
        <v>1532</v>
      </c>
      <c r="C192">
        <v>5</v>
      </c>
    </row>
    <row r="193" spans="1:3">
      <c r="A193" s="2315">
        <v>761016</v>
      </c>
      <c r="B193" t="s">
        <v>1532</v>
      </c>
      <c r="C193">
        <v>5</v>
      </c>
    </row>
    <row r="194" spans="1:3">
      <c r="A194" s="2315">
        <v>779015</v>
      </c>
      <c r="B194" t="s">
        <v>1532</v>
      </c>
      <c r="C194">
        <v>5</v>
      </c>
    </row>
    <row r="195" spans="1:3">
      <c r="A195" s="2315">
        <v>781008</v>
      </c>
      <c r="B195" t="s">
        <v>1532</v>
      </c>
      <c r="C195">
        <v>5</v>
      </c>
    </row>
    <row r="196" spans="1:3">
      <c r="A196" s="2315">
        <v>783005</v>
      </c>
      <c r="B196" t="s">
        <v>1532</v>
      </c>
      <c r="C196">
        <v>5</v>
      </c>
    </row>
    <row r="197" spans="1:3">
      <c r="A197" s="2315">
        <v>789009</v>
      </c>
      <c r="B197" t="s">
        <v>1532</v>
      </c>
      <c r="C197">
        <v>5</v>
      </c>
    </row>
    <row r="198" spans="1:3">
      <c r="A198" s="2315">
        <v>791027</v>
      </c>
      <c r="B198" t="s">
        <v>1532</v>
      </c>
      <c r="C198">
        <v>5</v>
      </c>
    </row>
    <row r="199" spans="1:3">
      <c r="A199" s="2315">
        <v>791028</v>
      </c>
      <c r="B199" t="s">
        <v>1532</v>
      </c>
      <c r="C199">
        <v>5</v>
      </c>
    </row>
    <row r="200" spans="1:3">
      <c r="A200" s="2315">
        <v>280040</v>
      </c>
      <c r="B200" t="s">
        <v>1532</v>
      </c>
      <c r="C200">
        <v>5</v>
      </c>
    </row>
    <row r="201" spans="1:3">
      <c r="A201" s="2315">
        <v>280053</v>
      </c>
      <c r="B201" t="s">
        <v>1532</v>
      </c>
      <c r="C201">
        <v>5</v>
      </c>
    </row>
    <row r="202" spans="1:3">
      <c r="A202" s="2315">
        <v>280214</v>
      </c>
      <c r="B202" t="s">
        <v>1532</v>
      </c>
      <c r="C202">
        <v>5</v>
      </c>
    </row>
    <row r="203" spans="1:3">
      <c r="A203" s="2315">
        <v>280224</v>
      </c>
      <c r="B203" t="s">
        <v>1532</v>
      </c>
      <c r="C203">
        <v>5</v>
      </c>
    </row>
    <row r="204" spans="1:3">
      <c r="A204" s="2315">
        <v>280388</v>
      </c>
      <c r="B204" t="s">
        <v>1532</v>
      </c>
      <c r="C204">
        <v>5</v>
      </c>
    </row>
    <row r="205" spans="1:3">
      <c r="A205" s="2315">
        <v>280389</v>
      </c>
      <c r="B205" t="s">
        <v>1532</v>
      </c>
      <c r="C205">
        <v>5</v>
      </c>
    </row>
    <row r="206" spans="1:3">
      <c r="A206" s="2315">
        <v>280390</v>
      </c>
      <c r="B206" t="s">
        <v>1532</v>
      </c>
      <c r="C206">
        <v>5</v>
      </c>
    </row>
    <row r="207" spans="1:3">
      <c r="A207" s="2315">
        <v>280398</v>
      </c>
      <c r="B207" t="s">
        <v>1532</v>
      </c>
      <c r="C207">
        <v>5</v>
      </c>
    </row>
    <row r="208" spans="1:3">
      <c r="A208" s="2315">
        <v>280460</v>
      </c>
      <c r="B208" t="s">
        <v>1532</v>
      </c>
      <c r="C208" s="295">
        <v>6</v>
      </c>
    </row>
    <row r="209" spans="1:3">
      <c r="A209" s="2315">
        <v>719004</v>
      </c>
      <c r="B209" t="s">
        <v>1532</v>
      </c>
      <c r="C209">
        <v>6</v>
      </c>
    </row>
    <row r="210" spans="1:3">
      <c r="A210" s="2315">
        <v>765005</v>
      </c>
      <c r="B210" t="s">
        <v>1532</v>
      </c>
      <c r="C210">
        <v>6</v>
      </c>
    </row>
    <row r="211" spans="1:3">
      <c r="A211" s="2315">
        <v>773021</v>
      </c>
      <c r="B211" t="s">
        <v>1532</v>
      </c>
      <c r="C211">
        <v>6</v>
      </c>
    </row>
    <row r="212" spans="1:3">
      <c r="A212" s="2315">
        <v>773023</v>
      </c>
      <c r="B212" t="s">
        <v>1532</v>
      </c>
      <c r="C212">
        <v>6</v>
      </c>
    </row>
    <row r="213" spans="1:3">
      <c r="A213" s="2315">
        <v>773028</v>
      </c>
      <c r="B213" t="s">
        <v>1532</v>
      </c>
      <c r="C213">
        <v>6</v>
      </c>
    </row>
    <row r="214" spans="1:3">
      <c r="A214" s="2315">
        <v>773029</v>
      </c>
      <c r="B214" t="s">
        <v>1532</v>
      </c>
      <c r="C214">
        <v>6</v>
      </c>
    </row>
    <row r="215" spans="1:3">
      <c r="A215" s="2315">
        <v>773031</v>
      </c>
      <c r="B215" t="s">
        <v>1532</v>
      </c>
      <c r="C215">
        <v>6</v>
      </c>
    </row>
    <row r="216" spans="1:3">
      <c r="A216" s="2315">
        <v>773032</v>
      </c>
      <c r="B216" t="s">
        <v>1532</v>
      </c>
      <c r="C216">
        <v>6</v>
      </c>
    </row>
    <row r="217" spans="1:3">
      <c r="A217" s="2315">
        <v>785013</v>
      </c>
      <c r="B217" t="s">
        <v>1532</v>
      </c>
      <c r="C217">
        <v>6</v>
      </c>
    </row>
    <row r="218" spans="1:3">
      <c r="A218" s="2315">
        <v>785016</v>
      </c>
      <c r="B218" t="s">
        <v>1532</v>
      </c>
      <c r="C218">
        <v>6</v>
      </c>
    </row>
    <row r="219" spans="1:3">
      <c r="A219" s="2315">
        <v>787021</v>
      </c>
      <c r="B219" t="s">
        <v>1532</v>
      </c>
      <c r="C219">
        <v>6</v>
      </c>
    </row>
    <row r="220" spans="1:3">
      <c r="A220" s="2315">
        <v>787022</v>
      </c>
      <c r="B220" t="s">
        <v>1532</v>
      </c>
      <c r="C220">
        <v>6</v>
      </c>
    </row>
    <row r="221" spans="1:3">
      <c r="A221" s="2315">
        <v>787030</v>
      </c>
      <c r="B221" t="s">
        <v>1532</v>
      </c>
      <c r="C221">
        <v>6</v>
      </c>
    </row>
    <row r="222" spans="1:3">
      <c r="A222" s="2315">
        <v>787033</v>
      </c>
      <c r="B222" t="s">
        <v>1532</v>
      </c>
      <c r="C222">
        <v>6</v>
      </c>
    </row>
    <row r="223" spans="1:3">
      <c r="A223" s="2315">
        <v>793009</v>
      </c>
      <c r="B223" t="s">
        <v>1532</v>
      </c>
      <c r="C223">
        <v>6</v>
      </c>
    </row>
    <row r="224" spans="1:3">
      <c r="A224" s="2315">
        <v>811007</v>
      </c>
      <c r="B224" t="s">
        <v>1532</v>
      </c>
      <c r="C224">
        <v>6</v>
      </c>
    </row>
    <row r="225" spans="1:3">
      <c r="A225" s="2315">
        <v>821016</v>
      </c>
      <c r="B225" t="s">
        <v>1532</v>
      </c>
      <c r="C225">
        <v>6</v>
      </c>
    </row>
    <row r="226" spans="1:3">
      <c r="A226" s="2315">
        <v>823009</v>
      </c>
      <c r="B226" t="s">
        <v>1532</v>
      </c>
      <c r="C226">
        <v>6</v>
      </c>
    </row>
    <row r="227" spans="1:3">
      <c r="A227" s="2315">
        <v>827006</v>
      </c>
      <c r="B227" t="s">
        <v>1532</v>
      </c>
      <c r="C227">
        <v>6</v>
      </c>
    </row>
    <row r="228" spans="1:3">
      <c r="A228" s="2315">
        <v>831006</v>
      </c>
      <c r="B228" t="s">
        <v>1532</v>
      </c>
      <c r="C228">
        <v>6</v>
      </c>
    </row>
    <row r="229" spans="1:3">
      <c r="A229" s="2315">
        <v>831007</v>
      </c>
      <c r="B229" t="s">
        <v>1532</v>
      </c>
      <c r="C229">
        <v>6</v>
      </c>
    </row>
    <row r="230" spans="1:3">
      <c r="A230" s="2315">
        <v>837007</v>
      </c>
      <c r="B230" t="s">
        <v>1532</v>
      </c>
      <c r="C230">
        <v>6</v>
      </c>
    </row>
    <row r="231" spans="1:3">
      <c r="A231" s="2315">
        <v>845008</v>
      </c>
      <c r="B231" t="s">
        <v>1532</v>
      </c>
      <c r="C231">
        <v>6</v>
      </c>
    </row>
    <row r="232" spans="1:3">
      <c r="A232" s="2315">
        <v>845013</v>
      </c>
      <c r="B232" t="s">
        <v>1532</v>
      </c>
      <c r="C232">
        <v>6</v>
      </c>
    </row>
    <row r="233" spans="1:3">
      <c r="A233" s="2315">
        <v>846002</v>
      </c>
      <c r="B233" t="s">
        <v>1532</v>
      </c>
      <c r="C233">
        <v>6</v>
      </c>
    </row>
    <row r="234" spans="1:3">
      <c r="A234" s="2315">
        <v>847011</v>
      </c>
      <c r="B234" t="s">
        <v>1532</v>
      </c>
      <c r="C234">
        <v>6</v>
      </c>
    </row>
    <row r="235" spans="1:3">
      <c r="A235" s="2315">
        <v>847012</v>
      </c>
      <c r="B235" t="s">
        <v>1532</v>
      </c>
      <c r="C235">
        <v>6</v>
      </c>
    </row>
    <row r="236" spans="1:3">
      <c r="A236" s="2315">
        <v>849006</v>
      </c>
      <c r="B236" t="s">
        <v>1532</v>
      </c>
      <c r="C236">
        <v>6</v>
      </c>
    </row>
    <row r="237" spans="1:3">
      <c r="A237" s="2315">
        <v>849008</v>
      </c>
      <c r="B237" t="s">
        <v>1532</v>
      </c>
      <c r="C237">
        <v>6</v>
      </c>
    </row>
    <row r="238" spans="1:3">
      <c r="A238" s="2315">
        <v>851071</v>
      </c>
      <c r="B238" t="s">
        <v>1532</v>
      </c>
      <c r="C238">
        <v>6</v>
      </c>
    </row>
    <row r="239" spans="1:3">
      <c r="A239" s="2315">
        <v>851076</v>
      </c>
      <c r="B239" t="s">
        <v>1532</v>
      </c>
      <c r="C239">
        <v>6</v>
      </c>
    </row>
    <row r="240" spans="1:3">
      <c r="A240" s="2315">
        <v>851087</v>
      </c>
      <c r="B240" t="s">
        <v>1532</v>
      </c>
      <c r="C240">
        <v>6</v>
      </c>
    </row>
    <row r="241" spans="1:3">
      <c r="A241" s="2315">
        <v>861012</v>
      </c>
      <c r="B241" t="s">
        <v>1532</v>
      </c>
      <c r="C241">
        <v>6</v>
      </c>
    </row>
    <row r="242" spans="1:3">
      <c r="A242" s="2315">
        <v>280204</v>
      </c>
      <c r="B242" t="s">
        <v>1532</v>
      </c>
      <c r="C242">
        <v>6</v>
      </c>
    </row>
    <row r="243" spans="1:3">
      <c r="A243" s="2315">
        <v>280207</v>
      </c>
      <c r="B243" t="s">
        <v>1532</v>
      </c>
      <c r="C243">
        <v>6</v>
      </c>
    </row>
    <row r="244" spans="1:3">
      <c r="A244" s="2315">
        <v>280212</v>
      </c>
      <c r="B244" t="s">
        <v>1532</v>
      </c>
      <c r="C244">
        <v>6</v>
      </c>
    </row>
    <row r="245" spans="1:3">
      <c r="A245" s="2315">
        <v>280215</v>
      </c>
      <c r="B245" t="s">
        <v>1532</v>
      </c>
      <c r="C245">
        <v>6</v>
      </c>
    </row>
    <row r="246" spans="1:3">
      <c r="A246" s="2315">
        <v>280220</v>
      </c>
      <c r="B246" t="s">
        <v>1532</v>
      </c>
      <c r="C246">
        <v>6</v>
      </c>
    </row>
    <row r="247" spans="1:3">
      <c r="A247" s="2315">
        <v>280221</v>
      </c>
      <c r="B247" t="s">
        <v>1532</v>
      </c>
      <c r="C247">
        <v>6</v>
      </c>
    </row>
    <row r="248" spans="1:3">
      <c r="A248" s="2315">
        <v>280227</v>
      </c>
      <c r="B248" t="s">
        <v>1532</v>
      </c>
      <c r="C248">
        <v>6</v>
      </c>
    </row>
    <row r="249" spans="1:3">
      <c r="A249" s="2315">
        <v>280394</v>
      </c>
      <c r="B249" t="s">
        <v>1532</v>
      </c>
      <c r="C249">
        <v>6</v>
      </c>
    </row>
    <row r="250" spans="1:3">
      <c r="A250" s="2315">
        <v>101078</v>
      </c>
      <c r="B250" t="s">
        <v>1533</v>
      </c>
      <c r="C250">
        <v>11</v>
      </c>
    </row>
    <row r="251" spans="1:3">
      <c r="A251" s="2315">
        <v>101079</v>
      </c>
      <c r="B251" t="s">
        <v>1533</v>
      </c>
      <c r="C251">
        <v>11</v>
      </c>
    </row>
    <row r="252" spans="1:3">
      <c r="A252" s="2315">
        <v>101080</v>
      </c>
      <c r="B252" t="s">
        <v>1533</v>
      </c>
      <c r="C252">
        <v>11</v>
      </c>
    </row>
    <row r="253" spans="1:3">
      <c r="A253" s="2315">
        <v>101081</v>
      </c>
      <c r="B253" t="s">
        <v>1533</v>
      </c>
      <c r="C253">
        <v>11</v>
      </c>
    </row>
    <row r="254" spans="1:3">
      <c r="A254" s="2315">
        <v>101082</v>
      </c>
      <c r="B254" t="s">
        <v>1533</v>
      </c>
      <c r="C254">
        <v>11</v>
      </c>
    </row>
    <row r="255" spans="1:3">
      <c r="A255" s="2315">
        <v>101083</v>
      </c>
      <c r="B255" t="s">
        <v>1533</v>
      </c>
      <c r="C255">
        <v>11</v>
      </c>
    </row>
    <row r="256" spans="1:3">
      <c r="A256" s="2315">
        <v>101084</v>
      </c>
      <c r="B256" t="s">
        <v>1533</v>
      </c>
      <c r="C256">
        <v>11</v>
      </c>
    </row>
    <row r="257" spans="1:3">
      <c r="A257" s="2315">
        <v>101127</v>
      </c>
      <c r="B257" t="s">
        <v>1533</v>
      </c>
      <c r="C257">
        <v>11</v>
      </c>
    </row>
    <row r="258" spans="1:3">
      <c r="A258" s="2315">
        <v>101188</v>
      </c>
      <c r="B258" t="s">
        <v>1533</v>
      </c>
      <c r="C258">
        <v>11</v>
      </c>
    </row>
    <row r="259" spans="1:3">
      <c r="A259" s="2315">
        <v>147017</v>
      </c>
      <c r="B259" t="s">
        <v>1533</v>
      </c>
      <c r="C259">
        <v>11</v>
      </c>
    </row>
    <row r="260" spans="1:3">
      <c r="A260" s="2315">
        <v>147018</v>
      </c>
      <c r="B260" t="s">
        <v>1533</v>
      </c>
      <c r="C260">
        <v>11</v>
      </c>
    </row>
    <row r="261" spans="1:3">
      <c r="A261" s="2315">
        <v>157013</v>
      </c>
      <c r="B261" t="s">
        <v>1533</v>
      </c>
      <c r="C261">
        <v>11</v>
      </c>
    </row>
    <row r="262" spans="1:3">
      <c r="A262" s="2315">
        <v>157018</v>
      </c>
      <c r="B262" t="s">
        <v>1533</v>
      </c>
      <c r="C262">
        <v>11</v>
      </c>
    </row>
    <row r="263" spans="1:3">
      <c r="A263" s="2315">
        <v>157019</v>
      </c>
      <c r="B263" t="s">
        <v>1533</v>
      </c>
      <c r="C263">
        <v>11</v>
      </c>
    </row>
    <row r="264" spans="1:3">
      <c r="A264" s="2315">
        <v>157040</v>
      </c>
      <c r="B264" t="s">
        <v>1533</v>
      </c>
      <c r="C264">
        <v>11</v>
      </c>
    </row>
    <row r="265" spans="1:3">
      <c r="A265" s="2315">
        <v>159016</v>
      </c>
      <c r="B265" t="s">
        <v>1533</v>
      </c>
      <c r="C265">
        <v>11</v>
      </c>
    </row>
    <row r="266" spans="1:3">
      <c r="A266" s="2315">
        <v>159017</v>
      </c>
      <c r="B266" t="s">
        <v>1533</v>
      </c>
      <c r="C266">
        <v>11</v>
      </c>
    </row>
    <row r="267" spans="1:3">
      <c r="A267" s="2315">
        <v>163009</v>
      </c>
      <c r="B267" t="s">
        <v>1533</v>
      </c>
      <c r="C267">
        <v>11</v>
      </c>
    </row>
    <row r="268" spans="1:3">
      <c r="A268" s="2315">
        <v>169012</v>
      </c>
      <c r="B268" t="s">
        <v>1533</v>
      </c>
      <c r="C268">
        <v>11</v>
      </c>
    </row>
    <row r="269" spans="1:3">
      <c r="A269" s="2315">
        <v>169016</v>
      </c>
      <c r="B269" t="s">
        <v>1533</v>
      </c>
      <c r="C269">
        <v>11</v>
      </c>
    </row>
    <row r="270" spans="1:3">
      <c r="A270" s="2315">
        <v>169018</v>
      </c>
      <c r="B270" t="s">
        <v>1533</v>
      </c>
      <c r="C270">
        <v>11</v>
      </c>
    </row>
    <row r="271" spans="1:3">
      <c r="A271" s="2315">
        <v>173012</v>
      </c>
      <c r="B271" t="s">
        <v>1533</v>
      </c>
      <c r="C271">
        <v>11</v>
      </c>
    </row>
    <row r="272" spans="1:3">
      <c r="A272" s="2315">
        <v>173013</v>
      </c>
      <c r="B272" t="s">
        <v>1533</v>
      </c>
      <c r="C272">
        <v>11</v>
      </c>
    </row>
    <row r="273" spans="1:3">
      <c r="A273" s="2315">
        <v>173014</v>
      </c>
      <c r="B273" t="s">
        <v>1533</v>
      </c>
      <c r="C273">
        <v>11</v>
      </c>
    </row>
    <row r="274" spans="1:3">
      <c r="A274" s="2315">
        <v>173020</v>
      </c>
      <c r="B274" t="s">
        <v>1533</v>
      </c>
      <c r="C274">
        <v>11</v>
      </c>
    </row>
    <row r="275" spans="1:3">
      <c r="A275" s="2315">
        <v>175017</v>
      </c>
      <c r="B275" t="s">
        <v>1533</v>
      </c>
      <c r="C275">
        <v>11</v>
      </c>
    </row>
    <row r="276" spans="1:3">
      <c r="A276" s="2315">
        <v>183008</v>
      </c>
      <c r="B276" t="s">
        <v>1533</v>
      </c>
      <c r="C276">
        <v>11</v>
      </c>
    </row>
    <row r="277" spans="1:3">
      <c r="A277" s="2315">
        <v>185013</v>
      </c>
      <c r="B277" t="s">
        <v>1533</v>
      </c>
      <c r="C277">
        <v>11</v>
      </c>
    </row>
    <row r="278" spans="1:3">
      <c r="A278" s="2315">
        <v>190001</v>
      </c>
      <c r="B278" t="s">
        <v>1533</v>
      </c>
      <c r="C278">
        <v>11</v>
      </c>
    </row>
    <row r="279" spans="1:3">
      <c r="A279" s="2315">
        <v>205006</v>
      </c>
      <c r="B279" t="s">
        <v>1533</v>
      </c>
      <c r="C279">
        <v>11</v>
      </c>
    </row>
    <row r="280" spans="1:3">
      <c r="A280" s="2315">
        <v>209005</v>
      </c>
      <c r="B280" t="s">
        <v>1533</v>
      </c>
      <c r="C280">
        <v>11</v>
      </c>
    </row>
    <row r="281" spans="1:3">
      <c r="A281" s="2315">
        <v>213007</v>
      </c>
      <c r="B281" t="s">
        <v>1533</v>
      </c>
      <c r="C281">
        <v>11</v>
      </c>
    </row>
    <row r="282" spans="1:3">
      <c r="A282" s="2315">
        <v>215007</v>
      </c>
      <c r="B282" t="s">
        <v>1533</v>
      </c>
      <c r="C282">
        <v>11</v>
      </c>
    </row>
    <row r="283" spans="1:3">
      <c r="A283" s="2315">
        <v>219010</v>
      </c>
      <c r="B283" t="s">
        <v>1533</v>
      </c>
      <c r="C283">
        <v>11</v>
      </c>
    </row>
    <row r="284" spans="1:3">
      <c r="A284" s="2315">
        <v>223006</v>
      </c>
      <c r="B284" t="s">
        <v>1533</v>
      </c>
      <c r="C284">
        <v>11</v>
      </c>
    </row>
    <row r="285" spans="1:3">
      <c r="A285" s="2315">
        <v>231005</v>
      </c>
      <c r="B285" t="s">
        <v>1533</v>
      </c>
      <c r="C285">
        <v>11</v>
      </c>
    </row>
    <row r="286" spans="1:3">
      <c r="A286" s="2315">
        <v>235006</v>
      </c>
      <c r="B286" t="s">
        <v>1533</v>
      </c>
      <c r="C286">
        <v>11</v>
      </c>
    </row>
    <row r="287" spans="1:3">
      <c r="A287" s="2315">
        <v>253013</v>
      </c>
      <c r="B287" t="s">
        <v>1533</v>
      </c>
      <c r="C287">
        <v>11</v>
      </c>
    </row>
    <row r="288" spans="1:3">
      <c r="A288" s="2315">
        <v>265017</v>
      </c>
      <c r="B288" t="s">
        <v>1533</v>
      </c>
      <c r="C288">
        <v>11</v>
      </c>
    </row>
    <row r="289" spans="1:3">
      <c r="A289" s="2315">
        <v>265019</v>
      </c>
      <c r="B289" t="s">
        <v>1533</v>
      </c>
      <c r="C289">
        <v>11</v>
      </c>
    </row>
    <row r="290" spans="1:3">
      <c r="A290" s="2315">
        <v>280447</v>
      </c>
      <c r="B290" t="s">
        <v>1533</v>
      </c>
      <c r="C290">
        <v>11</v>
      </c>
    </row>
    <row r="291" spans="1:3">
      <c r="A291" s="2315">
        <v>280462</v>
      </c>
      <c r="B291" t="s">
        <v>1533</v>
      </c>
      <c r="C291">
        <v>11</v>
      </c>
    </row>
    <row r="292" spans="1:3">
      <c r="A292" s="2315">
        <v>280467</v>
      </c>
      <c r="B292" t="s">
        <v>1533</v>
      </c>
      <c r="C292">
        <v>11</v>
      </c>
    </row>
    <row r="293" spans="1:3">
      <c r="A293" s="2315">
        <v>280468</v>
      </c>
      <c r="B293" t="s">
        <v>1533</v>
      </c>
      <c r="C293">
        <v>11</v>
      </c>
    </row>
    <row r="294" spans="1:3">
      <c r="A294" s="2315">
        <v>280471</v>
      </c>
      <c r="B294" t="s">
        <v>1533</v>
      </c>
      <c r="C294">
        <v>11</v>
      </c>
    </row>
    <row r="295" spans="1:3">
      <c r="A295" s="2315">
        <v>280477</v>
      </c>
      <c r="B295" t="s">
        <v>1533</v>
      </c>
      <c r="C295">
        <v>11</v>
      </c>
    </row>
    <row r="296" spans="1:3">
      <c r="A296" s="2315">
        <v>280537</v>
      </c>
      <c r="B296" t="s">
        <v>1533</v>
      </c>
      <c r="C296">
        <v>11</v>
      </c>
    </row>
    <row r="297" spans="1:3">
      <c r="A297" s="2315">
        <v>280538</v>
      </c>
      <c r="B297" t="s">
        <v>1533</v>
      </c>
      <c r="C297">
        <v>11</v>
      </c>
    </row>
    <row r="298" spans="1:3">
      <c r="A298" s="2315">
        <v>280540</v>
      </c>
      <c r="B298" t="s">
        <v>1533</v>
      </c>
      <c r="C298">
        <v>11</v>
      </c>
    </row>
    <row r="299" spans="1:3">
      <c r="A299" s="2315">
        <v>280545</v>
      </c>
      <c r="B299" t="s">
        <v>1533</v>
      </c>
      <c r="C299">
        <v>11</v>
      </c>
    </row>
    <row r="300" spans="1:3">
      <c r="A300" s="2315">
        <v>280551</v>
      </c>
      <c r="B300" t="s">
        <v>1533</v>
      </c>
      <c r="C300">
        <v>11</v>
      </c>
    </row>
    <row r="301" spans="1:3">
      <c r="A301" s="2315">
        <v>280552</v>
      </c>
      <c r="B301" t="s">
        <v>1533</v>
      </c>
      <c r="C301">
        <v>11</v>
      </c>
    </row>
    <row r="302" spans="1:3">
      <c r="A302" s="2315">
        <v>307004</v>
      </c>
      <c r="B302" t="s">
        <v>1533</v>
      </c>
      <c r="C302">
        <v>11</v>
      </c>
    </row>
    <row r="303" spans="1:3">
      <c r="A303" s="2315">
        <v>315011</v>
      </c>
      <c r="B303" t="s">
        <v>1533</v>
      </c>
      <c r="C303">
        <v>11</v>
      </c>
    </row>
    <row r="304" spans="1:3">
      <c r="A304" s="2315">
        <v>319007</v>
      </c>
      <c r="B304" t="s">
        <v>1533</v>
      </c>
      <c r="C304">
        <v>11</v>
      </c>
    </row>
    <row r="305" spans="1:3">
      <c r="A305" s="2315">
        <v>329017</v>
      </c>
      <c r="B305" t="s">
        <v>1533</v>
      </c>
      <c r="C305">
        <v>11</v>
      </c>
    </row>
    <row r="306" spans="1:3">
      <c r="A306" s="2315">
        <v>333014</v>
      </c>
      <c r="B306" t="s">
        <v>1533</v>
      </c>
      <c r="C306">
        <v>11</v>
      </c>
    </row>
    <row r="307" spans="1:3">
      <c r="A307" s="2315">
        <v>335006</v>
      </c>
      <c r="B307" t="s">
        <v>1533</v>
      </c>
      <c r="C307">
        <v>11</v>
      </c>
    </row>
    <row r="308" spans="1:3">
      <c r="A308" s="2315">
        <v>363009</v>
      </c>
      <c r="B308" t="s">
        <v>1533</v>
      </c>
      <c r="C308">
        <v>11</v>
      </c>
    </row>
    <row r="309" spans="1:3">
      <c r="A309" s="2315">
        <v>367006</v>
      </c>
      <c r="B309" t="s">
        <v>1533</v>
      </c>
      <c r="C309">
        <v>11</v>
      </c>
    </row>
    <row r="310" spans="1:3">
      <c r="A310" s="2315">
        <v>367007</v>
      </c>
      <c r="B310" t="s">
        <v>1533</v>
      </c>
      <c r="C310">
        <v>11</v>
      </c>
    </row>
    <row r="311" spans="1:3">
      <c r="A311" s="2315">
        <v>369010</v>
      </c>
      <c r="B311" t="s">
        <v>1533</v>
      </c>
      <c r="C311">
        <v>11</v>
      </c>
    </row>
    <row r="312" spans="1:3">
      <c r="A312" s="2315">
        <v>369011</v>
      </c>
      <c r="B312" t="s">
        <v>1533</v>
      </c>
      <c r="C312">
        <v>11</v>
      </c>
    </row>
    <row r="313" spans="1:3">
      <c r="A313" s="2315">
        <v>373018</v>
      </c>
      <c r="B313" t="s">
        <v>1533</v>
      </c>
      <c r="C313">
        <v>11</v>
      </c>
    </row>
    <row r="314" spans="1:3">
      <c r="A314" s="2315">
        <v>379008</v>
      </c>
      <c r="B314" t="s">
        <v>1533</v>
      </c>
      <c r="C314">
        <v>11</v>
      </c>
    </row>
    <row r="315" spans="1:3">
      <c r="A315" s="2315">
        <v>400021</v>
      </c>
      <c r="B315" t="s">
        <v>1533</v>
      </c>
      <c r="C315">
        <v>11</v>
      </c>
    </row>
    <row r="316" spans="1:3">
      <c r="A316" s="2315">
        <v>400037</v>
      </c>
      <c r="B316" t="s">
        <v>1533</v>
      </c>
      <c r="C316">
        <v>11</v>
      </c>
    </row>
    <row r="317" spans="1:3">
      <c r="A317" s="2315">
        <v>421007</v>
      </c>
      <c r="B317" t="s">
        <v>1533</v>
      </c>
      <c r="C317">
        <v>11</v>
      </c>
    </row>
    <row r="318" spans="1:3">
      <c r="A318" s="2315">
        <v>429006</v>
      </c>
      <c r="B318" t="s">
        <v>1533</v>
      </c>
      <c r="C318">
        <v>11</v>
      </c>
    </row>
    <row r="319" spans="1:3">
      <c r="A319" s="2315">
        <v>449008</v>
      </c>
      <c r="B319" t="s">
        <v>1533</v>
      </c>
      <c r="C319">
        <v>11</v>
      </c>
    </row>
    <row r="320" spans="1:3">
      <c r="A320" s="2315">
        <v>449009</v>
      </c>
      <c r="B320" t="s">
        <v>1533</v>
      </c>
      <c r="C320">
        <v>11</v>
      </c>
    </row>
    <row r="321" spans="1:3">
      <c r="A321" s="2315">
        <v>451003</v>
      </c>
      <c r="B321" t="s">
        <v>1533</v>
      </c>
      <c r="C321">
        <v>11</v>
      </c>
    </row>
    <row r="322" spans="1:3">
      <c r="A322" s="2315">
        <v>461040</v>
      </c>
      <c r="B322" t="s">
        <v>1533</v>
      </c>
      <c r="C322">
        <v>11</v>
      </c>
    </row>
    <row r="323" spans="1:3">
      <c r="A323" s="2315">
        <v>461042</v>
      </c>
      <c r="B323" t="s">
        <v>1533</v>
      </c>
      <c r="C323">
        <v>11</v>
      </c>
    </row>
    <row r="324" spans="1:3">
      <c r="A324" s="2315">
        <v>461043</v>
      </c>
      <c r="B324" t="s">
        <v>1533</v>
      </c>
      <c r="C324">
        <v>11</v>
      </c>
    </row>
    <row r="325" spans="1:3">
      <c r="A325" s="2315">
        <v>461045</v>
      </c>
      <c r="B325" t="s">
        <v>1533</v>
      </c>
      <c r="C325">
        <v>11</v>
      </c>
    </row>
    <row r="326" spans="1:3">
      <c r="A326" s="2315">
        <v>471011</v>
      </c>
      <c r="B326" t="s">
        <v>1533</v>
      </c>
      <c r="C326">
        <v>11</v>
      </c>
    </row>
    <row r="327" spans="1:3">
      <c r="A327" s="2315">
        <v>479013</v>
      </c>
      <c r="B327" t="s">
        <v>1533</v>
      </c>
      <c r="C327">
        <v>11</v>
      </c>
    </row>
    <row r="328" spans="1:3">
      <c r="A328" s="2315">
        <v>479014</v>
      </c>
      <c r="B328" t="s">
        <v>1533</v>
      </c>
      <c r="C328">
        <v>11</v>
      </c>
    </row>
    <row r="329" spans="1:3">
      <c r="A329" s="2315">
        <v>515014</v>
      </c>
      <c r="B329" t="s">
        <v>1533</v>
      </c>
      <c r="C329">
        <v>11</v>
      </c>
    </row>
    <row r="330" spans="1:3">
      <c r="A330" s="2315">
        <v>525011</v>
      </c>
      <c r="B330" t="s">
        <v>1533</v>
      </c>
      <c r="C330">
        <v>11</v>
      </c>
    </row>
    <row r="331" spans="1:3">
      <c r="A331" s="2315">
        <v>531007</v>
      </c>
      <c r="B331" t="s">
        <v>1533</v>
      </c>
      <c r="C331">
        <v>11</v>
      </c>
    </row>
    <row r="332" spans="1:3">
      <c r="A332" s="2315">
        <v>537015</v>
      </c>
      <c r="B332" t="s">
        <v>1533</v>
      </c>
      <c r="C332">
        <v>11</v>
      </c>
    </row>
    <row r="333" spans="1:3">
      <c r="A333" s="2315">
        <v>561026</v>
      </c>
      <c r="B333" t="s">
        <v>1533</v>
      </c>
      <c r="C333">
        <v>11</v>
      </c>
    </row>
    <row r="334" spans="1:3">
      <c r="A334" s="2315">
        <v>561030</v>
      </c>
      <c r="B334" t="s">
        <v>1533</v>
      </c>
      <c r="C334">
        <v>11</v>
      </c>
    </row>
    <row r="335" spans="1:3">
      <c r="A335" s="2315">
        <v>565010</v>
      </c>
      <c r="B335" t="s">
        <v>1533</v>
      </c>
      <c r="C335">
        <v>11</v>
      </c>
    </row>
    <row r="336" spans="1:3">
      <c r="A336" s="2315">
        <v>571022</v>
      </c>
      <c r="B336" t="s">
        <v>1533</v>
      </c>
      <c r="C336">
        <v>11</v>
      </c>
    </row>
    <row r="337" spans="1:3">
      <c r="A337" s="2315">
        <v>607015</v>
      </c>
      <c r="B337" t="s">
        <v>1533</v>
      </c>
      <c r="C337">
        <v>11</v>
      </c>
    </row>
    <row r="338" spans="1:3">
      <c r="A338" s="2315">
        <v>607018</v>
      </c>
      <c r="B338" t="s">
        <v>1533</v>
      </c>
      <c r="C338">
        <v>11</v>
      </c>
    </row>
    <row r="339" spans="1:3">
      <c r="A339" s="2315">
        <v>615016</v>
      </c>
      <c r="B339" t="s">
        <v>1533</v>
      </c>
      <c r="C339">
        <v>11</v>
      </c>
    </row>
    <row r="340" spans="1:3">
      <c r="A340" s="2315">
        <v>615017</v>
      </c>
      <c r="B340" t="s">
        <v>1533</v>
      </c>
      <c r="C340">
        <v>11</v>
      </c>
    </row>
    <row r="341" spans="1:3">
      <c r="A341" s="2315">
        <v>621019</v>
      </c>
      <c r="B341" t="s">
        <v>1533</v>
      </c>
      <c r="C341">
        <v>11</v>
      </c>
    </row>
    <row r="342" spans="1:3">
      <c r="A342" s="2315">
        <v>621020</v>
      </c>
      <c r="B342" t="s">
        <v>1533</v>
      </c>
      <c r="C342">
        <v>11</v>
      </c>
    </row>
    <row r="343" spans="1:3">
      <c r="A343" s="2315">
        <v>631018</v>
      </c>
      <c r="B343" t="s">
        <v>1533</v>
      </c>
      <c r="C343">
        <v>11</v>
      </c>
    </row>
    <row r="344" spans="1:3">
      <c r="A344" s="2315">
        <v>631019</v>
      </c>
      <c r="B344" t="s">
        <v>1533</v>
      </c>
      <c r="C344">
        <v>11</v>
      </c>
    </row>
    <row r="345" spans="1:3">
      <c r="A345" s="2315">
        <v>657037</v>
      </c>
      <c r="B345" t="s">
        <v>1533</v>
      </c>
      <c r="C345">
        <v>11</v>
      </c>
    </row>
    <row r="346" spans="1:3">
      <c r="A346" s="2315">
        <v>683007</v>
      </c>
      <c r="B346" t="s">
        <v>1533</v>
      </c>
      <c r="C346">
        <v>11</v>
      </c>
    </row>
    <row r="347" spans="1:3">
      <c r="A347" s="2315">
        <v>727011</v>
      </c>
      <c r="B347" t="s">
        <v>1533</v>
      </c>
      <c r="C347">
        <v>11</v>
      </c>
    </row>
    <row r="348" spans="1:3">
      <c r="A348" s="2315">
        <v>731015</v>
      </c>
      <c r="B348" t="s">
        <v>1533</v>
      </c>
      <c r="C348">
        <v>11</v>
      </c>
    </row>
    <row r="349" spans="1:3">
      <c r="A349" s="2315">
        <v>731016</v>
      </c>
      <c r="B349" t="s">
        <v>1533</v>
      </c>
      <c r="C349">
        <v>11</v>
      </c>
    </row>
    <row r="350" spans="1:3">
      <c r="A350" s="2315">
        <v>731017</v>
      </c>
      <c r="B350" t="s">
        <v>1533</v>
      </c>
      <c r="C350">
        <v>11</v>
      </c>
    </row>
    <row r="351" spans="1:3">
      <c r="A351" s="2315">
        <v>739006</v>
      </c>
      <c r="B351" t="s">
        <v>1533</v>
      </c>
      <c r="C351">
        <v>11</v>
      </c>
    </row>
    <row r="352" spans="1:3">
      <c r="A352" s="2315">
        <v>743015</v>
      </c>
      <c r="B352" t="s">
        <v>1533</v>
      </c>
      <c r="C352">
        <v>11</v>
      </c>
    </row>
    <row r="353" spans="1:3">
      <c r="A353" s="2315">
        <v>743017</v>
      </c>
      <c r="B353" t="s">
        <v>1533</v>
      </c>
      <c r="C353">
        <v>11</v>
      </c>
    </row>
    <row r="354" spans="1:3">
      <c r="A354" s="2315">
        <v>745006</v>
      </c>
      <c r="B354" t="s">
        <v>1533</v>
      </c>
      <c r="C354">
        <v>11</v>
      </c>
    </row>
    <row r="355" spans="1:3">
      <c r="A355" s="2315">
        <v>751058</v>
      </c>
      <c r="B355" t="s">
        <v>1533</v>
      </c>
      <c r="C355">
        <v>11</v>
      </c>
    </row>
    <row r="356" spans="1:3">
      <c r="A356" s="2315">
        <v>751059</v>
      </c>
      <c r="B356" t="s">
        <v>1533</v>
      </c>
      <c r="C356">
        <v>11</v>
      </c>
    </row>
    <row r="357" spans="1:3">
      <c r="A357" s="2315">
        <v>751060</v>
      </c>
      <c r="B357" t="s">
        <v>1533</v>
      </c>
      <c r="C357">
        <v>11</v>
      </c>
    </row>
    <row r="358" spans="1:3">
      <c r="A358" s="2315">
        <v>751061</v>
      </c>
      <c r="B358" t="s">
        <v>1533</v>
      </c>
      <c r="C358">
        <v>11</v>
      </c>
    </row>
    <row r="359" spans="1:3">
      <c r="A359" s="2315">
        <v>751063</v>
      </c>
      <c r="B359" t="s">
        <v>1533</v>
      </c>
      <c r="C359">
        <v>11</v>
      </c>
    </row>
    <row r="360" spans="1:3">
      <c r="A360" s="2315">
        <v>751081</v>
      </c>
      <c r="B360" t="s">
        <v>1533</v>
      </c>
      <c r="C360">
        <v>11</v>
      </c>
    </row>
    <row r="361" spans="1:3">
      <c r="A361" s="2315">
        <v>751095</v>
      </c>
      <c r="B361" t="s">
        <v>1533</v>
      </c>
      <c r="C361">
        <v>11</v>
      </c>
    </row>
    <row r="362" spans="1:3">
      <c r="A362" s="2315">
        <v>751114</v>
      </c>
      <c r="B362" t="s">
        <v>1533</v>
      </c>
      <c r="C362">
        <v>11</v>
      </c>
    </row>
    <row r="363" spans="1:3">
      <c r="A363" s="2315">
        <v>756002</v>
      </c>
      <c r="B363" t="s">
        <v>1533</v>
      </c>
      <c r="C363">
        <v>11</v>
      </c>
    </row>
    <row r="364" spans="1:3">
      <c r="A364" s="2315">
        <v>791014</v>
      </c>
      <c r="B364" t="s">
        <v>1533</v>
      </c>
      <c r="C364">
        <v>11</v>
      </c>
    </row>
    <row r="365" spans="1:3">
      <c r="A365" s="2315">
        <v>791029</v>
      </c>
      <c r="B365" t="s">
        <v>1533</v>
      </c>
      <c r="C365">
        <v>11</v>
      </c>
    </row>
    <row r="366" spans="1:3">
      <c r="A366" s="2315">
        <v>793008</v>
      </c>
      <c r="B366" t="s">
        <v>1533</v>
      </c>
      <c r="C366">
        <v>11</v>
      </c>
    </row>
    <row r="367" spans="1:3">
      <c r="A367" s="2315">
        <v>801007</v>
      </c>
      <c r="B367" t="s">
        <v>1533</v>
      </c>
      <c r="C367">
        <v>11</v>
      </c>
    </row>
    <row r="368" spans="1:3">
      <c r="A368" s="2315">
        <v>805016</v>
      </c>
      <c r="B368" t="s">
        <v>1533</v>
      </c>
      <c r="C368">
        <v>11</v>
      </c>
    </row>
    <row r="369" spans="1:3">
      <c r="A369" s="2315">
        <v>813010</v>
      </c>
      <c r="B369" t="s">
        <v>1533</v>
      </c>
      <c r="C369">
        <v>11</v>
      </c>
    </row>
    <row r="370" spans="1:3">
      <c r="A370" s="2315">
        <v>821011</v>
      </c>
      <c r="B370" t="s">
        <v>1533</v>
      </c>
      <c r="C370">
        <v>11</v>
      </c>
    </row>
    <row r="371" spans="1:3">
      <c r="A371" s="2315">
        <v>851051</v>
      </c>
      <c r="B371" t="s">
        <v>1533</v>
      </c>
      <c r="C371">
        <v>11</v>
      </c>
    </row>
    <row r="372" spans="1:3">
      <c r="A372" s="2315">
        <v>851052</v>
      </c>
      <c r="B372" t="s">
        <v>1533</v>
      </c>
      <c r="C372">
        <v>11</v>
      </c>
    </row>
    <row r="373" spans="1:3">
      <c r="A373" s="2315">
        <v>851053</v>
      </c>
      <c r="B373" t="s">
        <v>1533</v>
      </c>
      <c r="C373">
        <v>11</v>
      </c>
    </row>
    <row r="374" spans="1:3">
      <c r="A374" s="2315">
        <v>851055</v>
      </c>
      <c r="B374" t="s">
        <v>1533</v>
      </c>
      <c r="C374">
        <v>11</v>
      </c>
    </row>
    <row r="375" spans="1:3">
      <c r="A375" s="2315">
        <v>267008</v>
      </c>
      <c r="B375" t="s">
        <v>1533</v>
      </c>
      <c r="C375">
        <v>11</v>
      </c>
    </row>
    <row r="376" spans="1:3">
      <c r="A376" s="2315">
        <v>269009</v>
      </c>
      <c r="B376" t="s">
        <v>1533</v>
      </c>
      <c r="C376">
        <v>11</v>
      </c>
    </row>
    <row r="377" spans="1:3">
      <c r="A377" s="2315">
        <v>280033</v>
      </c>
      <c r="B377" t="s">
        <v>1533</v>
      </c>
      <c r="C377">
        <v>11</v>
      </c>
    </row>
    <row r="378" spans="1:3">
      <c r="A378" s="2315">
        <v>280202</v>
      </c>
      <c r="B378" t="s">
        <v>1533</v>
      </c>
      <c r="C378">
        <v>11</v>
      </c>
    </row>
    <row r="379" spans="1:3">
      <c r="A379" s="2315">
        <v>280205</v>
      </c>
      <c r="B379" t="s">
        <v>1533</v>
      </c>
      <c r="C379">
        <v>11</v>
      </c>
    </row>
    <row r="380" spans="1:3">
      <c r="A380" s="2315">
        <v>280206</v>
      </c>
      <c r="B380" t="s">
        <v>1533</v>
      </c>
      <c r="C380">
        <v>11</v>
      </c>
    </row>
    <row r="381" spans="1:3">
      <c r="A381" s="2315">
        <v>280210</v>
      </c>
      <c r="B381" t="s">
        <v>1533</v>
      </c>
      <c r="C381">
        <v>11</v>
      </c>
    </row>
    <row r="382" spans="1:3">
      <c r="A382" s="2315">
        <v>280383</v>
      </c>
      <c r="B382" t="s">
        <v>1533</v>
      </c>
      <c r="C382">
        <v>11</v>
      </c>
    </row>
    <row r="383" spans="1:3">
      <c r="A383" s="2315">
        <v>280397</v>
      </c>
      <c r="B383" t="s">
        <v>1533</v>
      </c>
      <c r="C383">
        <v>11</v>
      </c>
    </row>
    <row r="384" spans="1:3">
      <c r="A384" s="2315">
        <v>101091</v>
      </c>
      <c r="B384" t="s">
        <v>1534</v>
      </c>
      <c r="C384">
        <v>12</v>
      </c>
    </row>
    <row r="385" spans="1:3">
      <c r="A385" s="2315">
        <v>101178</v>
      </c>
      <c r="B385" t="s">
        <v>1534</v>
      </c>
      <c r="C385">
        <v>12</v>
      </c>
    </row>
    <row r="386" spans="1:3">
      <c r="A386" s="2315">
        <v>147033</v>
      </c>
      <c r="B386" t="s">
        <v>1534</v>
      </c>
      <c r="C386">
        <v>12</v>
      </c>
    </row>
    <row r="387" spans="1:3">
      <c r="A387" s="2315">
        <v>151021</v>
      </c>
      <c r="B387" t="s">
        <v>1534</v>
      </c>
      <c r="C387">
        <v>12</v>
      </c>
    </row>
    <row r="388" spans="1:3">
      <c r="A388" s="2315">
        <v>167013</v>
      </c>
      <c r="B388" t="s">
        <v>1534</v>
      </c>
      <c r="C388">
        <v>12</v>
      </c>
    </row>
    <row r="389" spans="1:3">
      <c r="A389" s="2315">
        <v>187005</v>
      </c>
      <c r="B389" t="s">
        <v>1534</v>
      </c>
      <c r="C389">
        <v>12</v>
      </c>
    </row>
    <row r="390" spans="1:3">
      <c r="A390" s="2315">
        <v>213008</v>
      </c>
      <c r="B390" t="s">
        <v>1534</v>
      </c>
      <c r="C390">
        <v>12</v>
      </c>
    </row>
    <row r="391" spans="1:3">
      <c r="A391" s="2315">
        <v>219011</v>
      </c>
      <c r="B391" t="s">
        <v>1534</v>
      </c>
      <c r="C391">
        <v>12</v>
      </c>
    </row>
    <row r="392" spans="1:3">
      <c r="A392" s="2315">
        <v>259021</v>
      </c>
      <c r="B392" t="s">
        <v>1534</v>
      </c>
      <c r="C392">
        <v>12</v>
      </c>
    </row>
    <row r="393" spans="1:3">
      <c r="A393" s="2315">
        <v>315013</v>
      </c>
      <c r="B393" t="s">
        <v>1534</v>
      </c>
      <c r="C393">
        <v>12</v>
      </c>
    </row>
    <row r="394" spans="1:3">
      <c r="A394" s="2315">
        <v>400024</v>
      </c>
      <c r="B394" t="s">
        <v>1534</v>
      </c>
      <c r="C394">
        <v>12</v>
      </c>
    </row>
    <row r="395" spans="1:3">
      <c r="A395" s="2315">
        <v>400034</v>
      </c>
      <c r="B395" t="s">
        <v>1534</v>
      </c>
      <c r="C395">
        <v>12</v>
      </c>
    </row>
    <row r="396" spans="1:3">
      <c r="A396" s="2315">
        <v>461053</v>
      </c>
      <c r="B396" t="s">
        <v>1534</v>
      </c>
      <c r="C396">
        <v>12</v>
      </c>
    </row>
    <row r="397" spans="1:3">
      <c r="A397" s="2315">
        <v>515018</v>
      </c>
      <c r="B397" t="s">
        <v>1534</v>
      </c>
      <c r="C397">
        <v>12</v>
      </c>
    </row>
    <row r="398" spans="1:3">
      <c r="A398" s="2315">
        <v>525007</v>
      </c>
      <c r="B398" t="s">
        <v>1534</v>
      </c>
      <c r="C398">
        <v>12</v>
      </c>
    </row>
    <row r="399" spans="1:3">
      <c r="A399" s="2315">
        <v>527009</v>
      </c>
      <c r="B399" t="s">
        <v>1534</v>
      </c>
      <c r="C399">
        <v>12</v>
      </c>
    </row>
    <row r="400" spans="1:3">
      <c r="A400" s="2315">
        <v>539014</v>
      </c>
      <c r="B400" t="s">
        <v>1534</v>
      </c>
      <c r="C400">
        <v>12</v>
      </c>
    </row>
    <row r="401" spans="1:3">
      <c r="A401" s="2315">
        <v>561036</v>
      </c>
      <c r="B401" t="s">
        <v>1534</v>
      </c>
      <c r="C401">
        <v>12</v>
      </c>
    </row>
    <row r="402" spans="1:3">
      <c r="A402" s="2315">
        <v>613008</v>
      </c>
      <c r="B402" t="s">
        <v>1534</v>
      </c>
      <c r="C402">
        <v>12</v>
      </c>
    </row>
    <row r="403" spans="1:3">
      <c r="A403" s="2315">
        <v>621025</v>
      </c>
      <c r="B403" t="s">
        <v>1534</v>
      </c>
      <c r="C403">
        <v>12</v>
      </c>
    </row>
    <row r="404" spans="1:3">
      <c r="A404" s="2315">
        <v>631029</v>
      </c>
      <c r="B404" t="s">
        <v>1534</v>
      </c>
      <c r="C404">
        <v>12</v>
      </c>
    </row>
    <row r="405" spans="1:3">
      <c r="A405" s="2315">
        <v>651005</v>
      </c>
      <c r="B405" t="s">
        <v>1534</v>
      </c>
      <c r="C405">
        <v>12</v>
      </c>
    </row>
    <row r="406" spans="1:3">
      <c r="A406" s="2315">
        <v>657027</v>
      </c>
      <c r="B406" t="s">
        <v>1534</v>
      </c>
      <c r="C406">
        <v>12</v>
      </c>
    </row>
    <row r="407" spans="1:3">
      <c r="A407" s="2315">
        <v>661016</v>
      </c>
      <c r="B407" t="s">
        <v>1534</v>
      </c>
      <c r="C407">
        <v>12</v>
      </c>
    </row>
    <row r="408" spans="1:3">
      <c r="A408" s="2315">
        <v>665023</v>
      </c>
      <c r="B408" t="s">
        <v>1534</v>
      </c>
      <c r="C408">
        <v>12</v>
      </c>
    </row>
    <row r="409" spans="1:3">
      <c r="A409" s="2315">
        <v>669010</v>
      </c>
      <c r="B409" t="s">
        <v>1534</v>
      </c>
      <c r="C409">
        <v>12</v>
      </c>
    </row>
    <row r="410" spans="1:3">
      <c r="A410" s="2315">
        <v>681009</v>
      </c>
      <c r="B410" t="s">
        <v>1534</v>
      </c>
      <c r="C410">
        <v>12</v>
      </c>
    </row>
    <row r="411" spans="1:3">
      <c r="A411" s="2315">
        <v>705006</v>
      </c>
      <c r="B411" t="s">
        <v>1534</v>
      </c>
      <c r="C411">
        <v>12</v>
      </c>
    </row>
    <row r="412" spans="1:3">
      <c r="A412" s="2315">
        <v>731027</v>
      </c>
      <c r="B412" t="s">
        <v>1534</v>
      </c>
      <c r="C412">
        <v>12</v>
      </c>
    </row>
    <row r="413" spans="1:3">
      <c r="A413" s="2315">
        <v>751080</v>
      </c>
      <c r="B413" t="s">
        <v>1534</v>
      </c>
      <c r="C413">
        <v>12</v>
      </c>
    </row>
    <row r="414" spans="1:3">
      <c r="A414" s="2315">
        <v>761012</v>
      </c>
      <c r="B414" t="s">
        <v>1534</v>
      </c>
      <c r="C414">
        <v>12</v>
      </c>
    </row>
    <row r="415" spans="1:3">
      <c r="A415" s="2315">
        <v>787035</v>
      </c>
      <c r="B415" t="s">
        <v>1534</v>
      </c>
      <c r="C415">
        <v>12</v>
      </c>
    </row>
    <row r="416" spans="1:3">
      <c r="A416" s="2315">
        <v>851068</v>
      </c>
      <c r="B416" t="s">
        <v>1534</v>
      </c>
      <c r="C416">
        <v>12</v>
      </c>
    </row>
    <row r="417" spans="1:3">
      <c r="A417" s="2315">
        <v>280392</v>
      </c>
      <c r="B417" t="s">
        <v>1534</v>
      </c>
      <c r="C417">
        <v>12</v>
      </c>
    </row>
    <row r="418" spans="1:3">
      <c r="A418" s="2315">
        <v>503006</v>
      </c>
      <c r="B418" t="s">
        <v>1535</v>
      </c>
      <c r="C418">
        <v>14</v>
      </c>
    </row>
    <row r="419" spans="1:3">
      <c r="A419" s="2315">
        <v>513005</v>
      </c>
      <c r="B419" t="s">
        <v>1535</v>
      </c>
      <c r="C419">
        <v>14</v>
      </c>
    </row>
    <row r="420" spans="1:3">
      <c r="A420" s="2315">
        <v>515015</v>
      </c>
      <c r="B420" t="s">
        <v>1535</v>
      </c>
      <c r="C420">
        <v>14</v>
      </c>
    </row>
    <row r="421" spans="1:3">
      <c r="A421" s="2315">
        <v>519006</v>
      </c>
      <c r="B421" t="s">
        <v>1535</v>
      </c>
      <c r="C421">
        <v>14</v>
      </c>
    </row>
    <row r="422" spans="1:3">
      <c r="A422" s="2315">
        <v>521006</v>
      </c>
      <c r="B422" t="s">
        <v>1535</v>
      </c>
      <c r="C422">
        <v>14</v>
      </c>
    </row>
    <row r="423" spans="1:3">
      <c r="A423" s="2315">
        <v>521008</v>
      </c>
      <c r="B423" t="s">
        <v>1535</v>
      </c>
      <c r="C423">
        <v>14</v>
      </c>
    </row>
    <row r="424" spans="1:3">
      <c r="A424" s="2315">
        <v>523010</v>
      </c>
      <c r="B424" t="s">
        <v>1535</v>
      </c>
      <c r="C424">
        <v>14</v>
      </c>
    </row>
    <row r="425" spans="1:3">
      <c r="A425" s="2315">
        <v>529006</v>
      </c>
      <c r="B425" t="s">
        <v>1535</v>
      </c>
      <c r="C425">
        <v>14</v>
      </c>
    </row>
    <row r="426" spans="1:3">
      <c r="A426" s="2315">
        <v>537009</v>
      </c>
      <c r="B426" t="s">
        <v>1535</v>
      </c>
      <c r="C426">
        <v>14</v>
      </c>
    </row>
    <row r="427" spans="1:3">
      <c r="A427" s="2315">
        <v>539009</v>
      </c>
      <c r="B427" t="s">
        <v>1535</v>
      </c>
      <c r="C427">
        <v>14</v>
      </c>
    </row>
    <row r="428" spans="1:3">
      <c r="A428" s="2315">
        <v>539010</v>
      </c>
      <c r="B428" t="s">
        <v>1535</v>
      </c>
      <c r="C428">
        <v>14</v>
      </c>
    </row>
    <row r="429" spans="1:3">
      <c r="A429" s="2315">
        <v>539012</v>
      </c>
      <c r="B429" t="s">
        <v>1535</v>
      </c>
      <c r="C429">
        <v>14</v>
      </c>
    </row>
    <row r="430" spans="1:3">
      <c r="A430" s="2315">
        <v>541006</v>
      </c>
      <c r="B430" t="s">
        <v>1535</v>
      </c>
      <c r="C430">
        <v>14</v>
      </c>
    </row>
    <row r="431" spans="1:3">
      <c r="A431" s="2315">
        <v>545006</v>
      </c>
      <c r="B431" t="s">
        <v>1535</v>
      </c>
      <c r="C431">
        <v>14</v>
      </c>
    </row>
    <row r="432" spans="1:3">
      <c r="A432" s="2315">
        <v>101108</v>
      </c>
      <c r="B432" t="s">
        <v>1536</v>
      </c>
      <c r="C432">
        <v>15</v>
      </c>
    </row>
    <row r="433" spans="1:3">
      <c r="A433" s="2315">
        <v>101125</v>
      </c>
      <c r="B433" t="s">
        <v>1536</v>
      </c>
      <c r="C433">
        <v>15</v>
      </c>
    </row>
    <row r="434" spans="1:3">
      <c r="A434" s="2315">
        <v>101126</v>
      </c>
      <c r="B434" t="s">
        <v>1536</v>
      </c>
      <c r="C434">
        <v>15</v>
      </c>
    </row>
    <row r="435" spans="1:3">
      <c r="A435" s="2315">
        <v>101171</v>
      </c>
      <c r="B435" t="s">
        <v>1536</v>
      </c>
      <c r="C435">
        <v>15</v>
      </c>
    </row>
    <row r="436" spans="1:3">
      <c r="A436" s="2315">
        <v>147026</v>
      </c>
      <c r="B436" t="s">
        <v>1536</v>
      </c>
      <c r="C436">
        <v>15</v>
      </c>
    </row>
    <row r="437" spans="1:3">
      <c r="A437" s="2315">
        <v>147043</v>
      </c>
      <c r="B437" t="s">
        <v>1536</v>
      </c>
      <c r="C437">
        <v>15</v>
      </c>
    </row>
    <row r="438" spans="1:3">
      <c r="A438" s="2315">
        <v>153015</v>
      </c>
      <c r="B438" t="s">
        <v>1536</v>
      </c>
      <c r="C438">
        <v>15</v>
      </c>
    </row>
    <row r="439" spans="1:3">
      <c r="A439" s="2315">
        <v>157022</v>
      </c>
      <c r="B439" t="s">
        <v>1536</v>
      </c>
      <c r="C439">
        <v>15</v>
      </c>
    </row>
    <row r="440" spans="1:3">
      <c r="A440" s="2315">
        <v>157042</v>
      </c>
      <c r="B440" t="s">
        <v>1536</v>
      </c>
      <c r="C440">
        <v>15</v>
      </c>
    </row>
    <row r="441" spans="1:3">
      <c r="A441" s="2315">
        <v>159020</v>
      </c>
      <c r="B441" t="s">
        <v>1536</v>
      </c>
      <c r="C441">
        <v>15</v>
      </c>
    </row>
    <row r="442" spans="1:3">
      <c r="A442" s="2315">
        <v>207004</v>
      </c>
      <c r="B442" t="s">
        <v>1536</v>
      </c>
      <c r="C442">
        <v>15</v>
      </c>
    </row>
    <row r="443" spans="1:3">
      <c r="A443" s="2315">
        <v>227007</v>
      </c>
      <c r="B443" t="s">
        <v>1536</v>
      </c>
      <c r="C443">
        <v>15</v>
      </c>
    </row>
    <row r="444" spans="1:3">
      <c r="A444" s="2315">
        <v>280011</v>
      </c>
      <c r="B444" t="s">
        <v>1536</v>
      </c>
      <c r="C444">
        <v>15</v>
      </c>
    </row>
    <row r="445" spans="1:3">
      <c r="A445" s="2315">
        <v>280100</v>
      </c>
      <c r="B445" t="s">
        <v>1536</v>
      </c>
      <c r="C445">
        <v>15</v>
      </c>
    </row>
    <row r="446" spans="1:3">
      <c r="A446" s="2315">
        <v>280523</v>
      </c>
      <c r="B446" t="s">
        <v>1536</v>
      </c>
      <c r="C446">
        <v>15</v>
      </c>
    </row>
    <row r="447" spans="1:3">
      <c r="A447" s="2315">
        <v>280544</v>
      </c>
      <c r="B447" t="s">
        <v>1536</v>
      </c>
      <c r="C447">
        <v>15</v>
      </c>
    </row>
    <row r="448" spans="1:3">
      <c r="A448" s="2315">
        <v>280554</v>
      </c>
      <c r="B448" t="s">
        <v>1536</v>
      </c>
      <c r="C448">
        <v>15</v>
      </c>
    </row>
    <row r="449" spans="1:3">
      <c r="A449" s="2315">
        <v>373019</v>
      </c>
      <c r="B449" t="s">
        <v>1536</v>
      </c>
      <c r="C449">
        <v>15</v>
      </c>
    </row>
    <row r="450" spans="1:3">
      <c r="A450" s="2315">
        <v>525008</v>
      </c>
      <c r="B450" t="s">
        <v>1536</v>
      </c>
      <c r="C450">
        <v>15</v>
      </c>
    </row>
    <row r="451" spans="1:3">
      <c r="A451" s="2315">
        <v>545007</v>
      </c>
      <c r="B451" t="s">
        <v>1536</v>
      </c>
      <c r="C451">
        <v>15</v>
      </c>
    </row>
    <row r="452" spans="1:3">
      <c r="A452" s="2315">
        <v>667016</v>
      </c>
      <c r="B452" t="s">
        <v>1536</v>
      </c>
      <c r="C452">
        <v>15</v>
      </c>
    </row>
    <row r="453" spans="1:3">
      <c r="A453" s="2315">
        <v>851057</v>
      </c>
      <c r="B453" t="s">
        <v>1536</v>
      </c>
      <c r="C453">
        <v>15</v>
      </c>
    </row>
    <row r="454" spans="1:3">
      <c r="A454" s="2315">
        <v>101087</v>
      </c>
      <c r="B454" t="s">
        <v>166</v>
      </c>
      <c r="C454">
        <v>21</v>
      </c>
    </row>
    <row r="455" spans="1:3">
      <c r="A455" s="2315">
        <v>101090</v>
      </c>
      <c r="B455" t="s">
        <v>166</v>
      </c>
      <c r="C455">
        <v>21</v>
      </c>
    </row>
    <row r="456" spans="1:3">
      <c r="A456" s="2315">
        <v>101092</v>
      </c>
      <c r="B456" t="s">
        <v>166</v>
      </c>
      <c r="C456">
        <v>21</v>
      </c>
    </row>
    <row r="457" spans="1:3">
      <c r="A457" s="2315">
        <v>101111</v>
      </c>
      <c r="B457" t="s">
        <v>166</v>
      </c>
      <c r="C457">
        <v>21</v>
      </c>
    </row>
    <row r="458" spans="1:3">
      <c r="A458" s="2315">
        <v>101132</v>
      </c>
      <c r="B458" t="s">
        <v>166</v>
      </c>
      <c r="C458">
        <v>21</v>
      </c>
    </row>
    <row r="459" spans="1:3">
      <c r="A459" s="2315">
        <v>101133</v>
      </c>
      <c r="B459" t="s">
        <v>166</v>
      </c>
      <c r="C459">
        <v>21</v>
      </c>
    </row>
    <row r="460" spans="1:3">
      <c r="A460" s="2315">
        <v>101140</v>
      </c>
      <c r="B460" t="s">
        <v>166</v>
      </c>
      <c r="C460">
        <v>21</v>
      </c>
    </row>
    <row r="461" spans="1:3">
      <c r="A461" s="2315">
        <v>101145</v>
      </c>
      <c r="B461" t="s">
        <v>166</v>
      </c>
      <c r="C461">
        <v>21</v>
      </c>
    </row>
    <row r="462" spans="1:3">
      <c r="A462" s="2315">
        <v>101191</v>
      </c>
      <c r="B462" t="s">
        <v>166</v>
      </c>
      <c r="C462">
        <v>21</v>
      </c>
    </row>
    <row r="463" spans="1:3">
      <c r="A463" s="2315">
        <v>101585</v>
      </c>
      <c r="B463" t="s">
        <v>166</v>
      </c>
      <c r="C463">
        <v>21</v>
      </c>
    </row>
    <row r="464" spans="1:3">
      <c r="A464" s="2315">
        <v>151014</v>
      </c>
      <c r="B464" t="s">
        <v>166</v>
      </c>
      <c r="C464">
        <v>21</v>
      </c>
    </row>
    <row r="465" spans="1:3">
      <c r="A465" s="2315">
        <v>151018</v>
      </c>
      <c r="B465" t="s">
        <v>166</v>
      </c>
      <c r="C465">
        <v>21</v>
      </c>
    </row>
    <row r="466" spans="1:3">
      <c r="A466" s="2315">
        <v>159015</v>
      </c>
      <c r="B466" t="s">
        <v>166</v>
      </c>
      <c r="C466">
        <v>21</v>
      </c>
    </row>
    <row r="467" spans="1:3">
      <c r="A467" s="2315">
        <v>159018</v>
      </c>
      <c r="B467" t="s">
        <v>166</v>
      </c>
      <c r="C467">
        <v>21</v>
      </c>
    </row>
    <row r="468" spans="1:3">
      <c r="A468" s="2315">
        <v>165011</v>
      </c>
      <c r="B468" t="s">
        <v>166</v>
      </c>
      <c r="C468">
        <v>21</v>
      </c>
    </row>
    <row r="469" spans="1:3">
      <c r="A469" s="2315">
        <v>181017</v>
      </c>
      <c r="B469" t="s">
        <v>166</v>
      </c>
      <c r="C469">
        <v>21</v>
      </c>
    </row>
    <row r="470" spans="1:3">
      <c r="A470" s="2315">
        <v>208005</v>
      </c>
      <c r="B470" t="s">
        <v>166</v>
      </c>
      <c r="C470">
        <v>21</v>
      </c>
    </row>
    <row r="471" spans="1:3">
      <c r="A471" s="2315">
        <v>215008</v>
      </c>
      <c r="B471" t="s">
        <v>166</v>
      </c>
      <c r="C471">
        <v>21</v>
      </c>
    </row>
    <row r="472" spans="1:3">
      <c r="A472" s="2315">
        <v>217016</v>
      </c>
      <c r="B472" t="s">
        <v>166</v>
      </c>
      <c r="C472">
        <v>21</v>
      </c>
    </row>
    <row r="473" spans="1:3">
      <c r="A473" s="2315">
        <v>219009</v>
      </c>
      <c r="B473" t="s">
        <v>166</v>
      </c>
      <c r="C473">
        <v>21</v>
      </c>
    </row>
    <row r="474" spans="1:3">
      <c r="A474" s="2315">
        <v>219016</v>
      </c>
      <c r="B474" t="s">
        <v>166</v>
      </c>
      <c r="C474">
        <v>21</v>
      </c>
    </row>
    <row r="475" spans="1:3">
      <c r="A475" s="2315">
        <v>221004</v>
      </c>
      <c r="B475" t="s">
        <v>166</v>
      </c>
      <c r="C475">
        <v>21</v>
      </c>
    </row>
    <row r="476" spans="1:3">
      <c r="A476" s="2315">
        <v>223007</v>
      </c>
      <c r="B476" t="s">
        <v>166</v>
      </c>
      <c r="C476">
        <v>21</v>
      </c>
    </row>
    <row r="477" spans="1:3">
      <c r="A477" s="2315">
        <v>301008</v>
      </c>
      <c r="B477" t="s">
        <v>166</v>
      </c>
      <c r="C477">
        <v>21</v>
      </c>
    </row>
    <row r="478" spans="1:3">
      <c r="A478" s="2315">
        <v>301010</v>
      </c>
      <c r="B478" t="s">
        <v>166</v>
      </c>
      <c r="C478">
        <v>21</v>
      </c>
    </row>
    <row r="479" spans="1:3">
      <c r="A479" s="2315">
        <v>400006</v>
      </c>
      <c r="B479" t="s">
        <v>166</v>
      </c>
      <c r="C479">
        <v>21</v>
      </c>
    </row>
    <row r="480" spans="1:3">
      <c r="A480" s="2315">
        <v>280140</v>
      </c>
      <c r="B480" t="s">
        <v>166</v>
      </c>
      <c r="C480">
        <v>21</v>
      </c>
    </row>
    <row r="481" spans="1:3">
      <c r="A481" s="2315">
        <v>253009</v>
      </c>
      <c r="B481" t="s">
        <v>166</v>
      </c>
      <c r="C481">
        <v>22</v>
      </c>
    </row>
    <row r="482" spans="1:3">
      <c r="A482" s="2315">
        <v>255005</v>
      </c>
      <c r="B482" t="s">
        <v>166</v>
      </c>
      <c r="C482">
        <v>22</v>
      </c>
    </row>
    <row r="483" spans="1:3">
      <c r="A483" s="2315">
        <v>259013</v>
      </c>
      <c r="B483" t="s">
        <v>166</v>
      </c>
      <c r="C483">
        <v>22</v>
      </c>
    </row>
    <row r="484" spans="1:3">
      <c r="A484" s="2315">
        <v>313007</v>
      </c>
      <c r="B484" t="s">
        <v>166</v>
      </c>
      <c r="C484">
        <v>22</v>
      </c>
    </row>
    <row r="485" spans="1:3">
      <c r="A485" s="2315">
        <v>315017</v>
      </c>
      <c r="B485" t="s">
        <v>166</v>
      </c>
      <c r="C485">
        <v>22</v>
      </c>
    </row>
    <row r="486" spans="1:3">
      <c r="A486" s="2315">
        <v>321005</v>
      </c>
      <c r="B486" t="s">
        <v>166</v>
      </c>
      <c r="C486">
        <v>22</v>
      </c>
    </row>
    <row r="487" spans="1:3">
      <c r="A487" s="2315">
        <v>327002</v>
      </c>
      <c r="B487" t="s">
        <v>166</v>
      </c>
      <c r="C487">
        <v>22</v>
      </c>
    </row>
    <row r="488" spans="1:3">
      <c r="A488" s="2315">
        <v>359006</v>
      </c>
      <c r="B488" t="s">
        <v>166</v>
      </c>
      <c r="C488">
        <v>22</v>
      </c>
    </row>
    <row r="489" spans="1:3">
      <c r="A489" s="2315">
        <v>373030</v>
      </c>
      <c r="B489" t="s">
        <v>166</v>
      </c>
      <c r="C489">
        <v>22</v>
      </c>
    </row>
    <row r="490" spans="1:3">
      <c r="A490" s="2315">
        <v>280379</v>
      </c>
      <c r="B490" t="s">
        <v>166</v>
      </c>
      <c r="C490">
        <v>22</v>
      </c>
    </row>
    <row r="491" spans="1:3">
      <c r="A491" s="2315">
        <v>280395</v>
      </c>
      <c r="B491" t="s">
        <v>166</v>
      </c>
      <c r="C491">
        <v>22</v>
      </c>
    </row>
    <row r="492" spans="1:3">
      <c r="A492" s="2315">
        <v>439008</v>
      </c>
      <c r="B492" t="s">
        <v>166</v>
      </c>
      <c r="C492">
        <v>23</v>
      </c>
    </row>
    <row r="493" spans="1:3">
      <c r="A493" s="2315">
        <v>461068</v>
      </c>
      <c r="B493" t="s">
        <v>166</v>
      </c>
      <c r="C493">
        <v>23</v>
      </c>
    </row>
    <row r="494" spans="1:3">
      <c r="A494" s="2315">
        <v>535006</v>
      </c>
      <c r="B494" t="s">
        <v>166</v>
      </c>
      <c r="C494">
        <v>24</v>
      </c>
    </row>
    <row r="495" spans="1:3">
      <c r="A495" s="2315">
        <v>701006</v>
      </c>
      <c r="B495" t="s">
        <v>166</v>
      </c>
      <c r="C495">
        <v>25</v>
      </c>
    </row>
    <row r="496" spans="1:3">
      <c r="A496" s="2315">
        <v>703005</v>
      </c>
      <c r="B496" t="s">
        <v>166</v>
      </c>
      <c r="C496">
        <v>25</v>
      </c>
    </row>
    <row r="497" spans="1:3">
      <c r="A497" s="2315">
        <v>707009</v>
      </c>
      <c r="B497" t="s">
        <v>166</v>
      </c>
      <c r="C497">
        <v>25</v>
      </c>
    </row>
    <row r="498" spans="1:3">
      <c r="A498" s="2315">
        <v>707012</v>
      </c>
      <c r="B498" t="s">
        <v>166</v>
      </c>
      <c r="C498">
        <v>25</v>
      </c>
    </row>
    <row r="499" spans="1:3">
      <c r="A499" s="2315">
        <v>731019</v>
      </c>
      <c r="B499" t="s">
        <v>166</v>
      </c>
      <c r="C499">
        <v>25</v>
      </c>
    </row>
    <row r="500" spans="1:3">
      <c r="A500" s="2315">
        <v>737006</v>
      </c>
      <c r="B500" t="s">
        <v>166</v>
      </c>
      <c r="C500">
        <v>25</v>
      </c>
    </row>
    <row r="501" spans="1:3">
      <c r="A501" s="2315">
        <v>741007</v>
      </c>
      <c r="B501" t="s">
        <v>166</v>
      </c>
      <c r="C501">
        <v>25</v>
      </c>
    </row>
    <row r="502" spans="1:3">
      <c r="A502" s="2315">
        <v>751064</v>
      </c>
      <c r="B502" t="s">
        <v>166</v>
      </c>
      <c r="C502">
        <v>25</v>
      </c>
    </row>
    <row r="503" spans="1:3">
      <c r="A503" s="2315">
        <v>751089</v>
      </c>
      <c r="B503" t="s">
        <v>166</v>
      </c>
      <c r="C503">
        <v>25</v>
      </c>
    </row>
    <row r="504" spans="1:3">
      <c r="A504" s="2315">
        <v>791015</v>
      </c>
      <c r="B504" t="s">
        <v>166</v>
      </c>
      <c r="C504">
        <v>26</v>
      </c>
    </row>
    <row r="505" spans="1:3">
      <c r="A505" s="2315">
        <v>841005</v>
      </c>
      <c r="B505" t="s">
        <v>166</v>
      </c>
      <c r="C505">
        <v>26</v>
      </c>
    </row>
    <row r="506" spans="1:3">
      <c r="A506" s="2315">
        <v>851070</v>
      </c>
      <c r="B506" t="s">
        <v>166</v>
      </c>
      <c r="C506">
        <v>26</v>
      </c>
    </row>
    <row r="507" spans="1:3">
      <c r="A507" s="2315">
        <v>280211</v>
      </c>
      <c r="B507" t="s">
        <v>166</v>
      </c>
      <c r="C507">
        <v>26</v>
      </c>
    </row>
    <row r="508" spans="1:3">
      <c r="A508" s="2315">
        <v>101181</v>
      </c>
      <c r="B508" t="s">
        <v>1532</v>
      </c>
    </row>
    <row r="509" spans="1:3">
      <c r="A509" s="2315">
        <v>305019</v>
      </c>
      <c r="B509" t="s">
        <v>1532</v>
      </c>
    </row>
    <row r="510" spans="1:3">
      <c r="A510" s="2315">
        <v>473012</v>
      </c>
      <c r="B510" t="s">
        <v>1532</v>
      </c>
    </row>
    <row r="511" spans="1:3">
      <c r="A511" s="2315">
        <v>213010</v>
      </c>
      <c r="B511" t="s">
        <v>1533</v>
      </c>
    </row>
    <row r="512" spans="1:3">
      <c r="A512" s="2315">
        <v>315012</v>
      </c>
      <c r="B512" t="s">
        <v>1533</v>
      </c>
    </row>
    <row r="513" spans="1:2">
      <c r="A513" s="2315">
        <v>473014</v>
      </c>
      <c r="B513" t="s">
        <v>1533</v>
      </c>
    </row>
    <row r="514" spans="1:2">
      <c r="A514" s="2315">
        <v>721005</v>
      </c>
      <c r="B514" t="s">
        <v>1533</v>
      </c>
    </row>
    <row r="515" spans="1:2">
      <c r="A515" s="2315">
        <v>208009</v>
      </c>
      <c r="B515" t="s">
        <v>166</v>
      </c>
    </row>
    <row r="516" spans="1:2">
      <c r="A516" s="2315">
        <v>213005</v>
      </c>
      <c r="B516" t="s">
        <v>166</v>
      </c>
    </row>
  </sheetData>
  <phoneticPr fontId="55"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11.5" defaultRowHeight="13"/>
  <sheetData/>
  <phoneticPr fontId="55" type="noConversion"/>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bfc649-0545-43cf-929e-150f880045c6" xsi:nil="true"/>
    <lcf76f155ced4ddcb4097134ff3c332f xmlns="b543af4c-db40-44d3-9eea-8ef5fc2fd7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39C9C628925914784D52CBF788A3E24" ma:contentTypeVersion="18" ma:contentTypeDescription="Opret et nyt dokument." ma:contentTypeScope="" ma:versionID="87c53eaf4ef7486896c05085d8dd8983">
  <xsd:schema xmlns:xsd="http://www.w3.org/2001/XMLSchema" xmlns:xs="http://www.w3.org/2001/XMLSchema" xmlns:p="http://schemas.microsoft.com/office/2006/metadata/properties" xmlns:ns2="b543af4c-db40-44d3-9eea-8ef5fc2fd706" xmlns:ns3="6cbfc649-0545-43cf-929e-150f880045c6" targetNamespace="http://schemas.microsoft.com/office/2006/metadata/properties" ma:root="true" ma:fieldsID="0d311ed3a3eb899b456f51cb44174074" ns2:_="" ns3:_="">
    <xsd:import namespace="b543af4c-db40-44d3-9eea-8ef5fc2fd706"/>
    <xsd:import namespace="6cbfc649-0545-43cf-929e-150f880045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3af4c-db40-44d3-9eea-8ef5fc2fd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0c0fb87b-caf2-4492-a8cb-ec515077b0d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bfc649-0545-43cf-929e-150f880045c6"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1b769e7c-0749-43c4-83a9-8421274fa14d}" ma:internalName="TaxCatchAll" ma:showField="CatchAllData" ma:web="6cbfc649-0545-43cf-929e-150f88004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49D8B-2C9C-417C-A746-FDE496471E5B}">
  <ds:schemaRefs>
    <ds:schemaRef ds:uri="http://schemas.microsoft.com/sharepoint/v3/contenttype/forms"/>
  </ds:schemaRefs>
</ds:datastoreItem>
</file>

<file path=customXml/itemProps2.xml><?xml version="1.0" encoding="utf-8"?>
<ds:datastoreItem xmlns:ds="http://schemas.openxmlformats.org/officeDocument/2006/customXml" ds:itemID="{7E72784A-FF73-42CB-9478-7A41D0AF86D0}">
  <ds:schemaRefs>
    <ds:schemaRef ds:uri="http://schemas.microsoft.com/office/2006/metadata/properties"/>
    <ds:schemaRef ds:uri="http://schemas.microsoft.com/office/infopath/2007/PartnerControls"/>
    <ds:schemaRef ds:uri="6cbfc649-0545-43cf-929e-150f880045c6"/>
    <ds:schemaRef ds:uri="b543af4c-db40-44d3-9eea-8ef5fc2fd706"/>
  </ds:schemaRefs>
</ds:datastoreItem>
</file>

<file path=customXml/itemProps3.xml><?xml version="1.0" encoding="utf-8"?>
<ds:datastoreItem xmlns:ds="http://schemas.openxmlformats.org/officeDocument/2006/customXml" ds:itemID="{E88F44F8-B2C2-44AF-AD3A-A67A1410B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3af4c-db40-44d3-9eea-8ef5fc2fd706"/>
    <ds:schemaRef ds:uri="6cbfc649-0545-43cf-929e-150f88004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25</vt:i4>
      </vt:variant>
      <vt:variant>
        <vt:lpstr>Navngivne områder</vt:lpstr>
      </vt:variant>
      <vt:variant>
        <vt:i4>97</vt:i4>
      </vt:variant>
    </vt:vector>
  </HeadingPairs>
  <TitlesOfParts>
    <vt:vector size="122" baseType="lpstr">
      <vt:lpstr>Kvikvejledning</vt:lpstr>
      <vt:lpstr>Ændringer i dette budget</vt:lpstr>
      <vt:lpstr>Gode råd til check</vt:lpstr>
      <vt:lpstr>SatsBilag</vt:lpstr>
      <vt:lpstr>Forside</vt:lpstr>
      <vt:lpstr>Hovedskema</vt:lpstr>
      <vt:lpstr>Aarsnorm</vt:lpstr>
      <vt:lpstr>Statstilskud</vt:lpstr>
      <vt:lpstr>Skolepenge, pasningsordning.</vt:lpstr>
      <vt:lpstr>lon undervisning</vt:lpstr>
      <vt:lpstr>Lon pæd., TAP mm</vt:lpstr>
      <vt:lpstr>Undervisning-SFO udgifter</vt:lpstr>
      <vt:lpstr>Heltids SFO</vt:lpstr>
      <vt:lpstr>Daginstitution</vt:lpstr>
      <vt:lpstr>Ejendom</vt:lpstr>
      <vt:lpstr>Skolemadsordning</vt:lpstr>
      <vt:lpstr>Administration</vt:lpstr>
      <vt:lpstr>Prio-renter</vt:lpstr>
      <vt:lpstr>Resultat </vt:lpstr>
      <vt:lpstr>Grundlon</vt:lpstr>
      <vt:lpstr>Prognose</vt:lpstr>
      <vt:lpstr>Ark1</vt:lpstr>
      <vt:lpstr>H2.Aktuel år</vt:lpstr>
      <vt:lpstr>Ark2</vt:lpstr>
      <vt:lpstr>Ark3</vt:lpstr>
      <vt:lpstr>'Lon pæd., TAP mm'!_Udskriftsområde</vt:lpstr>
      <vt:lpstr>'lon undervisning'!_Udskriftsområde</vt:lpstr>
      <vt:lpstr>AER</vt:lpstr>
      <vt:lpstr>AER_1</vt:lpstr>
      <vt:lpstr>ATP</vt:lpstr>
      <vt:lpstr>ATP_1</vt:lpstr>
      <vt:lpstr>BarselBidr</vt:lpstr>
      <vt:lpstr>BarselBidr_1</vt:lpstr>
      <vt:lpstr>basistabel</vt:lpstr>
      <vt:lpstr>budgetår</vt:lpstr>
      <vt:lpstr>Bygtilsk</vt:lpstr>
      <vt:lpstr>Bygtilsk_1</vt:lpstr>
      <vt:lpstr>Da2sprTax</vt:lpstr>
      <vt:lpstr>Da2sprTax_1</vt:lpstr>
      <vt:lpstr>DFkont</vt:lpstr>
      <vt:lpstr>DFkont_1</vt:lpstr>
      <vt:lpstr>elev10kl</vt:lpstr>
      <vt:lpstr>elev10kl_1</vt:lpstr>
      <vt:lpstr>elev10kl_2</vt:lpstr>
      <vt:lpstr>elev10klfeb</vt:lpstr>
      <vt:lpstr>elev10klfeb_1</vt:lpstr>
      <vt:lpstr>elev10klfeb_2</vt:lpstr>
      <vt:lpstr>elevo13</vt:lpstr>
      <vt:lpstr>elevo13_1</vt:lpstr>
      <vt:lpstr>elevo13_2</vt:lpstr>
      <vt:lpstr>ELEVPROGNOSE</vt:lpstr>
      <vt:lpstr>Elevtal</vt:lpstr>
      <vt:lpstr>elevtal_1</vt:lpstr>
      <vt:lpstr>elevtal_2</vt:lpstr>
      <vt:lpstr>elevu13</vt:lpstr>
      <vt:lpstr>elevu13_1</vt:lpstr>
      <vt:lpstr>elevu13_2</vt:lpstr>
      <vt:lpstr>Grundlon!Export_file</vt:lpstr>
      <vt:lpstr>FaeUdgSmaa</vt:lpstr>
      <vt:lpstr>FaeUdgSmaa_1</vt:lpstr>
      <vt:lpstr>FaeUdgStore</vt:lpstr>
      <vt:lpstr>FaeUdgStore_1</vt:lpstr>
      <vt:lpstr>FlexBidr</vt:lpstr>
      <vt:lpstr>FlexBidr_1</vt:lpstr>
      <vt:lpstr>FlydTill</vt:lpstr>
      <vt:lpstr>FlydTill_1</vt:lpstr>
      <vt:lpstr>fremskrivning</vt:lpstr>
      <vt:lpstr>FremskrStatst</vt:lpstr>
      <vt:lpstr>FremskrStatst_1</vt:lpstr>
      <vt:lpstr>Gr.liv</vt:lpstr>
      <vt:lpstr>Gr.liv_1</vt:lpstr>
      <vt:lpstr>Gr.livAndre</vt:lpstr>
      <vt:lpstr>Gr.livAndre_1</vt:lpstr>
      <vt:lpstr>GrundTilsk</vt:lpstr>
      <vt:lpstr>Grundtilsk_1</vt:lpstr>
      <vt:lpstr>InklGrund</vt:lpstr>
      <vt:lpstr>InklGrund_1</vt:lpstr>
      <vt:lpstr>Lønfremskivning</vt:lpstr>
      <vt:lpstr>mellemsmå</vt:lpstr>
      <vt:lpstr>mellemstore</vt:lpstr>
      <vt:lpstr>omraadetabel</vt:lpstr>
      <vt:lpstr>PrakMedhTax</vt:lpstr>
      <vt:lpstr>PrakMedhTax_1</vt:lpstr>
      <vt:lpstr>Prc</vt:lpstr>
      <vt:lpstr>Prc_1</vt:lpstr>
      <vt:lpstr>PrcAar</vt:lpstr>
      <vt:lpstr>PrcAar_1</vt:lpstr>
      <vt:lpstr>region</vt:lpstr>
      <vt:lpstr>SFOtilsk</vt:lpstr>
      <vt:lpstr>SFOtilsk_1</vt:lpstr>
      <vt:lpstr>skalalontabel</vt:lpstr>
      <vt:lpstr>skole</vt:lpstr>
      <vt:lpstr>SatsBilag!skoleår</vt:lpstr>
      <vt:lpstr>SatsBilag!skoleår2</vt:lpstr>
      <vt:lpstr>sted</vt:lpstr>
      <vt:lpstr>stedomr</vt:lpstr>
      <vt:lpstr>stedtillægsområde</vt:lpstr>
      <vt:lpstr>Tilsyn1</vt:lpstr>
      <vt:lpstr>Tilsyn2</vt:lpstr>
      <vt:lpstr>Tilsyn3</vt:lpstr>
      <vt:lpstr>Tilsyn4</vt:lpstr>
      <vt:lpstr>Ejendom!Udskriftsområde</vt:lpstr>
      <vt:lpstr>Forside!Udskriftsområde</vt:lpstr>
      <vt:lpstr>'H2.Aktuel år'!Udskriftsområde</vt:lpstr>
      <vt:lpstr>Hovedskema!Udskriftsområde</vt:lpstr>
      <vt:lpstr>Kvikvejledning!Udskriftsområde</vt:lpstr>
      <vt:lpstr>'lon undervisning'!Udskriftsområde</vt:lpstr>
      <vt:lpstr>'Prio-renter'!Udskriftsområde</vt:lpstr>
      <vt:lpstr>Prognose!Udskriftsområde</vt:lpstr>
      <vt:lpstr>'Resultat '!Udskriftsområde</vt:lpstr>
      <vt:lpstr>SatsBilag!Udskriftsområde</vt:lpstr>
      <vt:lpstr>'Skolepenge, pasningsordning.'!Udskriftsområde</vt:lpstr>
      <vt:lpstr>Statstilskud!Udskriftsområde</vt:lpstr>
      <vt:lpstr>'Undervisning-SFO udgifter'!Udskriftsområde</vt:lpstr>
      <vt:lpstr>UvTax10kl</vt:lpstr>
      <vt:lpstr>UvTax10kl_1</vt:lpstr>
      <vt:lpstr>UvTaxO13</vt:lpstr>
      <vt:lpstr>UvTaxO13_1</vt:lpstr>
      <vt:lpstr>UvTaxU13</vt:lpstr>
      <vt:lpstr>UvTaxU13_1</vt:lpstr>
      <vt:lpstr>Vik.kas</vt:lpstr>
      <vt:lpstr>Vik.kas_1</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2024-2025</dc:title>
  <dc:subject/>
  <dc:creator>Tove Dohn</dc:creator>
  <cp:keywords/>
  <dc:description/>
  <cp:lastModifiedBy>Tove Dohn</cp:lastModifiedBy>
  <cp:revision/>
  <dcterms:created xsi:type="dcterms:W3CDTF">2010-02-07T12:40:03Z</dcterms:created>
  <dcterms:modified xsi:type="dcterms:W3CDTF">2024-12-05T07:15:19Z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0x010100739C9C628925914784D52CBF788A3E24</vt:lpwstr>
  </property>
  <property fmtid="{D5CDD505-2E9C-101B-9397-08002B2CF9AE}" pid="3" name="MediaServiceImageTags">
    <vt:lpwstr/>
  </property>
</Properties>
</file>